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harts/chart4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C:\Users\Stelyana Baleva\LightCounting Dropbox\Optical\Market Forecast Report\2023 October\Deliverables\"/>
    </mc:Choice>
  </mc:AlternateContent>
  <xr:revisionPtr revIDLastSave="0" documentId="13_ncr:1_{93364609-1A39-4D02-A7E8-97F9901484AF}" xr6:coauthVersionLast="47" xr6:coauthVersionMax="47" xr10:uidLastSave="{00000000-0000-0000-0000-000000000000}"/>
  <bookViews>
    <workbookView xWindow="-108" yWindow="-108" windowWidth="30936" windowHeight="16776" tabRatio="814" xr2:uid="{00000000-000D-0000-FFFF-FFFF00000000}"/>
  </bookViews>
  <sheets>
    <sheet name="Introduction" sheetId="9" r:id="rId1"/>
    <sheet name="Methodology" sheetId="10" r:id="rId2"/>
    <sheet name="Definitions" sheetId="31" r:id="rId3"/>
    <sheet name="Summary" sheetId="32" r:id="rId4"/>
    <sheet name="Ethernet" sheetId="3" r:id="rId5"/>
    <sheet name="Fibre Channel" sheetId="4" r:id="rId6"/>
    <sheet name="CWDM and DWDM" sheetId="5" r:id="rId7"/>
    <sheet name="WSS" sheetId="15" r:id="rId8"/>
    <sheet name="Tunable lasers" sheetId="16" r:id="rId9"/>
    <sheet name="Modulators and Receivers" sheetId="30" r:id="rId10"/>
    <sheet name="Fronthaul" sheetId="13" r:id="rId11"/>
    <sheet name="Backhaul" sheetId="49" r:id="rId12"/>
    <sheet name="FTTx" sheetId="6" r:id="rId13"/>
    <sheet name="AOC" sheetId="29" r:id="rId14"/>
    <sheet name="Cost_bit" sheetId="35" r:id="rId15"/>
    <sheet name="Port Count" sheetId="8" r:id="rId16"/>
    <sheet name="Additional Report charts" sheetId="51" r:id="rId17"/>
  </sheets>
  <externalReferences>
    <externalReference r:id="rId18"/>
    <externalReference r:id="rId19"/>
    <externalReference r:id="rId20"/>
  </externalReferences>
  <definedNames>
    <definedName name="_Fill" localSheetId="16" hidden="1">'[1]Sum-Oak'!#REF!</definedName>
    <definedName name="_Fill" hidden="1">'[1]Sum-Oak'!#REF!</definedName>
    <definedName name="_Key1" localSheetId="16" hidden="1">[2]Bankruptcies!#REF!</definedName>
    <definedName name="_Key1" hidden="1">[2]Bankruptcies!#REF!</definedName>
    <definedName name="_Key2" localSheetId="16" hidden="1">#REF!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OVN">#REF!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'[3]Old v New'!$B$63:$Q$73</definedName>
    <definedName name="OldUnits">'[3]Old v New'!$B$37:$Q$47</definedName>
    <definedName name="Ports_new">'[3]Old v New'!$B$131:$M$144</definedName>
    <definedName name="Ports_old">'[3]Old v New'!$B$114:$M$127</definedName>
    <definedName name="Revs_April2022">#REF!</definedName>
    <definedName name="Revs_April2023">#REF!</definedName>
    <definedName name="Revs_Oct2021">#REF!</definedName>
    <definedName name="Revs_Oct2022">#REF!</definedName>
    <definedName name="Units_April2022">#REF!</definedName>
    <definedName name="Units_April2023">#REF!</definedName>
    <definedName name="Units_Oct2021">#REF!</definedName>
    <definedName name="Units_Oct2022">#REF!</definedName>
    <definedName name="Z_2DE5EA60_7A3A_11D2_AE76_0080C7A84E90_.wvu.Cols" localSheetId="16" hidden="1">#REF!</definedName>
    <definedName name="Z_2DE5EA60_7A3A_11D2_AE76_0080C7A84E90_.wvu.Cols" hidden="1">#REF!</definedName>
    <definedName name="Z_2DE5EA60_7A3A_11D2_AE76_0080C7A84E90_.wvu.PrintArea" localSheetId="16" hidden="1">#REF!</definedName>
    <definedName name="Z_2DE5EA60_7A3A_11D2_AE76_0080C7A84E90_.wvu.PrintArea" hidden="1">#REF!</definedName>
    <definedName name="Z_2DE5EA60_7A3A_11D2_AE76_0080C7A84E90_.wvu.Rows" localSheetId="16"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83" i="32" l="1"/>
  <c r="H584" i="32"/>
  <c r="L584" i="32"/>
  <c r="N584" i="32"/>
  <c r="O584" i="32"/>
  <c r="P584" i="32"/>
  <c r="Q584" i="32"/>
  <c r="R584" i="32"/>
  <c r="C37" i="29"/>
  <c r="C26" i="29"/>
  <c r="D37" i="29"/>
  <c r="C584" i="32"/>
  <c r="D584" i="32"/>
  <c r="E584" i="32"/>
  <c r="F584" i="32"/>
  <c r="G584" i="32"/>
  <c r="I584" i="32"/>
  <c r="J584" i="32"/>
  <c r="K584" i="32"/>
  <c r="M584" i="32"/>
  <c r="S584" i="32"/>
  <c r="W584" i="32"/>
  <c r="Y584" i="32" l="1"/>
  <c r="Z584" i="32" s="1"/>
  <c r="U584" i="32"/>
  <c r="D26" i="29"/>
  <c r="V584" i="32"/>
  <c r="X584" i="32"/>
  <c r="T584" i="32"/>
  <c r="N171" i="32" l="1"/>
  <c r="N170" i="32"/>
  <c r="B66" i="6" l="1"/>
  <c r="B67" i="6"/>
  <c r="B41" i="6"/>
  <c r="B42" i="6"/>
  <c r="N172" i="32" l="1"/>
  <c r="C117" i="3" l="1"/>
  <c r="E95" i="3"/>
  <c r="F95" i="3"/>
  <c r="F97" i="3"/>
  <c r="E98" i="3"/>
  <c r="F98" i="3"/>
  <c r="E99" i="3"/>
  <c r="F99" i="3"/>
  <c r="B143" i="3"/>
  <c r="C143" i="3"/>
  <c r="D143" i="3"/>
  <c r="B144" i="3"/>
  <c r="C144" i="3"/>
  <c r="D144" i="3"/>
  <c r="B145" i="3"/>
  <c r="C145" i="3"/>
  <c r="D145" i="3"/>
  <c r="B146" i="3"/>
  <c r="C146" i="3"/>
  <c r="D146" i="3"/>
  <c r="B147" i="3"/>
  <c r="C147" i="3"/>
  <c r="D147" i="3"/>
  <c r="B95" i="3"/>
  <c r="C95" i="3"/>
  <c r="D95" i="3"/>
  <c r="B96" i="3"/>
  <c r="C96" i="3"/>
  <c r="D96" i="3"/>
  <c r="E96" i="3"/>
  <c r="F96" i="3"/>
  <c r="B97" i="3"/>
  <c r="C97" i="3"/>
  <c r="D97" i="3"/>
  <c r="E97" i="3"/>
  <c r="B98" i="3"/>
  <c r="C98" i="3"/>
  <c r="D98" i="3"/>
  <c r="B99" i="3"/>
  <c r="C99" i="3"/>
  <c r="D99" i="3"/>
  <c r="E422" i="32" l="1"/>
  <c r="F420" i="32"/>
  <c r="G422" i="32"/>
  <c r="C422" i="32"/>
  <c r="G426" i="32"/>
  <c r="C426" i="32"/>
  <c r="E420" i="32"/>
  <c r="F422" i="32"/>
  <c r="F426" i="32"/>
  <c r="D420" i="32"/>
  <c r="E426" i="32"/>
  <c r="G420" i="32"/>
  <c r="C420" i="32"/>
  <c r="D422" i="32"/>
  <c r="D426" i="32"/>
  <c r="F53" i="3"/>
  <c r="E73" i="3" l="1"/>
  <c r="F65" i="3"/>
  <c r="E65" i="3"/>
  <c r="B105" i="3"/>
  <c r="C105" i="3"/>
  <c r="D105" i="3"/>
  <c r="B106" i="3"/>
  <c r="C106" i="3"/>
  <c r="D106" i="3"/>
  <c r="B107" i="3"/>
  <c r="C107" i="3"/>
  <c r="D107" i="3"/>
  <c r="B108" i="3"/>
  <c r="C108" i="3"/>
  <c r="D108" i="3"/>
  <c r="B109" i="3"/>
  <c r="C109" i="3"/>
  <c r="D109" i="3"/>
  <c r="B110" i="3"/>
  <c r="C110" i="3"/>
  <c r="D110" i="3"/>
  <c r="B111" i="3"/>
  <c r="C111" i="3"/>
  <c r="D111" i="3"/>
  <c r="B112" i="3"/>
  <c r="C112" i="3"/>
  <c r="D112" i="3"/>
  <c r="B113" i="3"/>
  <c r="C113" i="3"/>
  <c r="D113" i="3"/>
  <c r="B114" i="3"/>
  <c r="C114" i="3"/>
  <c r="D114" i="3"/>
  <c r="B115" i="3"/>
  <c r="C115" i="3"/>
  <c r="D115" i="3"/>
  <c r="B116" i="3"/>
  <c r="C116" i="3"/>
  <c r="D116" i="3"/>
  <c r="B117" i="3"/>
  <c r="D117" i="3"/>
  <c r="B118" i="3"/>
  <c r="C118" i="3"/>
  <c r="D118" i="3"/>
  <c r="B119" i="3"/>
  <c r="C119" i="3"/>
  <c r="D119" i="3"/>
  <c r="B120" i="3"/>
  <c r="C120" i="3"/>
  <c r="D120" i="3"/>
  <c r="B121" i="3"/>
  <c r="C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F74" i="3"/>
  <c r="E74" i="3"/>
  <c r="F73" i="3"/>
  <c r="B57" i="3"/>
  <c r="C57" i="3"/>
  <c r="D57" i="3"/>
  <c r="B58" i="3"/>
  <c r="C58" i="3"/>
  <c r="D58" i="3"/>
  <c r="B59" i="3"/>
  <c r="C59" i="3"/>
  <c r="D59" i="3"/>
  <c r="B60" i="3"/>
  <c r="C60" i="3"/>
  <c r="D60" i="3"/>
  <c r="B61" i="3"/>
  <c r="C61" i="3"/>
  <c r="D61" i="3"/>
  <c r="B62" i="3"/>
  <c r="C62" i="3"/>
  <c r="D62" i="3"/>
  <c r="B63" i="3"/>
  <c r="C63" i="3"/>
  <c r="D63" i="3"/>
  <c r="B64" i="3"/>
  <c r="C64" i="3"/>
  <c r="D64" i="3"/>
  <c r="B65" i="3"/>
  <c r="C65" i="3"/>
  <c r="D65" i="3"/>
  <c r="B66" i="3"/>
  <c r="C66" i="3"/>
  <c r="D66" i="3"/>
  <c r="B67" i="3"/>
  <c r="C67" i="3"/>
  <c r="D67" i="3"/>
  <c r="B68" i="3"/>
  <c r="C68" i="3"/>
  <c r="D68" i="3"/>
  <c r="B69" i="3"/>
  <c r="D69" i="3"/>
  <c r="B70" i="3"/>
  <c r="C70" i="3"/>
  <c r="D70" i="3"/>
  <c r="B71" i="3"/>
  <c r="C71" i="3"/>
  <c r="D71" i="3"/>
  <c r="B72" i="3"/>
  <c r="C72" i="3"/>
  <c r="D72" i="3"/>
  <c r="B73" i="3"/>
  <c r="C73" i="3"/>
  <c r="D73" i="3"/>
  <c r="B74" i="3"/>
  <c r="C74" i="3"/>
  <c r="D74" i="3"/>
  <c r="B75" i="3"/>
  <c r="C75" i="3"/>
  <c r="D75" i="3"/>
  <c r="B76" i="3"/>
  <c r="C76" i="3"/>
  <c r="D76" i="3"/>
  <c r="B77" i="3"/>
  <c r="C77" i="3"/>
  <c r="D77" i="3"/>
  <c r="B78" i="3"/>
  <c r="C78" i="3"/>
  <c r="D78" i="3"/>
  <c r="B79" i="3"/>
  <c r="C79" i="3"/>
  <c r="D79" i="3"/>
  <c r="B80" i="3"/>
  <c r="C80" i="3"/>
  <c r="D80" i="3"/>
  <c r="B81" i="3"/>
  <c r="C81" i="3"/>
  <c r="D81" i="3"/>
  <c r="C171" i="32" l="1"/>
  <c r="D171" i="32"/>
  <c r="E171" i="32"/>
  <c r="F171" i="32"/>
  <c r="G171" i="32"/>
  <c r="C170" i="32"/>
  <c r="D170" i="32"/>
  <c r="E170" i="32"/>
  <c r="F170" i="32"/>
  <c r="G170" i="32"/>
  <c r="E55" i="6"/>
  <c r="D55" i="6"/>
  <c r="C55" i="6"/>
  <c r="E54" i="6"/>
  <c r="D54" i="6"/>
  <c r="C54" i="6"/>
  <c r="C44" i="6"/>
  <c r="D44" i="6"/>
  <c r="C46" i="6"/>
  <c r="D46" i="6"/>
  <c r="C50" i="6"/>
  <c r="D50" i="6"/>
  <c r="E50" i="6"/>
  <c r="C51" i="6"/>
  <c r="D51" i="6"/>
  <c r="E51" i="6"/>
  <c r="C52" i="6"/>
  <c r="D52" i="6"/>
  <c r="E52" i="6"/>
  <c r="C53" i="6"/>
  <c r="D53" i="6"/>
  <c r="E53" i="6"/>
  <c r="B41" i="4"/>
  <c r="C41" i="4"/>
  <c r="D41" i="4"/>
  <c r="C42" i="4"/>
  <c r="D42" i="4"/>
  <c r="B43" i="4"/>
  <c r="C43" i="4"/>
  <c r="D43" i="4"/>
  <c r="C44" i="4"/>
  <c r="D44" i="4"/>
  <c r="C28" i="4"/>
  <c r="D28" i="4"/>
  <c r="C29" i="4"/>
  <c r="D29" i="4"/>
  <c r="B28" i="4"/>
  <c r="F549" i="32" l="1"/>
  <c r="G297" i="32"/>
  <c r="C297" i="32"/>
  <c r="F297" i="32"/>
  <c r="E297" i="32"/>
  <c r="D297" i="32"/>
  <c r="J549" i="32"/>
  <c r="K549" i="32"/>
  <c r="G549" i="32"/>
  <c r="M549" i="32"/>
  <c r="I549" i="32"/>
  <c r="E549" i="32"/>
  <c r="L549" i="32"/>
  <c r="H549" i="32"/>
  <c r="D549" i="32"/>
  <c r="E29" i="4"/>
  <c r="C549" i="32"/>
  <c r="E18" i="4"/>
  <c r="F18" i="4"/>
  <c r="N262" i="32" l="1"/>
  <c r="N263" i="32"/>
  <c r="N264" i="32"/>
  <c r="N265" i="32"/>
  <c r="N266" i="32"/>
  <c r="N261" i="32"/>
  <c r="C20" i="16" l="1"/>
  <c r="D35" i="30"/>
  <c r="C34" i="30"/>
  <c r="C35" i="30"/>
  <c r="B34" i="30"/>
  <c r="B35" i="30"/>
  <c r="D19" i="16" l="1"/>
  <c r="D20" i="16"/>
  <c r="D15" i="30"/>
  <c r="D34" i="30"/>
  <c r="D33" i="30"/>
  <c r="D32" i="30"/>
  <c r="D31" i="30"/>
  <c r="D30" i="30"/>
  <c r="D29" i="30"/>
  <c r="B25" i="30"/>
  <c r="C10" i="16"/>
  <c r="D10" i="16"/>
  <c r="C19" i="16"/>
  <c r="B24" i="30"/>
  <c r="C15" i="30"/>
  <c r="D21" i="16" l="1"/>
  <c r="C21" i="16"/>
  <c r="C167" i="51"/>
  <c r="C166" i="51"/>
  <c r="F19" i="13" l="1"/>
  <c r="O144" i="32"/>
  <c r="O146" i="32"/>
  <c r="O145" i="32"/>
  <c r="N146" i="32"/>
  <c r="B49" i="5"/>
  <c r="B50" i="5"/>
  <c r="B51" i="5"/>
  <c r="B52" i="5"/>
  <c r="B53" i="5"/>
  <c r="E53" i="5"/>
  <c r="D53" i="5"/>
  <c r="C53" i="5"/>
  <c r="E52" i="5"/>
  <c r="D52" i="5"/>
  <c r="C52" i="5"/>
  <c r="E51" i="5"/>
  <c r="D51" i="5"/>
  <c r="C51" i="5"/>
  <c r="E50" i="5"/>
  <c r="D50" i="5"/>
  <c r="C50" i="5"/>
  <c r="E49" i="5"/>
  <c r="D49" i="5"/>
  <c r="C49" i="5"/>
  <c r="B76" i="5"/>
  <c r="E77" i="5"/>
  <c r="D77" i="5"/>
  <c r="C77" i="5"/>
  <c r="E76" i="5"/>
  <c r="D76" i="5"/>
  <c r="C76" i="5"/>
  <c r="E75" i="5"/>
  <c r="D75" i="5"/>
  <c r="C75" i="5"/>
  <c r="E74" i="5"/>
  <c r="D74" i="5"/>
  <c r="C74" i="5"/>
  <c r="E73" i="5"/>
  <c r="D73" i="5"/>
  <c r="C73" i="5"/>
  <c r="G75" i="5"/>
  <c r="E20" i="8"/>
  <c r="F20" i="8"/>
  <c r="E21" i="8"/>
  <c r="B75" i="5"/>
  <c r="B77" i="5"/>
  <c r="G74" i="5" l="1"/>
  <c r="F19" i="8"/>
  <c r="G77" i="5"/>
  <c r="F21" i="8"/>
  <c r="E19" i="8"/>
  <c r="G146" i="32"/>
  <c r="C146" i="32"/>
  <c r="F146" i="32"/>
  <c r="E146" i="32"/>
  <c r="G76" i="5"/>
  <c r="D146" i="32"/>
  <c r="R146" i="32" l="1"/>
  <c r="S146" i="32"/>
  <c r="B130" i="3"/>
  <c r="B82" i="3"/>
  <c r="C131" i="3"/>
  <c r="C83" i="3"/>
  <c r="C132" i="3"/>
  <c r="C84" i="3"/>
  <c r="C85" i="3"/>
  <c r="C133" i="3"/>
  <c r="C86" i="3"/>
  <c r="C134" i="3"/>
  <c r="B135" i="3"/>
  <c r="B87" i="3"/>
  <c r="B88" i="3"/>
  <c r="B136" i="3"/>
  <c r="B89" i="3"/>
  <c r="B137" i="3"/>
  <c r="B138" i="3"/>
  <c r="B90" i="3"/>
  <c r="C82" i="3"/>
  <c r="C130" i="3"/>
  <c r="D83" i="3"/>
  <c r="D131" i="3"/>
  <c r="D132" i="3"/>
  <c r="D84" i="3"/>
  <c r="D133" i="3"/>
  <c r="D85" i="3"/>
  <c r="D86" i="3"/>
  <c r="D134" i="3"/>
  <c r="C135" i="3"/>
  <c r="C87" i="3"/>
  <c r="C136" i="3"/>
  <c r="C88" i="3"/>
  <c r="C89" i="3"/>
  <c r="C137" i="3"/>
  <c r="C90" i="3"/>
  <c r="C138" i="3"/>
  <c r="B139" i="3"/>
  <c r="B91" i="3"/>
  <c r="B92" i="3"/>
  <c r="B140" i="3"/>
  <c r="B93" i="3"/>
  <c r="B141" i="3"/>
  <c r="D82" i="3"/>
  <c r="D130" i="3"/>
  <c r="D87" i="3"/>
  <c r="D135" i="3"/>
  <c r="D136" i="3"/>
  <c r="D88" i="3"/>
  <c r="D137" i="3"/>
  <c r="D89" i="3"/>
  <c r="D90" i="3"/>
  <c r="D138" i="3"/>
  <c r="C139" i="3"/>
  <c r="C91" i="3"/>
  <c r="C140" i="3"/>
  <c r="C92" i="3"/>
  <c r="C93" i="3"/>
  <c r="C141" i="3"/>
  <c r="B131" i="3"/>
  <c r="B83" i="3"/>
  <c r="B84" i="3"/>
  <c r="B132" i="3"/>
  <c r="B85" i="3"/>
  <c r="B133" i="3"/>
  <c r="B134" i="3"/>
  <c r="B86" i="3"/>
  <c r="D91" i="3"/>
  <c r="D139" i="3"/>
  <c r="D140" i="3"/>
  <c r="D92" i="3"/>
  <c r="D141" i="3"/>
  <c r="D93" i="3"/>
  <c r="P146" i="32"/>
  <c r="Q146" i="32"/>
  <c r="D167" i="51"/>
  <c r="Q100" i="51" l="1"/>
  <c r="D59" i="32" l="1"/>
  <c r="C261" i="32" l="1"/>
  <c r="D261" i="32"/>
  <c r="E261" i="32"/>
  <c r="G261" i="32"/>
  <c r="H261" i="32"/>
  <c r="I261" i="32"/>
  <c r="J261" i="32"/>
  <c r="K261" i="32"/>
  <c r="L261" i="32"/>
  <c r="M261" i="32"/>
  <c r="C262" i="32"/>
  <c r="D262" i="32"/>
  <c r="F262" i="32"/>
  <c r="G262" i="32"/>
  <c r="H262" i="32"/>
  <c r="J262" i="32"/>
  <c r="K262" i="32"/>
  <c r="L262" i="32"/>
  <c r="C263" i="32"/>
  <c r="E263" i="32"/>
  <c r="F263" i="32"/>
  <c r="G263" i="32"/>
  <c r="I263" i="32"/>
  <c r="J263" i="32"/>
  <c r="K263" i="32"/>
  <c r="M263" i="32"/>
  <c r="C264" i="32"/>
  <c r="D264" i="32"/>
  <c r="E264" i="32"/>
  <c r="F264" i="32"/>
  <c r="H264" i="32"/>
  <c r="I264" i="32"/>
  <c r="J264" i="32"/>
  <c r="L264" i="32"/>
  <c r="M264" i="32"/>
  <c r="C265" i="32"/>
  <c r="G265" i="32"/>
  <c r="H265" i="32"/>
  <c r="I265" i="32"/>
  <c r="K265" i="32"/>
  <c r="L265" i="32"/>
  <c r="M265" i="32"/>
  <c r="C266" i="32"/>
  <c r="E266" i="32"/>
  <c r="F266" i="32"/>
  <c r="G266" i="32"/>
  <c r="H266" i="32"/>
  <c r="I266" i="32"/>
  <c r="J266" i="32"/>
  <c r="K266" i="32"/>
  <c r="L266" i="32"/>
  <c r="M266" i="32"/>
  <c r="R265" i="32" l="1"/>
  <c r="F265" i="32"/>
  <c r="W264" i="32"/>
  <c r="K264" i="32"/>
  <c r="X263" i="32"/>
  <c r="L263" i="32"/>
  <c r="U262" i="32"/>
  <c r="I262" i="32"/>
  <c r="E33" i="15"/>
  <c r="P266" i="32" s="1"/>
  <c r="D266" i="32"/>
  <c r="Q265" i="32"/>
  <c r="E265" i="32"/>
  <c r="S264" i="32"/>
  <c r="G264" i="32"/>
  <c r="E30" i="15"/>
  <c r="P263" i="32" s="1"/>
  <c r="D263" i="32"/>
  <c r="E32" i="15"/>
  <c r="P265" i="32" s="1"/>
  <c r="D265" i="32"/>
  <c r="V265" i="32"/>
  <c r="J265" i="32"/>
  <c r="T263" i="32"/>
  <c r="H263" i="32"/>
  <c r="Y262" i="32"/>
  <c r="M262" i="32"/>
  <c r="Q262" i="32"/>
  <c r="E262" i="32"/>
  <c r="R261" i="32"/>
  <c r="F261" i="32"/>
  <c r="U265" i="32"/>
  <c r="R264" i="32"/>
  <c r="S263" i="32"/>
  <c r="X262" i="32"/>
  <c r="T262" i="32"/>
  <c r="E29" i="15"/>
  <c r="P262" i="32" s="1"/>
  <c r="Q261" i="32"/>
  <c r="Y265" i="32"/>
  <c r="V264" i="32"/>
  <c r="W263" i="32"/>
  <c r="W266" i="32"/>
  <c r="S266" i="32"/>
  <c r="X265" i="32"/>
  <c r="T265" i="32"/>
  <c r="Y264" i="32"/>
  <c r="Z264" i="32" s="1"/>
  <c r="U264" i="32"/>
  <c r="Q264" i="32"/>
  <c r="V263" i="32"/>
  <c r="R263" i="32"/>
  <c r="W262" i="32"/>
  <c r="S262" i="32"/>
  <c r="X261" i="32"/>
  <c r="T261" i="32"/>
  <c r="E28" i="15"/>
  <c r="P261" i="32" s="1"/>
  <c r="V266" i="32"/>
  <c r="R266" i="32"/>
  <c r="W265" i="32"/>
  <c r="S265" i="32"/>
  <c r="X264" i="32"/>
  <c r="T264" i="32"/>
  <c r="E31" i="15"/>
  <c r="P264" i="32" s="1"/>
  <c r="Y263" i="32"/>
  <c r="U263" i="32"/>
  <c r="Q263" i="32"/>
  <c r="V262" i="32"/>
  <c r="R262" i="32"/>
  <c r="S261" i="32"/>
  <c r="D14" i="15"/>
  <c r="W261" i="32"/>
  <c r="V261" i="32"/>
  <c r="D28" i="15"/>
  <c r="O261" i="32" s="1"/>
  <c r="Y266" i="32"/>
  <c r="U266" i="32"/>
  <c r="Q266" i="32"/>
  <c r="Y261" i="32"/>
  <c r="Z261" i="32" s="1"/>
  <c r="U261" i="32"/>
  <c r="E14" i="15"/>
  <c r="X266" i="32"/>
  <c r="T266" i="32"/>
  <c r="Z266" i="32" l="1"/>
  <c r="Z263" i="32"/>
  <c r="Z262" i="32"/>
  <c r="Z265" i="32"/>
  <c r="F18" i="8" l="1"/>
  <c r="E18" i="8"/>
  <c r="E114" i="35"/>
  <c r="E113" i="35"/>
  <c r="D113" i="35"/>
  <c r="C113" i="35"/>
  <c r="E111" i="35"/>
  <c r="E110" i="35"/>
  <c r="F141" i="32" l="1"/>
  <c r="C143" i="32"/>
  <c r="F144" i="32"/>
  <c r="D141" i="32"/>
  <c r="E143" i="32"/>
  <c r="D144" i="32"/>
  <c r="D196" i="32"/>
  <c r="D142" i="32"/>
  <c r="F80" i="5"/>
  <c r="F29" i="5"/>
  <c r="E196" i="32"/>
  <c r="E142" i="32"/>
  <c r="D143" i="32"/>
  <c r="C144" i="32"/>
  <c r="F145" i="32"/>
  <c r="F140" i="32"/>
  <c r="I86" i="5"/>
  <c r="D140" i="32"/>
  <c r="G86" i="5"/>
  <c r="G80" i="5"/>
  <c r="G29" i="5"/>
  <c r="F142" i="32"/>
  <c r="F196" i="32"/>
  <c r="C145" i="32"/>
  <c r="G145" i="32"/>
  <c r="E145" i="32"/>
  <c r="E140" i="32"/>
  <c r="H86" i="5"/>
  <c r="E141" i="32"/>
  <c r="C196" i="32"/>
  <c r="C142" i="32"/>
  <c r="C197" i="32"/>
  <c r="F143" i="32"/>
  <c r="E144" i="32"/>
  <c r="D145" i="32"/>
  <c r="D112" i="35"/>
  <c r="E112" i="35"/>
  <c r="D110" i="35"/>
  <c r="D111" i="35"/>
  <c r="D114" i="35"/>
  <c r="B582" i="32"/>
  <c r="B581" i="32"/>
  <c r="B580" i="32"/>
  <c r="B579" i="32"/>
  <c r="B578" i="32"/>
  <c r="G30" i="5" l="1"/>
  <c r="E147" i="32"/>
  <c r="D147" i="32"/>
  <c r="F147" i="32"/>
  <c r="B46" i="6" l="1"/>
  <c r="B71" i="6" s="1"/>
  <c r="M239" i="51" l="1"/>
  <c r="M238" i="51"/>
  <c r="C165" i="51" l="1"/>
  <c r="N300" i="32" l="1"/>
  <c r="C428" i="32" l="1"/>
  <c r="D428" i="32"/>
  <c r="E428" i="32"/>
  <c r="F428" i="32"/>
  <c r="G428" i="32"/>
  <c r="F427" i="32" l="1"/>
  <c r="E427" i="32"/>
  <c r="D427" i="32"/>
  <c r="G427" i="32"/>
  <c r="C427" i="32"/>
  <c r="B148" i="3" l="1"/>
  <c r="C148" i="3"/>
  <c r="D148" i="3"/>
  <c r="B149" i="3"/>
  <c r="C149" i="3"/>
  <c r="D149" i="3"/>
  <c r="B100" i="3"/>
  <c r="C100" i="3"/>
  <c r="D100" i="3"/>
  <c r="E100" i="3"/>
  <c r="F100" i="3"/>
  <c r="B101" i="3"/>
  <c r="C101" i="3"/>
  <c r="D101" i="3"/>
  <c r="E101" i="3"/>
  <c r="F101" i="3"/>
  <c r="N428" i="32"/>
  <c r="N427" i="32"/>
  <c r="R64" i="35" l="1"/>
  <c r="E547" i="32"/>
  <c r="E66" i="35"/>
  <c r="E64" i="35"/>
  <c r="E518" i="32"/>
  <c r="E517" i="32"/>
  <c r="E488" i="32"/>
  <c r="E515" i="32"/>
  <c r="E489" i="32"/>
  <c r="E459" i="32"/>
  <c r="P353" i="32"/>
  <c r="D353" i="32"/>
  <c r="E546" i="32" l="1"/>
  <c r="E548" i="32"/>
  <c r="D356" i="32"/>
  <c r="E550" i="32"/>
  <c r="R62" i="35"/>
  <c r="D354" i="32"/>
  <c r="G298" i="32"/>
  <c r="D355" i="32"/>
  <c r="D357" i="32"/>
  <c r="E458" i="32"/>
  <c r="G299" i="32"/>
  <c r="G300" i="32"/>
  <c r="G238" i="51"/>
  <c r="G239" i="51"/>
  <c r="E62" i="35"/>
  <c r="E423" i="32"/>
  <c r="E425" i="32"/>
  <c r="E487" i="32"/>
  <c r="E418" i="32"/>
  <c r="E424" i="32"/>
  <c r="E460" i="32"/>
  <c r="E516" i="32"/>
  <c r="E419" i="32"/>
  <c r="E421" i="32"/>
  <c r="E486" i="32"/>
  <c r="E60" i="35"/>
  <c r="R61" i="35"/>
  <c r="R63" i="35"/>
  <c r="E61" i="35"/>
  <c r="E63" i="35"/>
  <c r="E65" i="35"/>
  <c r="R60" i="35"/>
  <c r="E429" i="32" l="1"/>
  <c r="D38" i="29" l="1"/>
  <c r="C36" i="29"/>
  <c r="C23" i="29"/>
  <c r="D22" i="29"/>
  <c r="C21" i="29"/>
  <c r="D20" i="29"/>
  <c r="P200" i="32"/>
  <c r="D226" i="32"/>
  <c r="D79" i="6"/>
  <c r="D80" i="6"/>
  <c r="D459" i="32"/>
  <c r="F68" i="3"/>
  <c r="D515" i="32"/>
  <c r="F83" i="3"/>
  <c r="F85" i="3"/>
  <c r="F86" i="3"/>
  <c r="F93" i="3"/>
  <c r="F298" i="32"/>
  <c r="S199" i="32"/>
  <c r="O200" i="32"/>
  <c r="L208" i="51"/>
  <c r="I208" i="51"/>
  <c r="X64" i="35"/>
  <c r="X75" i="35" s="1"/>
  <c r="G550" i="32"/>
  <c r="I550" i="32"/>
  <c r="U63" i="35"/>
  <c r="U74" i="35" s="1"/>
  <c r="S61" i="35"/>
  <c r="S72" i="35" s="1"/>
  <c r="F546" i="32"/>
  <c r="Q353" i="32"/>
  <c r="O353" i="32"/>
  <c r="E357" i="32"/>
  <c r="F30" i="13"/>
  <c r="M356" i="32"/>
  <c r="K356" i="32"/>
  <c r="I356" i="32"/>
  <c r="C356" i="32"/>
  <c r="N353" i="32"/>
  <c r="B353" i="32" s="1"/>
  <c r="B33" i="30"/>
  <c r="B32" i="30"/>
  <c r="B31" i="30"/>
  <c r="B30" i="30"/>
  <c r="B19" i="30"/>
  <c r="B14" i="16"/>
  <c r="D32" i="15"/>
  <c r="O265" i="32" s="1"/>
  <c r="B50" i="6"/>
  <c r="B75" i="6" s="1"/>
  <c r="B51" i="6"/>
  <c r="B76" i="6" s="1"/>
  <c r="B52" i="6"/>
  <c r="B77" i="6" s="1"/>
  <c r="B53" i="6"/>
  <c r="B78" i="6" s="1"/>
  <c r="B54" i="6"/>
  <c r="B79" i="6" s="1"/>
  <c r="C79" i="6"/>
  <c r="B55" i="6"/>
  <c r="B80" i="6" s="1"/>
  <c r="B45" i="6"/>
  <c r="B70" i="6" s="1"/>
  <c r="B43" i="6"/>
  <c r="B68" i="6" s="1"/>
  <c r="B40" i="6"/>
  <c r="B65" i="6" s="1"/>
  <c r="B39" i="6"/>
  <c r="B64" i="6" s="1"/>
  <c r="B37" i="6"/>
  <c r="B62" i="6" s="1"/>
  <c r="B36" i="6"/>
  <c r="B61" i="6" s="1"/>
  <c r="B35" i="6"/>
  <c r="B60" i="6" s="1"/>
  <c r="G87" i="5"/>
  <c r="H87" i="5" s="1"/>
  <c r="I87" i="5" s="1"/>
  <c r="J87" i="5" s="1"/>
  <c r="K87" i="5" s="1"/>
  <c r="L87" i="5" s="1"/>
  <c r="E93" i="3"/>
  <c r="E88" i="3"/>
  <c r="E86" i="3"/>
  <c r="E85" i="3"/>
  <c r="E77" i="3"/>
  <c r="C515" i="32"/>
  <c r="E68" i="3"/>
  <c r="C486" i="32"/>
  <c r="E14" i="8"/>
  <c r="E43" i="13"/>
  <c r="E44" i="13"/>
  <c r="E45" i="13"/>
  <c r="E46" i="13"/>
  <c r="B3" i="51"/>
  <c r="B2" i="51"/>
  <c r="C69" i="5"/>
  <c r="D69" i="5"/>
  <c r="E69" i="5"/>
  <c r="C66" i="5"/>
  <c r="D66" i="5"/>
  <c r="E66" i="5"/>
  <c r="B66" i="5"/>
  <c r="B67" i="5"/>
  <c r="B68" i="5"/>
  <c r="B69" i="5"/>
  <c r="B70" i="5"/>
  <c r="E45" i="5"/>
  <c r="D45" i="5"/>
  <c r="C45" i="5"/>
  <c r="E44" i="5"/>
  <c r="D44" i="5"/>
  <c r="C44" i="5"/>
  <c r="E43" i="5"/>
  <c r="D43" i="5"/>
  <c r="C43" i="5"/>
  <c r="E42" i="5"/>
  <c r="D42" i="5"/>
  <c r="C42" i="5"/>
  <c r="B42" i="5"/>
  <c r="B43" i="5"/>
  <c r="B44" i="5"/>
  <c r="B45" i="5"/>
  <c r="B21" i="16"/>
  <c r="H208" i="51"/>
  <c r="G208" i="51"/>
  <c r="F208" i="51"/>
  <c r="E208" i="51"/>
  <c r="D208" i="51"/>
  <c r="C208" i="51"/>
  <c r="C204" i="51"/>
  <c r="D204" i="51" s="1"/>
  <c r="E204" i="51" s="1"/>
  <c r="F204" i="51" s="1"/>
  <c r="G204" i="51" s="1"/>
  <c r="H204" i="51" s="1"/>
  <c r="I204" i="51" s="1"/>
  <c r="C203" i="51"/>
  <c r="D203" i="51" s="1"/>
  <c r="E203" i="51" s="1"/>
  <c r="F203" i="51" s="1"/>
  <c r="G203" i="51" s="1"/>
  <c r="H203" i="51" s="1"/>
  <c r="K208" i="51"/>
  <c r="J208" i="51"/>
  <c r="N57" i="32"/>
  <c r="N96" i="32" s="1"/>
  <c r="N267" i="32"/>
  <c r="B151" i="35"/>
  <c r="B139" i="35"/>
  <c r="C127" i="35"/>
  <c r="D127" i="35"/>
  <c r="E127" i="35"/>
  <c r="F127" i="35"/>
  <c r="G127" i="35"/>
  <c r="H127" i="35"/>
  <c r="I127" i="35"/>
  <c r="J127" i="35"/>
  <c r="K127" i="35"/>
  <c r="L127" i="35"/>
  <c r="M127" i="35"/>
  <c r="B127" i="35"/>
  <c r="B115" i="35"/>
  <c r="B102" i="35"/>
  <c r="B90" i="35"/>
  <c r="B78" i="35"/>
  <c r="B32" i="15"/>
  <c r="C32" i="15"/>
  <c r="B22" i="15"/>
  <c r="C22" i="15"/>
  <c r="C46" i="5"/>
  <c r="D46" i="5"/>
  <c r="E46" i="5"/>
  <c r="C47" i="5"/>
  <c r="D47" i="5"/>
  <c r="E47" i="5"/>
  <c r="C48" i="5"/>
  <c r="D48" i="5"/>
  <c r="E48" i="5"/>
  <c r="C66" i="35"/>
  <c r="C78" i="35" s="1"/>
  <c r="N140" i="32"/>
  <c r="N141" i="32"/>
  <c r="N142" i="32"/>
  <c r="N143" i="32"/>
  <c r="N144" i="32"/>
  <c r="N145" i="32"/>
  <c r="J356" i="32"/>
  <c r="K66" i="32"/>
  <c r="L66" i="32"/>
  <c r="M66" i="32"/>
  <c r="M19" i="29"/>
  <c r="N19" i="29"/>
  <c r="O19" i="29"/>
  <c r="M30" i="29"/>
  <c r="N30" i="29"/>
  <c r="O30" i="29"/>
  <c r="P26" i="49"/>
  <c r="O26" i="49"/>
  <c r="N26" i="49"/>
  <c r="M26" i="49"/>
  <c r="N17" i="49"/>
  <c r="O17" i="49"/>
  <c r="P17" i="49"/>
  <c r="M17" i="49"/>
  <c r="N35" i="13"/>
  <c r="O35" i="13"/>
  <c r="P35" i="13"/>
  <c r="N22" i="13"/>
  <c r="O22" i="13"/>
  <c r="P22" i="13"/>
  <c r="K18" i="30"/>
  <c r="L18" i="30"/>
  <c r="M18" i="30"/>
  <c r="K28" i="30"/>
  <c r="L28" i="30"/>
  <c r="M28" i="30"/>
  <c r="K13" i="16"/>
  <c r="L13" i="16"/>
  <c r="M13" i="16"/>
  <c r="K18" i="16"/>
  <c r="L18" i="16"/>
  <c r="M18" i="16"/>
  <c r="M21" i="4"/>
  <c r="N21" i="4"/>
  <c r="O21" i="4"/>
  <c r="M34" i="4"/>
  <c r="N34" i="4"/>
  <c r="O34" i="4"/>
  <c r="H550" i="32"/>
  <c r="Y64" i="35"/>
  <c r="Y75" i="35" s="1"/>
  <c r="X63" i="35"/>
  <c r="X74" i="35" s="1"/>
  <c r="Z63" i="35"/>
  <c r="Z74" i="35" s="1"/>
  <c r="Z64" i="35"/>
  <c r="Z75" i="35" s="1"/>
  <c r="Y63" i="35"/>
  <c r="Y74" i="35" s="1"/>
  <c r="M104" i="3"/>
  <c r="N104" i="3"/>
  <c r="O104" i="3"/>
  <c r="N32" i="5"/>
  <c r="O32" i="5"/>
  <c r="P32" i="5"/>
  <c r="N56" i="5"/>
  <c r="O56" i="5"/>
  <c r="P56" i="5"/>
  <c r="K33" i="6"/>
  <c r="K58" i="6" s="1"/>
  <c r="L33" i="6"/>
  <c r="L58" i="6" s="1"/>
  <c r="M33" i="6"/>
  <c r="M58" i="6" s="1"/>
  <c r="B35" i="4"/>
  <c r="B37" i="4"/>
  <c r="B39" i="4"/>
  <c r="B22" i="4"/>
  <c r="B24" i="4"/>
  <c r="B26" i="4"/>
  <c r="B30" i="4"/>
  <c r="O582" i="32"/>
  <c r="O583" i="32"/>
  <c r="C72" i="5"/>
  <c r="D72" i="5"/>
  <c r="E72" i="5"/>
  <c r="B72" i="5"/>
  <c r="B73" i="5"/>
  <c r="B48" i="5"/>
  <c r="B389" i="32"/>
  <c r="N389" i="32" s="1"/>
  <c r="C30" i="29"/>
  <c r="D30" i="29"/>
  <c r="C19" i="29"/>
  <c r="D19" i="29"/>
  <c r="C38" i="29"/>
  <c r="N585" i="32"/>
  <c r="C27" i="29"/>
  <c r="C22" i="29"/>
  <c r="C35" i="29"/>
  <c r="C20" i="29"/>
  <c r="C33" i="29"/>
  <c r="C31" i="29"/>
  <c r="C34" i="29"/>
  <c r="C24" i="29"/>
  <c r="Q199" i="32"/>
  <c r="E79" i="6"/>
  <c r="E80" i="6"/>
  <c r="C80" i="6"/>
  <c r="D46" i="13"/>
  <c r="D33" i="13"/>
  <c r="E33" i="13"/>
  <c r="C33" i="13"/>
  <c r="C46" i="13"/>
  <c r="C32" i="49"/>
  <c r="D32" i="49"/>
  <c r="E32" i="49"/>
  <c r="C23" i="49"/>
  <c r="D23" i="49"/>
  <c r="E23" i="49"/>
  <c r="C546" i="32"/>
  <c r="C547" i="32"/>
  <c r="C550" i="32"/>
  <c r="W64" i="35"/>
  <c r="W75" i="35" s="1"/>
  <c r="J18" i="30"/>
  <c r="J28" i="30"/>
  <c r="J13" i="16"/>
  <c r="J18" i="16"/>
  <c r="L34" i="4"/>
  <c r="K104" i="3"/>
  <c r="L104" i="3"/>
  <c r="K34" i="4"/>
  <c r="K21" i="4"/>
  <c r="L21" i="4"/>
  <c r="K30" i="29"/>
  <c r="L30" i="29"/>
  <c r="K19" i="29"/>
  <c r="L19" i="29"/>
  <c r="L56" i="5"/>
  <c r="M56" i="5"/>
  <c r="L32" i="5"/>
  <c r="M32" i="5"/>
  <c r="I18" i="16"/>
  <c r="I13" i="16"/>
  <c r="I28" i="30"/>
  <c r="I18" i="30"/>
  <c r="L35" i="13"/>
  <c r="M35" i="13"/>
  <c r="L22" i="13"/>
  <c r="M22" i="13"/>
  <c r="J33" i="6"/>
  <c r="J58" i="6" s="1"/>
  <c r="I33" i="6"/>
  <c r="I58" i="6" s="1"/>
  <c r="J66" i="32"/>
  <c r="I66" i="32"/>
  <c r="E27" i="13"/>
  <c r="C45" i="13"/>
  <c r="D45" i="13"/>
  <c r="D36" i="13"/>
  <c r="C37" i="13"/>
  <c r="D37" i="13"/>
  <c r="C38" i="13"/>
  <c r="D38" i="13"/>
  <c r="C39" i="13"/>
  <c r="D39" i="13"/>
  <c r="C40" i="13"/>
  <c r="D40" i="13"/>
  <c r="C41" i="13"/>
  <c r="D41" i="13"/>
  <c r="C42" i="13"/>
  <c r="D42" i="13"/>
  <c r="C43" i="13"/>
  <c r="D43" i="13"/>
  <c r="C44" i="13"/>
  <c r="D44" i="13"/>
  <c r="C47" i="13"/>
  <c r="D47" i="13"/>
  <c r="D23" i="13"/>
  <c r="C24" i="13"/>
  <c r="D24" i="13"/>
  <c r="C25" i="13"/>
  <c r="D25" i="13"/>
  <c r="C26" i="13"/>
  <c r="D26" i="13"/>
  <c r="C27" i="13"/>
  <c r="D27" i="13"/>
  <c r="C28" i="13"/>
  <c r="D28" i="13"/>
  <c r="C29" i="13"/>
  <c r="D29" i="13"/>
  <c r="C30" i="13"/>
  <c r="D30" i="13"/>
  <c r="C31" i="13"/>
  <c r="D31" i="13"/>
  <c r="C32" i="13"/>
  <c r="D32" i="13"/>
  <c r="C34" i="13"/>
  <c r="D34" i="13"/>
  <c r="D33" i="15"/>
  <c r="O266" i="32" s="1"/>
  <c r="N426" i="32"/>
  <c r="B145" i="35"/>
  <c r="B146" i="35"/>
  <c r="B147" i="35"/>
  <c r="B148" i="35"/>
  <c r="B149" i="35"/>
  <c r="B150" i="35"/>
  <c r="B152" i="35"/>
  <c r="B133" i="35"/>
  <c r="B134" i="35"/>
  <c r="B135" i="35"/>
  <c r="B136" i="35"/>
  <c r="B137" i="35"/>
  <c r="B138" i="35"/>
  <c r="B140" i="35"/>
  <c r="B121" i="35"/>
  <c r="B122" i="35"/>
  <c r="B123" i="35"/>
  <c r="B124" i="35"/>
  <c r="B125" i="35"/>
  <c r="B126" i="35"/>
  <c r="B128" i="35"/>
  <c r="B109" i="35"/>
  <c r="B110" i="35"/>
  <c r="B111" i="35"/>
  <c r="B112" i="35"/>
  <c r="B113" i="35"/>
  <c r="B114" i="35"/>
  <c r="B116" i="35"/>
  <c r="B96" i="35"/>
  <c r="B97" i="35"/>
  <c r="B98" i="35"/>
  <c r="B99" i="35"/>
  <c r="B100" i="35"/>
  <c r="B101" i="35"/>
  <c r="B103" i="35"/>
  <c r="B84" i="35"/>
  <c r="B85" i="35"/>
  <c r="B86" i="35"/>
  <c r="B87" i="35"/>
  <c r="B88" i="35"/>
  <c r="B89" i="35"/>
  <c r="B91" i="35"/>
  <c r="B72" i="35"/>
  <c r="B73" i="35"/>
  <c r="B74" i="35"/>
  <c r="B75" i="35"/>
  <c r="B76" i="35"/>
  <c r="B77" i="35"/>
  <c r="B79" i="35"/>
  <c r="Q63" i="35"/>
  <c r="Q74" i="35" s="1"/>
  <c r="Z139" i="32"/>
  <c r="Z195" i="32" s="1"/>
  <c r="T554" i="32"/>
  <c r="T522" i="32"/>
  <c r="T393" i="32"/>
  <c r="T116" i="32"/>
  <c r="T237" i="32"/>
  <c r="T270" i="32"/>
  <c r="T329" i="32"/>
  <c r="N383" i="32"/>
  <c r="N352" i="32"/>
  <c r="B384" i="32"/>
  <c r="N384" i="32" s="1"/>
  <c r="B385" i="32"/>
  <c r="N385" i="32" s="1"/>
  <c r="B386" i="32"/>
  <c r="N386" i="32" s="1"/>
  <c r="B387" i="32"/>
  <c r="N387" i="32" s="1"/>
  <c r="B388" i="32"/>
  <c r="N388" i="32" s="1"/>
  <c r="N390" i="32"/>
  <c r="B354" i="32"/>
  <c r="B355" i="32"/>
  <c r="B356" i="32"/>
  <c r="B357" i="32"/>
  <c r="B101" i="32"/>
  <c r="B102" i="32"/>
  <c r="B97" i="32"/>
  <c r="B106" i="32"/>
  <c r="B107" i="32"/>
  <c r="B108" i="32"/>
  <c r="B109" i="32"/>
  <c r="B110" i="32"/>
  <c r="B111" i="32"/>
  <c r="B112" i="32"/>
  <c r="B98" i="32"/>
  <c r="B99" i="32"/>
  <c r="B100" i="32"/>
  <c r="B103" i="32"/>
  <c r="B3" i="49"/>
  <c r="B68" i="32"/>
  <c r="B69" i="32"/>
  <c r="B70" i="32"/>
  <c r="B71" i="32"/>
  <c r="B72" i="32"/>
  <c r="B73" i="32"/>
  <c r="B67" i="32"/>
  <c r="D33" i="49"/>
  <c r="C33" i="49"/>
  <c r="E31" i="49"/>
  <c r="D31" i="49"/>
  <c r="C31" i="49"/>
  <c r="E30" i="49"/>
  <c r="D30" i="49"/>
  <c r="C30" i="49"/>
  <c r="E29" i="49"/>
  <c r="D29" i="49"/>
  <c r="C29" i="49"/>
  <c r="E28" i="49"/>
  <c r="D28" i="49"/>
  <c r="C28" i="49"/>
  <c r="E27" i="49"/>
  <c r="D27" i="49"/>
  <c r="C27" i="49"/>
  <c r="B27" i="49"/>
  <c r="E26" i="49"/>
  <c r="E22" i="49"/>
  <c r="D22" i="49"/>
  <c r="C22" i="49"/>
  <c r="E21" i="49"/>
  <c r="D21" i="49"/>
  <c r="C21" i="49"/>
  <c r="E20" i="49"/>
  <c r="D20" i="49"/>
  <c r="C20" i="49"/>
  <c r="E19" i="49"/>
  <c r="D19" i="49"/>
  <c r="C19" i="49"/>
  <c r="E18" i="49"/>
  <c r="D18" i="49"/>
  <c r="C18" i="49"/>
  <c r="B18" i="49"/>
  <c r="E17" i="49"/>
  <c r="B2" i="49"/>
  <c r="B142" i="3"/>
  <c r="B94" i="3"/>
  <c r="E94" i="3"/>
  <c r="C94" i="3"/>
  <c r="D94" i="3"/>
  <c r="C142" i="3"/>
  <c r="D142" i="3"/>
  <c r="E38" i="13"/>
  <c r="E39" i="13"/>
  <c r="E40" i="13"/>
  <c r="E41" i="13"/>
  <c r="E25" i="13"/>
  <c r="E26" i="13"/>
  <c r="E28" i="13"/>
  <c r="E29" i="13"/>
  <c r="E30" i="13"/>
  <c r="B18" i="15"/>
  <c r="C18" i="15"/>
  <c r="B19" i="15"/>
  <c r="C19" i="15"/>
  <c r="B20" i="15"/>
  <c r="C20" i="15"/>
  <c r="B21" i="15"/>
  <c r="C21" i="15"/>
  <c r="B23" i="15"/>
  <c r="C23" i="15"/>
  <c r="B28" i="15"/>
  <c r="C28" i="15"/>
  <c r="B29" i="15"/>
  <c r="C29" i="15"/>
  <c r="B30" i="15"/>
  <c r="C30" i="15"/>
  <c r="B31" i="15"/>
  <c r="C31" i="15"/>
  <c r="B33" i="15"/>
  <c r="C33" i="15"/>
  <c r="B34" i="15"/>
  <c r="C34" i="15"/>
  <c r="E31" i="4"/>
  <c r="B57" i="5"/>
  <c r="C57" i="5"/>
  <c r="D57" i="5"/>
  <c r="E57" i="5"/>
  <c r="B58" i="5"/>
  <c r="C58" i="5"/>
  <c r="D58" i="5"/>
  <c r="E58" i="5"/>
  <c r="B59" i="5"/>
  <c r="C59" i="5"/>
  <c r="D59" i="5"/>
  <c r="E59" i="5"/>
  <c r="B60" i="5"/>
  <c r="C60" i="5"/>
  <c r="D60" i="5"/>
  <c r="E60" i="5"/>
  <c r="B61" i="5"/>
  <c r="C61" i="5"/>
  <c r="D61" i="5"/>
  <c r="E61" i="5"/>
  <c r="B62" i="5"/>
  <c r="C62" i="5"/>
  <c r="D62" i="5"/>
  <c r="E62" i="5"/>
  <c r="B63" i="5"/>
  <c r="C63" i="5"/>
  <c r="D63" i="5"/>
  <c r="E63" i="5"/>
  <c r="B64" i="5"/>
  <c r="C64" i="5"/>
  <c r="D64" i="5"/>
  <c r="E64" i="5"/>
  <c r="B65" i="5"/>
  <c r="C65" i="5"/>
  <c r="D65" i="5"/>
  <c r="E65" i="5"/>
  <c r="C67" i="5"/>
  <c r="D67" i="5"/>
  <c r="E67" i="5"/>
  <c r="C68" i="5"/>
  <c r="D68" i="5"/>
  <c r="E68" i="5"/>
  <c r="B74" i="5"/>
  <c r="B71" i="5"/>
  <c r="C71" i="5"/>
  <c r="D71" i="5"/>
  <c r="E71" i="5"/>
  <c r="C70" i="5"/>
  <c r="D70" i="5"/>
  <c r="E70" i="5"/>
  <c r="B33" i="5"/>
  <c r="C33" i="5"/>
  <c r="D33" i="5"/>
  <c r="E33" i="5"/>
  <c r="B34" i="5"/>
  <c r="C34" i="5"/>
  <c r="D34" i="5"/>
  <c r="E34" i="5"/>
  <c r="B35" i="5"/>
  <c r="C35" i="5"/>
  <c r="D35" i="5"/>
  <c r="E35" i="5"/>
  <c r="B36" i="5"/>
  <c r="C36" i="5"/>
  <c r="D36" i="5"/>
  <c r="E36" i="5"/>
  <c r="B37" i="5"/>
  <c r="C37" i="5"/>
  <c r="D37" i="5"/>
  <c r="E37" i="5"/>
  <c r="B38" i="5"/>
  <c r="C38" i="5"/>
  <c r="D38" i="5"/>
  <c r="E38" i="5"/>
  <c r="B39" i="5"/>
  <c r="C39" i="5"/>
  <c r="D39" i="5"/>
  <c r="E39" i="5"/>
  <c r="B40" i="5"/>
  <c r="C40" i="5"/>
  <c r="D40" i="5"/>
  <c r="E40" i="5"/>
  <c r="B41" i="5"/>
  <c r="C41" i="5"/>
  <c r="D41" i="5"/>
  <c r="E41" i="5"/>
  <c r="B47" i="5"/>
  <c r="B46" i="5"/>
  <c r="N295" i="32"/>
  <c r="N296" i="32"/>
  <c r="N297" i="32"/>
  <c r="N298" i="32"/>
  <c r="N299" i="32"/>
  <c r="P63" i="35"/>
  <c r="P74" i="35" s="1"/>
  <c r="B36" i="13"/>
  <c r="B23" i="13"/>
  <c r="E23" i="13"/>
  <c r="E24" i="13"/>
  <c r="E31" i="13"/>
  <c r="E32" i="13"/>
  <c r="N226" i="32"/>
  <c r="N225" i="32"/>
  <c r="N200" i="32"/>
  <c r="N199" i="32"/>
  <c r="N198" i="32"/>
  <c r="N197" i="32"/>
  <c r="N196" i="32"/>
  <c r="B225" i="32"/>
  <c r="B226" i="32"/>
  <c r="C150" i="3"/>
  <c r="D150" i="3"/>
  <c r="E36" i="13"/>
  <c r="E37" i="13"/>
  <c r="E42" i="13"/>
  <c r="E35" i="13"/>
  <c r="E22" i="13"/>
  <c r="O96" i="35"/>
  <c r="O97" i="35"/>
  <c r="O85" i="35"/>
  <c r="O86" i="35"/>
  <c r="O74" i="35"/>
  <c r="O75" i="35"/>
  <c r="P75" i="35"/>
  <c r="N424" i="32"/>
  <c r="N422" i="32"/>
  <c r="N418" i="32"/>
  <c r="N419" i="32"/>
  <c r="N420" i="32"/>
  <c r="N421" i="32"/>
  <c r="N423" i="32"/>
  <c r="N425" i="32"/>
  <c r="N515" i="32"/>
  <c r="N487" i="32"/>
  <c r="N486" i="32"/>
  <c r="B3" i="35"/>
  <c r="B2" i="35"/>
  <c r="B3" i="8"/>
  <c r="B2" i="8"/>
  <c r="N516" i="32"/>
  <c r="N517" i="32"/>
  <c r="N518" i="32"/>
  <c r="B517" i="32"/>
  <c r="B518" i="32"/>
  <c r="N459" i="32"/>
  <c r="N460" i="32"/>
  <c r="N458" i="32"/>
  <c r="B3" i="16"/>
  <c r="B3" i="30"/>
  <c r="B3" i="5"/>
  <c r="B3" i="6"/>
  <c r="B3" i="13"/>
  <c r="B3" i="3"/>
  <c r="B3" i="4"/>
  <c r="B3" i="29"/>
  <c r="B3" i="15"/>
  <c r="B2" i="32"/>
  <c r="B3" i="10"/>
  <c r="B3" i="31"/>
  <c r="B2" i="31"/>
  <c r="B2" i="10"/>
  <c r="B3" i="32"/>
  <c r="B2" i="16"/>
  <c r="B2" i="30"/>
  <c r="B2" i="5"/>
  <c r="B2" i="6"/>
  <c r="B2" i="13"/>
  <c r="B2" i="3"/>
  <c r="B2" i="4"/>
  <c r="B2" i="29"/>
  <c r="B2" i="15"/>
  <c r="Z545" i="32"/>
  <c r="Z485" i="32"/>
  <c r="D550" i="32"/>
  <c r="Q61" i="35"/>
  <c r="Q72" i="35" s="1"/>
  <c r="D547" i="32"/>
  <c r="P61" i="35"/>
  <c r="P72" i="35" s="1"/>
  <c r="V64" i="35"/>
  <c r="V75" i="35" s="1"/>
  <c r="C172" i="32"/>
  <c r="O198" i="32"/>
  <c r="Q197" i="32"/>
  <c r="R199" i="32"/>
  <c r="Q196" i="32"/>
  <c r="R197" i="32"/>
  <c r="Z260" i="32"/>
  <c r="Q60" i="35"/>
  <c r="Q71" i="35" s="1"/>
  <c r="S64" i="35"/>
  <c r="R75" i="35"/>
  <c r="R97" i="35" s="1"/>
  <c r="U64" i="35"/>
  <c r="U75" i="35" s="1"/>
  <c r="Q64" i="35"/>
  <c r="Q75" i="35" s="1"/>
  <c r="F31" i="4"/>
  <c r="R74" i="35"/>
  <c r="P62" i="35"/>
  <c r="P73" i="35" s="1"/>
  <c r="D546" i="32"/>
  <c r="P60" i="35"/>
  <c r="P71" i="35" s="1"/>
  <c r="S63" i="35"/>
  <c r="S74" i="35" s="1"/>
  <c r="Q62" i="35"/>
  <c r="Q73" i="35" s="1"/>
  <c r="D548" i="32"/>
  <c r="C23" i="13"/>
  <c r="W63" i="35"/>
  <c r="W74" i="35" s="1"/>
  <c r="F30" i="4"/>
  <c r="B22" i="30"/>
  <c r="G29" i="13"/>
  <c r="E356" i="32"/>
  <c r="F356" i="32"/>
  <c r="F353" i="32"/>
  <c r="E225" i="32"/>
  <c r="Q198" i="32"/>
  <c r="E172" i="32"/>
  <c r="Q200" i="32"/>
  <c r="E226" i="32"/>
  <c r="F72" i="3"/>
  <c r="D60" i="35"/>
  <c r="D72" i="35" s="1"/>
  <c r="F77" i="3"/>
  <c r="D489" i="32"/>
  <c r="D518" i="32"/>
  <c r="E125" i="35"/>
  <c r="E72" i="35"/>
  <c r="R73" i="35"/>
  <c r="R71" i="35"/>
  <c r="R72" i="35"/>
  <c r="F548" i="32"/>
  <c r="S62" i="35"/>
  <c r="S73" i="35" s="1"/>
  <c r="G546" i="32"/>
  <c r="T60" i="35"/>
  <c r="I546" i="32"/>
  <c r="V60" i="35"/>
  <c r="I547" i="32"/>
  <c r="V61" i="35"/>
  <c r="V72" i="35" s="1"/>
  <c r="W62" i="35"/>
  <c r="W73" i="35" s="1"/>
  <c r="K547" i="32"/>
  <c r="K546" i="32"/>
  <c r="X60" i="35"/>
  <c r="K548" i="32"/>
  <c r="Z61" i="35"/>
  <c r="Z72" i="35" s="1"/>
  <c r="M547" i="32"/>
  <c r="Z60" i="35"/>
  <c r="M546" i="32"/>
  <c r="F225" i="32"/>
  <c r="R200" i="32"/>
  <c r="F172" i="32"/>
  <c r="F226" i="32"/>
  <c r="R196" i="32"/>
  <c r="G225" i="32"/>
  <c r="B49" i="6"/>
  <c r="B74" i="6" s="1"/>
  <c r="B44" i="6"/>
  <c r="B69" i="6" s="1"/>
  <c r="B34" i="6"/>
  <c r="B59" i="6" s="1"/>
  <c r="B38" i="6"/>
  <c r="B63" i="6" s="1"/>
  <c r="B47" i="6"/>
  <c r="B72" i="6" s="1"/>
  <c r="B48" i="6"/>
  <c r="B73" i="6" s="1"/>
  <c r="G88" i="5" l="1"/>
  <c r="U97" i="35"/>
  <c r="W96" i="35"/>
  <c r="Z71" i="35"/>
  <c r="T71" i="35"/>
  <c r="X71" i="35"/>
  <c r="V71" i="35"/>
  <c r="F197" i="32"/>
  <c r="M548" i="32"/>
  <c r="V62" i="35"/>
  <c r="V73" i="35" s="1"/>
  <c r="S60" i="35"/>
  <c r="S66" i="35" s="1"/>
  <c r="C25" i="29"/>
  <c r="D31" i="29"/>
  <c r="D27" i="29"/>
  <c r="M550" i="32"/>
  <c r="C357" i="32"/>
  <c r="Z62" i="35"/>
  <c r="Z66" i="35" s="1"/>
  <c r="V63" i="35"/>
  <c r="V74" i="35" s="1"/>
  <c r="T64" i="35"/>
  <c r="T75" i="35" s="1"/>
  <c r="H547" i="32"/>
  <c r="J547" i="32"/>
  <c r="X62" i="35"/>
  <c r="O199" i="32"/>
  <c r="C140" i="32"/>
  <c r="O197" i="32"/>
  <c r="F550" i="32"/>
  <c r="J550" i="32"/>
  <c r="N578" i="32"/>
  <c r="N580" i="32"/>
  <c r="M87" i="5"/>
  <c r="N87" i="5" s="1"/>
  <c r="O87" i="5" s="1"/>
  <c r="P87" i="5" s="1"/>
  <c r="R198" i="32"/>
  <c r="R201" i="32" s="1"/>
  <c r="H88" i="5"/>
  <c r="H548" i="32"/>
  <c r="I548" i="32"/>
  <c r="I551" i="32" s="1"/>
  <c r="I552" i="32" s="1"/>
  <c r="Q66" i="35"/>
  <c r="P76" i="35"/>
  <c r="C168" i="35" s="1"/>
  <c r="P96" i="35"/>
  <c r="S75" i="35"/>
  <c r="W97" i="35"/>
  <c r="X61" i="35"/>
  <c r="X72" i="35" s="1"/>
  <c r="G547" i="32"/>
  <c r="F547" i="32"/>
  <c r="C548" i="32"/>
  <c r="C551" i="32" s="1"/>
  <c r="E30" i="4"/>
  <c r="B21" i="30"/>
  <c r="C32" i="29"/>
  <c r="C225" i="32"/>
  <c r="K550" i="32"/>
  <c r="K551" i="32" s="1"/>
  <c r="E354" i="32"/>
  <c r="D487" i="32"/>
  <c r="T61" i="35"/>
  <c r="T72" i="35" s="1"/>
  <c r="T63" i="35"/>
  <c r="T74" i="35" s="1"/>
  <c r="I88" i="5"/>
  <c r="G356" i="32"/>
  <c r="H298" i="32"/>
  <c r="E298" i="32"/>
  <c r="E300" i="32"/>
  <c r="M299" i="32"/>
  <c r="C355" i="32"/>
  <c r="I299" i="32"/>
  <c r="L299" i="32"/>
  <c r="H299" i="32"/>
  <c r="C239" i="51"/>
  <c r="C300" i="32"/>
  <c r="I239" i="51"/>
  <c r="I300" i="32"/>
  <c r="K238" i="51"/>
  <c r="K299" i="32"/>
  <c r="E238" i="51"/>
  <c r="E299" i="32"/>
  <c r="J546" i="32"/>
  <c r="F300" i="32"/>
  <c r="D239" i="51"/>
  <c r="D300" i="32"/>
  <c r="Q96" i="35"/>
  <c r="H300" i="32"/>
  <c r="J299" i="32"/>
  <c r="C299" i="32"/>
  <c r="I298" i="32"/>
  <c r="W61" i="35"/>
  <c r="W72" i="35" s="1"/>
  <c r="F238" i="51"/>
  <c r="F299" i="32"/>
  <c r="D238" i="51"/>
  <c r="D299" i="32"/>
  <c r="M300" i="32"/>
  <c r="L300" i="32"/>
  <c r="K300" i="32"/>
  <c r="J239" i="51"/>
  <c r="J300" i="32"/>
  <c r="L238" i="51"/>
  <c r="H238" i="51"/>
  <c r="F239" i="51"/>
  <c r="L239" i="51"/>
  <c r="H239" i="51"/>
  <c r="J238" i="51"/>
  <c r="C238" i="51"/>
  <c r="K239" i="51"/>
  <c r="E239" i="51"/>
  <c r="I238" i="51"/>
  <c r="B20" i="30"/>
  <c r="B29" i="30"/>
  <c r="B23" i="30"/>
  <c r="B19" i="16"/>
  <c r="E53" i="3"/>
  <c r="D551" i="32"/>
  <c r="D552" i="32" s="1"/>
  <c r="Z352" i="32"/>
  <c r="Z383" i="32"/>
  <c r="Z457" i="32"/>
  <c r="Z294" i="32"/>
  <c r="Z224" i="32"/>
  <c r="Z417" i="32"/>
  <c r="Z322" i="32"/>
  <c r="Z169" i="32"/>
  <c r="Z514" i="32"/>
  <c r="Z577" i="32"/>
  <c r="G267" i="32"/>
  <c r="D31" i="15"/>
  <c r="O264" i="32" s="1"/>
  <c r="L267" i="32"/>
  <c r="D29" i="15"/>
  <c r="O262" i="32" s="1"/>
  <c r="C226" i="32"/>
  <c r="S198" i="32"/>
  <c r="C141" i="32"/>
  <c r="E13" i="8"/>
  <c r="J88" i="5"/>
  <c r="D517" i="32"/>
  <c r="G72" i="5"/>
  <c r="F16" i="8"/>
  <c r="F12" i="8"/>
  <c r="S200" i="32"/>
  <c r="E15" i="8"/>
  <c r="O196" i="32"/>
  <c r="D197" i="32"/>
  <c r="P198" i="32"/>
  <c r="F15" i="8"/>
  <c r="P196" i="32"/>
  <c r="F17" i="8"/>
  <c r="D225" i="32"/>
  <c r="D227" i="32" s="1"/>
  <c r="G60" i="5"/>
  <c r="F14" i="8"/>
  <c r="F13" i="8"/>
  <c r="D172" i="32"/>
  <c r="F11" i="8"/>
  <c r="G64" i="5"/>
  <c r="P199" i="32"/>
  <c r="P197" i="32"/>
  <c r="C298" i="32"/>
  <c r="D33" i="29"/>
  <c r="F267" i="32"/>
  <c r="F354" i="32"/>
  <c r="J204" i="51"/>
  <c r="K204" i="51" s="1"/>
  <c r="L204" i="51" s="1"/>
  <c r="E551" i="32"/>
  <c r="E552" i="32" s="1"/>
  <c r="P66" i="35"/>
  <c r="U96" i="35"/>
  <c r="R96" i="35"/>
  <c r="V97" i="35"/>
  <c r="D298" i="32"/>
  <c r="L546" i="32"/>
  <c r="Y61" i="35"/>
  <c r="Y72" i="35" s="1"/>
  <c r="J548" i="32"/>
  <c r="W60" i="35"/>
  <c r="U61" i="35"/>
  <c r="L548" i="32"/>
  <c r="Y60" i="35"/>
  <c r="L547" i="32"/>
  <c r="U62" i="35"/>
  <c r="U73" i="35" s="1"/>
  <c r="U60" i="35"/>
  <c r="L550" i="32"/>
  <c r="Y62" i="35"/>
  <c r="Y73" i="35" s="1"/>
  <c r="H546" i="32"/>
  <c r="D101" i="51"/>
  <c r="Q76" i="35"/>
  <c r="D168" i="35" s="1"/>
  <c r="D267" i="32"/>
  <c r="C36" i="13"/>
  <c r="E353" i="32"/>
  <c r="C60" i="35"/>
  <c r="C72" i="35" s="1"/>
  <c r="E73" i="35"/>
  <c r="C460" i="32"/>
  <c r="C125" i="35"/>
  <c r="D126" i="35"/>
  <c r="D65" i="35"/>
  <c r="D77" i="35" s="1"/>
  <c r="F88" i="3"/>
  <c r="C489" i="32"/>
  <c r="G66" i="35"/>
  <c r="G78" i="35" s="1"/>
  <c r="C517" i="32"/>
  <c r="C64" i="35"/>
  <c r="C76" i="35" s="1"/>
  <c r="D516" i="32"/>
  <c r="D488" i="32"/>
  <c r="D123" i="35"/>
  <c r="D62" i="35"/>
  <c r="D74" i="35" s="1"/>
  <c r="D486" i="32"/>
  <c r="D122" i="35"/>
  <c r="D419" i="32"/>
  <c r="D460" i="32"/>
  <c r="D63" i="35"/>
  <c r="D75" i="35" s="1"/>
  <c r="E17" i="8"/>
  <c r="K298" i="32"/>
  <c r="E75" i="35"/>
  <c r="C110" i="35"/>
  <c r="C122" i="35" s="1"/>
  <c r="C459" i="32"/>
  <c r="E74" i="35"/>
  <c r="E490" i="32"/>
  <c r="C518" i="32"/>
  <c r="C112" i="35"/>
  <c r="C124" i="35" s="1"/>
  <c r="E126" i="35"/>
  <c r="D425" i="32"/>
  <c r="D61" i="32"/>
  <c r="E122" i="35"/>
  <c r="C63" i="35"/>
  <c r="C75" i="35" s="1"/>
  <c r="E77" i="35"/>
  <c r="F66" i="35"/>
  <c r="F78" i="35" s="1"/>
  <c r="D30" i="15"/>
  <c r="O263" i="32" s="1"/>
  <c r="B15" i="16"/>
  <c r="B20" i="16"/>
  <c r="E197" i="32"/>
  <c r="E12" i="8"/>
  <c r="G101" i="51"/>
  <c r="H101" i="51"/>
  <c r="E16" i="8"/>
  <c r="Q201" i="32"/>
  <c r="E11" i="8"/>
  <c r="C61" i="35"/>
  <c r="C73" i="35" s="1"/>
  <c r="C62" i="35"/>
  <c r="C74" i="35" s="1"/>
  <c r="C421" i="32"/>
  <c r="E83" i="3"/>
  <c r="C424" i="32"/>
  <c r="E355" i="32"/>
  <c r="F355" i="32"/>
  <c r="F29" i="13"/>
  <c r="H356" i="32"/>
  <c r="L356" i="32"/>
  <c r="F357" i="32"/>
  <c r="C354" i="32"/>
  <c r="R353" i="32"/>
  <c r="D66" i="35"/>
  <c r="D78" i="35" s="1"/>
  <c r="F94" i="3"/>
  <c r="D64" i="35"/>
  <c r="D76" i="35" s="1"/>
  <c r="D61" i="35"/>
  <c r="D73" i="35" s="1"/>
  <c r="D458" i="32"/>
  <c r="D121" i="35"/>
  <c r="F152" i="3"/>
  <c r="E123" i="35"/>
  <c r="C487" i="32"/>
  <c r="C458" i="32"/>
  <c r="C353" i="32"/>
  <c r="F23" i="13"/>
  <c r="F25" i="13"/>
  <c r="G357" i="32"/>
  <c r="G23" i="13"/>
  <c r="M298" i="32"/>
  <c r="J298" i="32"/>
  <c r="F227" i="32"/>
  <c r="S96" i="35"/>
  <c r="R66" i="35"/>
  <c r="D124" i="35"/>
  <c r="K101" i="51"/>
  <c r="D424" i="32"/>
  <c r="D423" i="32"/>
  <c r="D421" i="32"/>
  <c r="D418" i="32"/>
  <c r="C121" i="35"/>
  <c r="C418" i="32"/>
  <c r="E152" i="3"/>
  <c r="C419" i="32"/>
  <c r="C488" i="32"/>
  <c r="C111" i="35"/>
  <c r="C123" i="35" s="1"/>
  <c r="E72" i="3"/>
  <c r="C423" i="32"/>
  <c r="C516" i="32"/>
  <c r="C425" i="32"/>
  <c r="C65" i="35"/>
  <c r="C77" i="35" s="1"/>
  <c r="C114" i="35"/>
  <c r="E78" i="35"/>
  <c r="E101" i="51"/>
  <c r="F101" i="51"/>
  <c r="J101" i="51"/>
  <c r="I101" i="51"/>
  <c r="G19" i="13"/>
  <c r="L298" i="32"/>
  <c r="R76" i="35"/>
  <c r="E168" i="35" s="1"/>
  <c r="X73" i="35"/>
  <c r="E227" i="32"/>
  <c r="E519" i="32"/>
  <c r="E121" i="35"/>
  <c r="E145" i="35" s="1"/>
  <c r="E76" i="35"/>
  <c r="E124" i="35"/>
  <c r="D125" i="35"/>
  <c r="V96" i="35" l="1"/>
  <c r="C429" i="32"/>
  <c r="T97" i="35"/>
  <c r="Z73" i="35"/>
  <c r="Z76" i="35" s="1"/>
  <c r="M168" i="35" s="1"/>
  <c r="T96" i="35"/>
  <c r="F551" i="32"/>
  <c r="F552" i="32" s="1"/>
  <c r="H551" i="32"/>
  <c r="H552" i="32" s="1"/>
  <c r="C147" i="32"/>
  <c r="J551" i="32"/>
  <c r="J552" i="32" s="1"/>
  <c r="W66" i="35"/>
  <c r="U71" i="35"/>
  <c r="S71" i="35"/>
  <c r="S76" i="35" s="1"/>
  <c r="F168" i="35" s="1"/>
  <c r="Y71" i="35"/>
  <c r="O201" i="32"/>
  <c r="F19" i="4"/>
  <c r="C552" i="32"/>
  <c r="D34" i="15"/>
  <c r="C28" i="32" s="1"/>
  <c r="V76" i="35"/>
  <c r="I168" i="35" s="1"/>
  <c r="M551" i="32"/>
  <c r="M552" i="32" s="1"/>
  <c r="C227" i="32"/>
  <c r="V66" i="35"/>
  <c r="W71" i="35"/>
  <c r="W76" i="35" s="1"/>
  <c r="J168" i="35" s="1"/>
  <c r="L551" i="32"/>
  <c r="L552" i="32" s="1"/>
  <c r="S97" i="35"/>
  <c r="K552" i="32"/>
  <c r="U66" i="35"/>
  <c r="R267" i="32"/>
  <c r="X66" i="35"/>
  <c r="E358" i="32"/>
  <c r="Y66" i="35"/>
  <c r="C59" i="32"/>
  <c r="D62" i="32"/>
  <c r="C62" i="32"/>
  <c r="C490" i="32"/>
  <c r="D429" i="32"/>
  <c r="P201" i="32"/>
  <c r="C358" i="32"/>
  <c r="D519" i="32"/>
  <c r="D490" i="32"/>
  <c r="D461" i="32"/>
  <c r="D145" i="35"/>
  <c r="K267" i="32"/>
  <c r="C461" i="32"/>
  <c r="D116" i="35"/>
  <c r="C519" i="32"/>
  <c r="I203" i="51"/>
  <c r="J203" i="51" s="1"/>
  <c r="U72" i="35"/>
  <c r="E79" i="35"/>
  <c r="E167" i="35" s="1"/>
  <c r="F358" i="32"/>
  <c r="E67" i="35"/>
  <c r="E461" i="32"/>
  <c r="E34" i="15"/>
  <c r="F54" i="3"/>
  <c r="D11" i="16"/>
  <c r="C323" i="51"/>
  <c r="C267" i="32"/>
  <c r="E15" i="15"/>
  <c r="J267" i="32"/>
  <c r="D67" i="35"/>
  <c r="D79" i="35"/>
  <c r="D167" i="35" s="1"/>
  <c r="H267" i="32"/>
  <c r="M267" i="32"/>
  <c r="I267" i="32"/>
  <c r="E267" i="32"/>
  <c r="E116" i="35"/>
  <c r="D358" i="32"/>
  <c r="C145" i="35"/>
  <c r="K323" i="51"/>
  <c r="C58" i="32"/>
  <c r="C116" i="35"/>
  <c r="C126" i="35"/>
  <c r="C128" i="35" s="1"/>
  <c r="C67" i="35"/>
  <c r="D58" i="32"/>
  <c r="G20" i="13"/>
  <c r="D128" i="35"/>
  <c r="C61" i="32"/>
  <c r="X76" i="35"/>
  <c r="K168" i="35" s="1"/>
  <c r="D22" i="16"/>
  <c r="E128" i="35"/>
  <c r="C79" i="35"/>
  <c r="O267" i="32" l="1"/>
  <c r="D28" i="32"/>
  <c r="D31" i="32" s="1"/>
  <c r="U267" i="32"/>
  <c r="J323" i="51"/>
  <c r="W267" i="32"/>
  <c r="E323" i="51"/>
  <c r="U76" i="35"/>
  <c r="H168" i="35" s="1"/>
  <c r="Q267" i="32"/>
  <c r="Y76" i="35"/>
  <c r="L168" i="35" s="1"/>
  <c r="T267" i="32"/>
  <c r="F323" i="51"/>
  <c r="V267" i="32"/>
  <c r="S267" i="32"/>
  <c r="G323" i="51"/>
  <c r="H323" i="51"/>
  <c r="D24" i="15"/>
  <c r="E35" i="15"/>
  <c r="E24" i="15"/>
  <c r="X267" i="32"/>
  <c r="M323" i="51"/>
  <c r="I323" i="51"/>
  <c r="L323" i="51"/>
  <c r="Y267" i="32"/>
  <c r="D323" i="51"/>
  <c r="D68" i="32"/>
  <c r="D430" i="32"/>
  <c r="D67" i="32"/>
  <c r="E430" i="32"/>
  <c r="P267" i="32"/>
  <c r="G354" i="32"/>
  <c r="G355" i="32"/>
  <c r="H357" i="32"/>
  <c r="G353" i="32"/>
  <c r="D71" i="32"/>
  <c r="D70" i="32"/>
  <c r="C167" i="35"/>
  <c r="Z267" i="32" l="1"/>
  <c r="N28" i="32"/>
  <c r="G89" i="5"/>
  <c r="I357" i="32"/>
  <c r="G358" i="32"/>
  <c r="S353" i="32"/>
  <c r="H353" i="32"/>
  <c r="H89" i="5" l="1"/>
  <c r="G90" i="5"/>
  <c r="I353" i="32"/>
  <c r="J357" i="32"/>
  <c r="I89" i="5" l="1"/>
  <c r="H90" i="5"/>
  <c r="K357" i="32"/>
  <c r="T353" i="32"/>
  <c r="J353" i="32"/>
  <c r="I90" i="5" l="1"/>
  <c r="U353" i="32"/>
  <c r="L357" i="32"/>
  <c r="K353" i="32"/>
  <c r="V353" i="32" l="1"/>
  <c r="M357" i="32"/>
  <c r="L353" i="32"/>
  <c r="X353" i="32" l="1"/>
  <c r="W353" i="32"/>
  <c r="M353" i="32"/>
  <c r="Y353" i="32" l="1"/>
  <c r="Z353" i="32" s="1"/>
  <c r="E585" i="32" l="1"/>
  <c r="D585" i="32"/>
  <c r="C585" i="32"/>
  <c r="E583" i="32"/>
  <c r="D583" i="32"/>
  <c r="E582" i="32"/>
  <c r="D582" i="32"/>
  <c r="E581" i="32"/>
  <c r="D581" i="32"/>
  <c r="C581" i="32"/>
  <c r="E580" i="32"/>
  <c r="D580" i="32"/>
  <c r="C580" i="32"/>
  <c r="E579" i="32"/>
  <c r="D579" i="32"/>
  <c r="C579" i="32"/>
  <c r="D578" i="32" l="1"/>
  <c r="D586" i="32" s="1"/>
  <c r="F16" i="29"/>
  <c r="C582" i="32"/>
  <c r="E578" i="32"/>
  <c r="E586" i="32" s="1"/>
  <c r="C578" i="32"/>
  <c r="C583" i="32"/>
  <c r="F32" i="29"/>
  <c r="P579" i="32" s="1"/>
  <c r="E33" i="29"/>
  <c r="E38" i="29"/>
  <c r="Q580" i="32"/>
  <c r="F34" i="29"/>
  <c r="P581" i="32" s="1"/>
  <c r="Q579" i="32"/>
  <c r="F36" i="29"/>
  <c r="F35" i="29"/>
  <c r="Q585" i="32"/>
  <c r="Q582" i="32"/>
  <c r="Q583" i="32"/>
  <c r="Q581" i="32"/>
  <c r="P583" i="32" l="1"/>
  <c r="F33" i="29"/>
  <c r="P580" i="32" s="1"/>
  <c r="D24" i="29"/>
  <c r="N582" i="32" s="1"/>
  <c r="D35" i="29"/>
  <c r="E34" i="29"/>
  <c r="E32" i="29"/>
  <c r="E31" i="29"/>
  <c r="D23" i="29"/>
  <c r="N581" i="32" s="1"/>
  <c r="D34" i="29"/>
  <c r="O585" i="32"/>
  <c r="P582" i="32"/>
  <c r="Q578" i="32"/>
  <c r="Q586" i="32" s="1"/>
  <c r="O580" i="32"/>
  <c r="E16" i="29"/>
  <c r="D60" i="32"/>
  <c r="D36" i="29"/>
  <c r="D25" i="29"/>
  <c r="N583" i="32" s="1"/>
  <c r="F38" i="29"/>
  <c r="P585" i="32" s="1"/>
  <c r="D32" i="29"/>
  <c r="D21" i="29"/>
  <c r="N579" i="32" s="1"/>
  <c r="C586" i="32"/>
  <c r="F17" i="29" l="1"/>
  <c r="C60" i="32"/>
  <c r="O579" i="32"/>
  <c r="F31" i="29"/>
  <c r="E39" i="29"/>
  <c r="O578" i="32"/>
  <c r="O581" i="32"/>
  <c r="D69" i="32" l="1"/>
  <c r="O586" i="32"/>
  <c r="P578" i="32"/>
  <c r="P586" i="32" s="1"/>
  <c r="F39" i="29"/>
  <c r="C99" i="32"/>
  <c r="D99" i="32" l="1"/>
  <c r="D108" i="32" l="1"/>
  <c r="G518" i="32" l="1"/>
  <c r="G61" i="35" l="1"/>
  <c r="G73" i="35" s="1"/>
  <c r="G458" i="32"/>
  <c r="G459" i="32"/>
  <c r="G112" i="35"/>
  <c r="F489" i="32"/>
  <c r="G489" i="32"/>
  <c r="F460" i="32"/>
  <c r="G418" i="32"/>
  <c r="G60" i="35"/>
  <c r="F62" i="35"/>
  <c r="F74" i="35" s="1"/>
  <c r="G64" i="35"/>
  <c r="G76" i="35" s="1"/>
  <c r="G65" i="35"/>
  <c r="F518" i="32"/>
  <c r="F488" i="32"/>
  <c r="F486" i="32"/>
  <c r="F63" i="35"/>
  <c r="F515" i="32"/>
  <c r="F418" i="32"/>
  <c r="F60" i="35"/>
  <c r="F110" i="35"/>
  <c r="F122" i="35" s="1"/>
  <c r="F459" i="32"/>
  <c r="F64" i="35"/>
  <c r="F76" i="35" s="1"/>
  <c r="F424" i="32" l="1"/>
  <c r="F421" i="32"/>
  <c r="G425" i="32"/>
  <c r="F112" i="35"/>
  <c r="F124" i="35" s="1"/>
  <c r="F75" i="35"/>
  <c r="F65" i="35"/>
  <c r="F77" i="35" s="1"/>
  <c r="G487" i="32"/>
  <c r="G72" i="35"/>
  <c r="G121" i="35"/>
  <c r="G145" i="35" s="1"/>
  <c r="G488" i="32"/>
  <c r="G486" i="32"/>
  <c r="G421" i="32"/>
  <c r="G62" i="35"/>
  <c r="F517" i="32"/>
  <c r="G460" i="32"/>
  <c r="G461" i="32" s="1"/>
  <c r="G111" i="35"/>
  <c r="G516" i="32"/>
  <c r="G110" i="35"/>
  <c r="F419" i="32"/>
  <c r="F61" i="35"/>
  <c r="F73" i="35" s="1"/>
  <c r="F458" i="32"/>
  <c r="F461" i="32" s="1"/>
  <c r="G77" i="35"/>
  <c r="G124" i="35"/>
  <c r="F111" i="35"/>
  <c r="F123" i="35" s="1"/>
  <c r="F487" i="32"/>
  <c r="F490" i="32" s="1"/>
  <c r="G114" i="35"/>
  <c r="G126" i="35" s="1"/>
  <c r="G517" i="32"/>
  <c r="F72" i="35"/>
  <c r="G113" i="35"/>
  <c r="G125" i="35" s="1"/>
  <c r="F113" i="35"/>
  <c r="F125" i="35" s="1"/>
  <c r="G424" i="32"/>
  <c r="F121" i="35"/>
  <c r="F145" i="35" s="1"/>
  <c r="G419" i="32"/>
  <c r="F67" i="35" l="1"/>
  <c r="F79" i="35"/>
  <c r="F167" i="35" s="1"/>
  <c r="F114" i="35"/>
  <c r="F126" i="35" s="1"/>
  <c r="G490" i="32"/>
  <c r="F425" i="32"/>
  <c r="F516" i="32"/>
  <c r="F519" i="32" s="1"/>
  <c r="F423" i="32"/>
  <c r="H121" i="35"/>
  <c r="G122" i="35"/>
  <c r="G123" i="35"/>
  <c r="G74" i="35"/>
  <c r="G116" i="35"/>
  <c r="F429" i="32" l="1"/>
  <c r="F128" i="35"/>
  <c r="G128" i="35"/>
  <c r="F116" i="35"/>
  <c r="F430" i="32" l="1"/>
  <c r="G515" i="32" l="1"/>
  <c r="G63" i="35"/>
  <c r="G423" i="32"/>
  <c r="H145" i="35" l="1"/>
  <c r="G519" i="32"/>
  <c r="J121" i="35"/>
  <c r="G429" i="32"/>
  <c r="G75" i="35"/>
  <c r="G79" i="35" s="1"/>
  <c r="G167" i="35" s="1"/>
  <c r="G67" i="35"/>
  <c r="I121" i="35"/>
  <c r="J145" i="35" l="1"/>
  <c r="I145" i="35"/>
  <c r="G430" i="32"/>
  <c r="K121" i="35" l="1"/>
  <c r="K145" i="35" s="1"/>
  <c r="L121" i="35" l="1"/>
  <c r="L145" i="35" s="1"/>
  <c r="M121" i="35"/>
  <c r="M145" i="35" l="1"/>
  <c r="S196" i="32" l="1"/>
  <c r="G142" i="32" l="1"/>
  <c r="G144" i="32"/>
  <c r="G141" i="32" l="1"/>
  <c r="G140" i="32"/>
  <c r="G172" i="32"/>
  <c r="G226" i="32"/>
  <c r="G227" i="32" s="1"/>
  <c r="G197" i="32"/>
  <c r="S197" i="32"/>
  <c r="S201" i="32" s="1"/>
  <c r="G143" i="32" l="1"/>
  <c r="G147" i="32" s="1"/>
  <c r="G196" i="32"/>
  <c r="J86" i="5"/>
  <c r="J89" i="5" s="1"/>
  <c r="J90" i="5" s="1"/>
  <c r="C33" i="30" l="1"/>
  <c r="C31" i="30"/>
  <c r="C32" i="30" l="1"/>
  <c r="C30" i="30"/>
  <c r="C29" i="30" l="1"/>
  <c r="C36" i="30" s="1"/>
  <c r="D36" i="30" l="1"/>
  <c r="D16" i="30"/>
  <c r="D37" i="30" l="1"/>
  <c r="D134" i="51" l="1"/>
  <c r="C134" i="51" l="1"/>
  <c r="C135" i="51" s="1"/>
  <c r="D136" i="51"/>
  <c r="D135" i="51"/>
  <c r="E134" i="51" l="1"/>
  <c r="F134" i="51"/>
  <c r="F135" i="51" s="1"/>
  <c r="E135" i="51" l="1"/>
  <c r="E136" i="51"/>
  <c r="F136" i="51"/>
  <c r="G134" i="51" l="1"/>
  <c r="G135" i="51" s="1"/>
  <c r="G136" i="51" l="1"/>
  <c r="H134" i="51" l="1"/>
  <c r="H135" i="51" s="1"/>
  <c r="H136" i="51" l="1"/>
  <c r="I134" i="51" l="1"/>
  <c r="I135" i="51" s="1"/>
  <c r="I136" i="51" l="1"/>
  <c r="J134" i="51"/>
  <c r="J135" i="51" l="1"/>
  <c r="J136" i="51"/>
  <c r="K134" i="51" l="1"/>
  <c r="K135" i="51" s="1"/>
  <c r="K136" i="51" l="1"/>
  <c r="L134" i="51" l="1"/>
  <c r="L136" i="51" l="1"/>
  <c r="L135" i="51"/>
  <c r="M134" i="51" l="1"/>
  <c r="M136" i="51" s="1"/>
  <c r="M135" i="51" l="1"/>
  <c r="F579" i="32" l="1"/>
  <c r="G579" i="32" l="1"/>
  <c r="G583" i="32"/>
  <c r="F582" i="32"/>
  <c r="F581" i="32"/>
  <c r="G582" i="32"/>
  <c r="G581" i="32"/>
  <c r="F585" i="32"/>
  <c r="F583" i="32"/>
  <c r="F580" i="32"/>
  <c r="F578" i="32" l="1"/>
  <c r="F586" i="32" s="1"/>
  <c r="S579" i="32"/>
  <c r="G578" i="32"/>
  <c r="G580" i="32"/>
  <c r="R579" i="32"/>
  <c r="S581" i="32"/>
  <c r="R583" i="32"/>
  <c r="R582" i="32"/>
  <c r="R581" i="32"/>
  <c r="S582" i="32"/>
  <c r="R585" i="32" l="1"/>
  <c r="S580" i="32"/>
  <c r="R580" i="32"/>
  <c r="R578" i="32" l="1"/>
  <c r="R586" i="32" s="1"/>
  <c r="S578" i="32"/>
  <c r="S583" i="32"/>
  <c r="G585" i="32" l="1"/>
  <c r="G586" i="32" s="1"/>
  <c r="H585" i="32"/>
  <c r="S585" i="32" l="1"/>
  <c r="S586" i="32" s="1"/>
  <c r="I585" i="32"/>
  <c r="J585" i="32" l="1"/>
  <c r="K585" i="32" l="1"/>
  <c r="T585" i="32"/>
  <c r="L585" i="32" l="1"/>
  <c r="U585" i="32"/>
  <c r="M585" i="32" l="1"/>
  <c r="V585" i="32"/>
  <c r="X585" i="32"/>
  <c r="W585" i="32" l="1"/>
  <c r="Y585" i="32" l="1"/>
  <c r="Z585" i="32" l="1"/>
  <c r="H580" i="32" l="1"/>
  <c r="H583" i="32"/>
  <c r="I583" i="32" l="1"/>
  <c r="H581" i="32"/>
  <c r="H582" i="32"/>
  <c r="I582" i="32"/>
  <c r="H579" i="32"/>
  <c r="J580" i="32" l="1"/>
  <c r="I579" i="32"/>
  <c r="I580" i="32"/>
  <c r="I581" i="32"/>
  <c r="U582" i="32"/>
  <c r="J583" i="32"/>
  <c r="U579" i="32" l="1"/>
  <c r="T579" i="32"/>
  <c r="U581" i="32"/>
  <c r="K583" i="32"/>
  <c r="J582" i="32"/>
  <c r="T581" i="32"/>
  <c r="J581" i="32"/>
  <c r="J579" i="32"/>
  <c r="T582" i="32"/>
  <c r="U580" i="32"/>
  <c r="U583" i="32"/>
  <c r="V580" i="32"/>
  <c r="K580" i="32"/>
  <c r="V582" i="32" l="1"/>
  <c r="V579" i="32"/>
  <c r="K581" i="32"/>
  <c r="W581" i="32"/>
  <c r="K579" i="32"/>
  <c r="L583" i="32"/>
  <c r="T583" i="32"/>
  <c r="T580" i="32"/>
  <c r="L580" i="32"/>
  <c r="K582" i="32"/>
  <c r="W579" i="32" l="1"/>
  <c r="L579" i="32"/>
  <c r="L582" i="32"/>
  <c r="V581" i="32"/>
  <c r="W583" i="32"/>
  <c r="M583" i="32"/>
  <c r="L581" i="32"/>
  <c r="X582" i="32" l="1"/>
  <c r="X583" i="32"/>
  <c r="X580" i="32"/>
  <c r="M580" i="32"/>
  <c r="M579" i="32"/>
  <c r="M582" i="32"/>
  <c r="M581" i="32"/>
  <c r="W582" i="32"/>
  <c r="Y581" i="32" l="1"/>
  <c r="Z581" i="32" s="1"/>
  <c r="Y582" i="32"/>
  <c r="Z582" i="32" s="1"/>
  <c r="Y579" i="32"/>
  <c r="Z579" i="32" s="1"/>
  <c r="V583" i="32"/>
  <c r="X581" i="32"/>
  <c r="X579" i="32"/>
  <c r="W580" i="32"/>
  <c r="Y583" i="32" l="1"/>
  <c r="Z583" i="32" s="1"/>
  <c r="Y580" i="32"/>
  <c r="Z580" i="32" s="1"/>
  <c r="H578" i="32" l="1"/>
  <c r="H586" i="32" s="1"/>
  <c r="T578" i="32" l="1"/>
  <c r="T586" i="32" s="1"/>
  <c r="I578" i="32"/>
  <c r="I586" i="32" s="1"/>
  <c r="J578" i="32" l="1"/>
  <c r="U578" i="32" l="1"/>
  <c r="U586" i="32" s="1"/>
  <c r="K578" i="32"/>
  <c r="K586" i="32" s="1"/>
  <c r="J586" i="32"/>
  <c r="W578" i="32" l="1"/>
  <c r="W586" i="32" s="1"/>
  <c r="L578" i="32"/>
  <c r="L586" i="32" l="1"/>
  <c r="M578" i="32"/>
  <c r="M586" i="32" s="1"/>
  <c r="V578" i="32" l="1"/>
  <c r="V586" i="32" s="1"/>
  <c r="Y578" i="32" l="1"/>
  <c r="X578" i="32"/>
  <c r="X586" i="32" s="1"/>
  <c r="Z578" i="32" l="1"/>
  <c r="Y586" i="32"/>
  <c r="Z586" i="32" s="1"/>
  <c r="G324" i="32" l="1"/>
  <c r="F324" i="32"/>
  <c r="E324" i="32"/>
  <c r="C324" i="32"/>
  <c r="F323" i="32"/>
  <c r="D323" i="32"/>
  <c r="C323" i="32" l="1"/>
  <c r="F295" i="32"/>
  <c r="E325" i="32"/>
  <c r="D324" i="32"/>
  <c r="C295" i="32"/>
  <c r="F325" i="32"/>
  <c r="D37" i="6"/>
  <c r="F296" i="32"/>
  <c r="D85" i="6"/>
  <c r="E323" i="32"/>
  <c r="D296" i="32"/>
  <c r="E85" i="6"/>
  <c r="D325" i="32"/>
  <c r="E296" i="32"/>
  <c r="D30" i="6" l="1"/>
  <c r="O199" i="51" s="1"/>
  <c r="D295" i="32"/>
  <c r="D301" i="32" s="1"/>
  <c r="G323" i="32"/>
  <c r="G326" i="32" s="1"/>
  <c r="C326" i="32"/>
  <c r="F326" i="32"/>
  <c r="C30" i="6"/>
  <c r="E37" i="6"/>
  <c r="G325" i="32"/>
  <c r="G296" i="32"/>
  <c r="C85" i="6"/>
  <c r="E295" i="32"/>
  <c r="E301" i="32" s="1"/>
  <c r="F301" i="32"/>
  <c r="E326" i="32"/>
  <c r="C296" i="32"/>
  <c r="C301" i="32" s="1"/>
  <c r="G295" i="32"/>
  <c r="E30" i="6"/>
  <c r="C325" i="32"/>
  <c r="D326" i="32"/>
  <c r="D64" i="32" l="1"/>
  <c r="N199" i="51"/>
  <c r="K203" i="51" s="1"/>
  <c r="L203" i="51" s="1"/>
  <c r="G301" i="32"/>
  <c r="E31" i="6"/>
  <c r="D31" i="6"/>
  <c r="C64" i="32"/>
  <c r="D73" i="32" l="1"/>
  <c r="G548" i="32" l="1"/>
  <c r="G551" i="32" s="1"/>
  <c r="T62" i="35"/>
  <c r="T73" i="35" l="1"/>
  <c r="T76" i="35" s="1"/>
  <c r="G168" i="35" s="1"/>
  <c r="T66" i="35"/>
  <c r="G552" i="32"/>
  <c r="I171" i="32" l="1"/>
  <c r="H488" i="32"/>
  <c r="H171" i="32"/>
  <c r="H459" i="32"/>
  <c r="H518" i="32"/>
  <c r="H170" i="32"/>
  <c r="H422" i="32"/>
  <c r="H110" i="35"/>
  <c r="H489" i="32"/>
  <c r="H122" i="35" l="1"/>
  <c r="I459" i="32"/>
  <c r="I140" i="32"/>
  <c r="I489" i="32"/>
  <c r="I518" i="32"/>
  <c r="I170" i="32"/>
  <c r="H428" i="32"/>
  <c r="H140" i="32"/>
  <c r="I488" i="32"/>
  <c r="H460" i="32"/>
  <c r="H60" i="35"/>
  <c r="H418" i="32"/>
  <c r="I420" i="32"/>
  <c r="H420" i="32"/>
  <c r="J518" i="32" l="1"/>
  <c r="I60" i="35"/>
  <c r="I418" i="32"/>
  <c r="J170" i="32"/>
  <c r="I428" i="32"/>
  <c r="I460" i="32"/>
  <c r="H72" i="35"/>
  <c r="J488" i="32"/>
  <c r="J489" i="32"/>
  <c r="J420" i="32"/>
  <c r="I110" i="35"/>
  <c r="J171" i="32"/>
  <c r="J422" i="32"/>
  <c r="I422" i="32"/>
  <c r="K170" i="32"/>
  <c r="K171" i="32"/>
  <c r="L171" i="32"/>
  <c r="I122" i="35" l="1"/>
  <c r="J60" i="35"/>
  <c r="J418" i="32"/>
  <c r="K420" i="32"/>
  <c r="J140" i="32"/>
  <c r="K140" i="32"/>
  <c r="K489" i="32"/>
  <c r="K422" i="32"/>
  <c r="L140" i="32"/>
  <c r="J460" i="32"/>
  <c r="K488" i="32"/>
  <c r="K518" i="32"/>
  <c r="J459" i="32"/>
  <c r="J110" i="35"/>
  <c r="J428" i="32"/>
  <c r="I72" i="35"/>
  <c r="M171" i="32"/>
  <c r="J122" i="35" l="1"/>
  <c r="L518" i="32"/>
  <c r="K428" i="32"/>
  <c r="J72" i="35"/>
  <c r="L459" i="32"/>
  <c r="L170" i="32"/>
  <c r="K110" i="35"/>
  <c r="K459" i="32"/>
  <c r="K460" i="32"/>
  <c r="M140" i="32"/>
  <c r="L420" i="32"/>
  <c r="L489" i="32"/>
  <c r="K418" i="32"/>
  <c r="K60" i="35"/>
  <c r="L488" i="32"/>
  <c r="K122" i="35" l="1"/>
  <c r="L422" i="32"/>
  <c r="M420" i="32"/>
  <c r="M518" i="32"/>
  <c r="K72" i="35"/>
  <c r="M170" i="32"/>
  <c r="M488" i="32"/>
  <c r="L60" i="35"/>
  <c r="L418" i="32"/>
  <c r="L428" i="32"/>
  <c r="M489" i="32"/>
  <c r="L460" i="32"/>
  <c r="L110" i="35"/>
  <c r="L122" i="35" l="1"/>
  <c r="M422" i="32"/>
  <c r="M459" i="32"/>
  <c r="M110" i="35"/>
  <c r="L72" i="35"/>
  <c r="M418" i="32"/>
  <c r="M60" i="35"/>
  <c r="M428" i="32"/>
  <c r="M460" i="32"/>
  <c r="M122" i="35" l="1"/>
  <c r="M72" i="35"/>
  <c r="H64" i="35" l="1"/>
  <c r="H76" i="35" s="1"/>
  <c r="I66" i="35"/>
  <c r="I78" i="35" s="1"/>
  <c r="H66" i="35"/>
  <c r="H78" i="35" s="1"/>
  <c r="H113" i="35"/>
  <c r="H125" i="35" s="1"/>
  <c r="I64" i="35" l="1"/>
  <c r="I76" i="35" s="1"/>
  <c r="H424" i="32"/>
  <c r="I113" i="35"/>
  <c r="I125" i="35" s="1"/>
  <c r="J66" i="35" l="1"/>
  <c r="J78" i="35" s="1"/>
  <c r="J64" i="35"/>
  <c r="J76" i="35" s="1"/>
  <c r="I424" i="32"/>
  <c r="J113" i="35"/>
  <c r="J125" i="35" s="1"/>
  <c r="K64" i="35" l="1"/>
  <c r="K76" i="35" s="1"/>
  <c r="K66" i="35"/>
  <c r="K78" i="35" s="1"/>
  <c r="J424" i="32"/>
  <c r="K113" i="35"/>
  <c r="K125" i="35" s="1"/>
  <c r="L64" i="35" l="1"/>
  <c r="L76" i="35" s="1"/>
  <c r="K424" i="32"/>
  <c r="L66" i="35"/>
  <c r="L78" i="35" s="1"/>
  <c r="L113" i="35"/>
  <c r="L125" i="35" s="1"/>
  <c r="M66" i="35" l="1"/>
  <c r="M78" i="35" s="1"/>
  <c r="M64" i="35"/>
  <c r="M76" i="35" s="1"/>
  <c r="H146" i="32"/>
  <c r="L424" i="32"/>
  <c r="M113" i="35"/>
  <c r="M125" i="35" s="1"/>
  <c r="H517" i="32" l="1"/>
  <c r="H62" i="35"/>
  <c r="H74" i="35" s="1"/>
  <c r="H486" i="32"/>
  <c r="I61" i="35"/>
  <c r="I458" i="32"/>
  <c r="I461" i="32" s="1"/>
  <c r="I419" i="32"/>
  <c r="I146" i="32"/>
  <c r="H458" i="32"/>
  <c r="H419" i="32"/>
  <c r="H61" i="35"/>
  <c r="M424" i="32"/>
  <c r="I111" i="35"/>
  <c r="I487" i="32"/>
  <c r="H516" i="32"/>
  <c r="H114" i="35"/>
  <c r="H126" i="35" s="1"/>
  <c r="I517" i="32"/>
  <c r="I123" i="35" l="1"/>
  <c r="H112" i="35"/>
  <c r="H124" i="35" s="1"/>
  <c r="I421" i="32"/>
  <c r="I62" i="35"/>
  <c r="I74" i="35" s="1"/>
  <c r="I486" i="32"/>
  <c r="I490" i="32" s="1"/>
  <c r="I112" i="35"/>
  <c r="I124" i="35" s="1"/>
  <c r="I516" i="32"/>
  <c r="H111" i="35"/>
  <c r="H487" i="32"/>
  <c r="H490" i="32" s="1"/>
  <c r="H461" i="32"/>
  <c r="I73" i="35"/>
  <c r="J146" i="32"/>
  <c r="H143" i="32"/>
  <c r="T200" i="32"/>
  <c r="J65" i="35"/>
  <c r="J77" i="35" s="1"/>
  <c r="H225" i="32"/>
  <c r="I114" i="35"/>
  <c r="I126" i="35" s="1"/>
  <c r="H73" i="35"/>
  <c r="J61" i="35"/>
  <c r="J458" i="32"/>
  <c r="J461" i="32" s="1"/>
  <c r="J419" i="32"/>
  <c r="T198" i="32"/>
  <c r="K88" i="5"/>
  <c r="H145" i="32"/>
  <c r="T196" i="32"/>
  <c r="H196" i="32"/>
  <c r="H142" i="32"/>
  <c r="H426" i="32"/>
  <c r="H425" i="32"/>
  <c r="H65" i="35"/>
  <c r="H77" i="35" s="1"/>
  <c r="H421" i="32"/>
  <c r="T199" i="32"/>
  <c r="T197" i="32"/>
  <c r="H226" i="32"/>
  <c r="H63" i="35"/>
  <c r="H75" i="35" s="1"/>
  <c r="H515" i="32"/>
  <c r="H423" i="32"/>
  <c r="I427" i="32"/>
  <c r="H427" i="32"/>
  <c r="J427" i="32"/>
  <c r="H197" i="32"/>
  <c r="H123" i="35" l="1"/>
  <c r="H128" i="35" s="1"/>
  <c r="H116" i="35"/>
  <c r="I116" i="35"/>
  <c r="I128" i="35"/>
  <c r="H79" i="35"/>
  <c r="H167" i="35" s="1"/>
  <c r="I426" i="32"/>
  <c r="H429" i="32"/>
  <c r="T201" i="32"/>
  <c r="J486" i="32"/>
  <c r="J62" i="35"/>
  <c r="J74" i="35" s="1"/>
  <c r="K419" i="32"/>
  <c r="K61" i="35"/>
  <c r="K458" i="32"/>
  <c r="K461" i="32" s="1"/>
  <c r="K146" i="32"/>
  <c r="I226" i="32"/>
  <c r="L88" i="5"/>
  <c r="I145" i="32"/>
  <c r="I143" i="32"/>
  <c r="I172" i="32"/>
  <c r="I141" i="32"/>
  <c r="H519" i="32"/>
  <c r="I423" i="32"/>
  <c r="I63" i="35"/>
  <c r="I515" i="32"/>
  <c r="I519" i="32" s="1"/>
  <c r="H172" i="32"/>
  <c r="H141" i="32"/>
  <c r="K86" i="5"/>
  <c r="U197" i="32"/>
  <c r="J517" i="32"/>
  <c r="J421" i="32"/>
  <c r="H227" i="32"/>
  <c r="I425" i="32"/>
  <c r="I65" i="35"/>
  <c r="I77" i="35" s="1"/>
  <c r="U196" i="32"/>
  <c r="I142" i="32"/>
  <c r="I196" i="32"/>
  <c r="I225" i="32"/>
  <c r="H144" i="32"/>
  <c r="J516" i="32"/>
  <c r="H67" i="35"/>
  <c r="U198" i="32"/>
  <c r="U200" i="32"/>
  <c r="U199" i="32"/>
  <c r="J114" i="35"/>
  <c r="J126" i="35" s="1"/>
  <c r="J73" i="35"/>
  <c r="K517" i="32"/>
  <c r="J425" i="32" l="1"/>
  <c r="H430" i="32"/>
  <c r="K486" i="32"/>
  <c r="K421" i="32"/>
  <c r="K62" i="35"/>
  <c r="K74" i="35" s="1"/>
  <c r="V199" i="32"/>
  <c r="V197" i="32"/>
  <c r="K112" i="35"/>
  <c r="K124" i="35" s="1"/>
  <c r="K516" i="32"/>
  <c r="L516" i="32"/>
  <c r="J423" i="32"/>
  <c r="J63" i="35"/>
  <c r="J515" i="32"/>
  <c r="J519" i="32" s="1"/>
  <c r="I197" i="32"/>
  <c r="K89" i="5"/>
  <c r="K427" i="32"/>
  <c r="K73" i="35"/>
  <c r="J172" i="32"/>
  <c r="J141" i="32"/>
  <c r="V198" i="32"/>
  <c r="L458" i="32"/>
  <c r="L61" i="35"/>
  <c r="L419" i="32"/>
  <c r="J225" i="32"/>
  <c r="M88" i="5"/>
  <c r="J145" i="32"/>
  <c r="I75" i="35"/>
  <c r="I79" i="35" s="1"/>
  <c r="I167" i="35" s="1"/>
  <c r="I67" i="35"/>
  <c r="J143" i="32"/>
  <c r="K111" i="35"/>
  <c r="K487" i="32"/>
  <c r="I144" i="32"/>
  <c r="I147" i="32" s="1"/>
  <c r="J111" i="35"/>
  <c r="J487" i="32"/>
  <c r="J490" i="32" s="1"/>
  <c r="L86" i="5"/>
  <c r="J426" i="32"/>
  <c r="V196" i="32"/>
  <c r="J142" i="32"/>
  <c r="J196" i="32"/>
  <c r="L146" i="32"/>
  <c r="J226" i="32"/>
  <c r="V200" i="32"/>
  <c r="J112" i="35"/>
  <c r="J124" i="35" s="1"/>
  <c r="U201" i="32"/>
  <c r="H147" i="32"/>
  <c r="I429" i="32"/>
  <c r="I227" i="32"/>
  <c r="J227" i="32" l="1"/>
  <c r="J123" i="35"/>
  <c r="J128" i="35" s="1"/>
  <c r="J116" i="35"/>
  <c r="K123" i="35"/>
  <c r="J429" i="32"/>
  <c r="J430" i="32" s="1"/>
  <c r="M62" i="35"/>
  <c r="M74" i="35" s="1"/>
  <c r="K114" i="35"/>
  <c r="K126" i="35" s="1"/>
  <c r="L111" i="35"/>
  <c r="L487" i="32"/>
  <c r="L89" i="5"/>
  <c r="L90" i="5" s="1"/>
  <c r="L461" i="32"/>
  <c r="J75" i="35"/>
  <c r="J79" i="35" s="1"/>
  <c r="J167" i="35" s="1"/>
  <c r="J67" i="35"/>
  <c r="K426" i="32"/>
  <c r="K65" i="35"/>
  <c r="K77" i="35" s="1"/>
  <c r="K425" i="32"/>
  <c r="K490" i="32"/>
  <c r="K172" i="32"/>
  <c r="K141" i="32"/>
  <c r="K145" i="32"/>
  <c r="N88" i="5"/>
  <c r="K225" i="32"/>
  <c r="K143" i="32"/>
  <c r="J144" i="32"/>
  <c r="J147" i="32" s="1"/>
  <c r="M86" i="5"/>
  <c r="M146" i="32"/>
  <c r="W200" i="32"/>
  <c r="W199" i="32"/>
  <c r="W197" i="32"/>
  <c r="I430" i="32"/>
  <c r="L73" i="35"/>
  <c r="J197" i="32"/>
  <c r="K90" i="5"/>
  <c r="V201" i="32"/>
  <c r="M419" i="32"/>
  <c r="M61" i="35"/>
  <c r="M458" i="32"/>
  <c r="M461" i="32" s="1"/>
  <c r="W198" i="32"/>
  <c r="W196" i="32"/>
  <c r="K142" i="32"/>
  <c r="K196" i="32"/>
  <c r="K226" i="32"/>
  <c r="M516" i="32"/>
  <c r="L114" i="35"/>
  <c r="L126" i="35" s="1"/>
  <c r="L427" i="32"/>
  <c r="K63" i="35"/>
  <c r="K515" i="32"/>
  <c r="K423" i="32"/>
  <c r="N86" i="5"/>
  <c r="M517" i="32"/>
  <c r="K128" i="35" l="1"/>
  <c r="L123" i="35"/>
  <c r="K116" i="35"/>
  <c r="M486" i="32"/>
  <c r="L426" i="32"/>
  <c r="K429" i="32"/>
  <c r="K430" i="32" s="1"/>
  <c r="K227" i="32"/>
  <c r="X196" i="32"/>
  <c r="L142" i="32"/>
  <c r="L196" i="32"/>
  <c r="M111" i="35"/>
  <c r="M487" i="32"/>
  <c r="M112" i="35"/>
  <c r="M124" i="35" s="1"/>
  <c r="L423" i="32"/>
  <c r="L515" i="32"/>
  <c r="L63" i="35"/>
  <c r="L75" i="35" s="1"/>
  <c r="M427" i="32"/>
  <c r="L62" i="35"/>
  <c r="L486" i="32"/>
  <c r="L421" i="32"/>
  <c r="L226" i="32"/>
  <c r="X198" i="32"/>
  <c r="L172" i="32"/>
  <c r="L141" i="32"/>
  <c r="M73" i="35"/>
  <c r="M421" i="32"/>
  <c r="X197" i="32"/>
  <c r="X199" i="32"/>
  <c r="X200" i="32"/>
  <c r="K519" i="32"/>
  <c r="K197" i="32"/>
  <c r="W201" i="32"/>
  <c r="M89" i="5"/>
  <c r="L145" i="32"/>
  <c r="O88" i="5"/>
  <c r="L225" i="32"/>
  <c r="L143" i="32"/>
  <c r="K144" i="32"/>
  <c r="K147" i="32" s="1"/>
  <c r="K75" i="35"/>
  <c r="K79" i="35" s="1"/>
  <c r="K167" i="35" s="1"/>
  <c r="K67" i="35"/>
  <c r="L65" i="35"/>
  <c r="L77" i="35" s="1"/>
  <c r="L425" i="32"/>
  <c r="L517" i="32"/>
  <c r="L112" i="35"/>
  <c r="L124" i="35" s="1"/>
  <c r="L197" i="32"/>
  <c r="M490" i="32" l="1"/>
  <c r="L116" i="35"/>
  <c r="M123" i="35"/>
  <c r="L128" i="35"/>
  <c r="M114" i="35"/>
  <c r="M126" i="35" s="1"/>
  <c r="Y198" i="32"/>
  <c r="Z198" i="32" s="1"/>
  <c r="M172" i="32"/>
  <c r="M141" i="32"/>
  <c r="M145" i="32"/>
  <c r="P88" i="5"/>
  <c r="M90" i="5"/>
  <c r="L490" i="32"/>
  <c r="L519" i="32"/>
  <c r="L144" i="32"/>
  <c r="L147" i="32" s="1"/>
  <c r="M426" i="32"/>
  <c r="X201" i="32"/>
  <c r="L74" i="35"/>
  <c r="L79" i="35" s="1"/>
  <c r="L167" i="35" s="1"/>
  <c r="L67" i="35"/>
  <c r="N89" i="5"/>
  <c r="N90" i="5" s="1"/>
  <c r="M143" i="32"/>
  <c r="Y200" i="32"/>
  <c r="Z200" i="32" s="1"/>
  <c r="M226" i="32"/>
  <c r="Y199" i="32"/>
  <c r="Z199" i="32" s="1"/>
  <c r="Y197" i="32"/>
  <c r="Y196" i="32"/>
  <c r="Z196" i="32" s="1"/>
  <c r="M142" i="32"/>
  <c r="M196" i="32"/>
  <c r="M225" i="32"/>
  <c r="M423" i="32"/>
  <c r="M63" i="35"/>
  <c r="M515" i="32"/>
  <c r="M65" i="35"/>
  <c r="M77" i="35" s="1"/>
  <c r="M425" i="32"/>
  <c r="O86" i="5"/>
  <c r="L227" i="32"/>
  <c r="L429" i="32"/>
  <c r="M116" i="35" l="1"/>
  <c r="M128" i="35"/>
  <c r="M197" i="32"/>
  <c r="L430" i="32"/>
  <c r="M429" i="32"/>
  <c r="M227" i="32"/>
  <c r="P86" i="5"/>
  <c r="M144" i="32"/>
  <c r="M147" i="32" s="1"/>
  <c r="M519" i="32"/>
  <c r="Y201" i="32"/>
  <c r="Z201" i="32" s="1"/>
  <c r="O89" i="5"/>
  <c r="O90" i="5" s="1"/>
  <c r="M75" i="35"/>
  <c r="M79" i="35" s="1"/>
  <c r="M167" i="35" s="1"/>
  <c r="M67" i="35"/>
  <c r="P89" i="5" l="1"/>
  <c r="P90" i="5" s="1"/>
  <c r="M430" i="32"/>
  <c r="E41" i="6" l="1"/>
  <c r="H354" i="32" l="1"/>
  <c r="F388" i="32" l="1"/>
  <c r="G389" i="32"/>
  <c r="D389" i="32"/>
  <c r="G23" i="49"/>
  <c r="E389" i="32"/>
  <c r="D387" i="32" l="1"/>
  <c r="E384" i="32"/>
  <c r="F21" i="49"/>
  <c r="C387" i="32"/>
  <c r="E385" i="32"/>
  <c r="F22" i="49"/>
  <c r="C388" i="32"/>
  <c r="D386" i="32"/>
  <c r="C389" i="32"/>
  <c r="F23" i="49"/>
  <c r="G386" i="32"/>
  <c r="D384" i="32"/>
  <c r="G14" i="49"/>
  <c r="G384" i="32"/>
  <c r="E386" i="32"/>
  <c r="G387" i="32"/>
  <c r="G385" i="32"/>
  <c r="E388" i="32"/>
  <c r="D385" i="32"/>
  <c r="C385" i="32"/>
  <c r="F386" i="32"/>
  <c r="F389" i="32"/>
  <c r="F385" i="32"/>
  <c r="D388" i="32"/>
  <c r="F14" i="49"/>
  <c r="C384" i="32"/>
  <c r="C386" i="32"/>
  <c r="G388" i="32"/>
  <c r="F384" i="32"/>
  <c r="F387" i="32"/>
  <c r="E387" i="32"/>
  <c r="H384" i="32" l="1"/>
  <c r="H386" i="32"/>
  <c r="H389" i="32"/>
  <c r="H385" i="32"/>
  <c r="H387" i="32"/>
  <c r="C390" i="32"/>
  <c r="H388" i="32"/>
  <c r="I389" i="32"/>
  <c r="G15" i="49"/>
  <c r="C63" i="32"/>
  <c r="D390" i="32"/>
  <c r="E390" i="32"/>
  <c r="F390" i="32"/>
  <c r="G390" i="32"/>
  <c r="D63" i="32"/>
  <c r="I384" i="32" l="1"/>
  <c r="I385" i="32"/>
  <c r="K389" i="32"/>
  <c r="D65" i="32"/>
  <c r="D72" i="32"/>
  <c r="C65" i="32"/>
  <c r="H390" i="32"/>
  <c r="J389" i="32"/>
  <c r="I387" i="32"/>
  <c r="I388" i="32"/>
  <c r="I386" i="32"/>
  <c r="E74" i="32" l="1"/>
  <c r="D74" i="32"/>
  <c r="J387" i="32"/>
  <c r="J386" i="32"/>
  <c r="J388" i="32"/>
  <c r="G74" i="32"/>
  <c r="J385" i="32"/>
  <c r="F74" i="32"/>
  <c r="I390" i="32"/>
  <c r="J384" i="32"/>
  <c r="L389" i="32"/>
  <c r="I354" i="32"/>
  <c r="K385" i="32"/>
  <c r="K386" i="32"/>
  <c r="O388" i="32"/>
  <c r="S384" i="32" l="1"/>
  <c r="R387" i="32"/>
  <c r="P384" i="32"/>
  <c r="G18" i="49"/>
  <c r="S388" i="32"/>
  <c r="P386" i="32"/>
  <c r="G20" i="49"/>
  <c r="O387" i="32"/>
  <c r="R388" i="32"/>
  <c r="Q389" i="32"/>
  <c r="O389" i="32"/>
  <c r="P389" i="32"/>
  <c r="R384" i="32"/>
  <c r="Q385" i="32"/>
  <c r="R386" i="32"/>
  <c r="J390" i="32"/>
  <c r="K384" i="32"/>
  <c r="K388" i="32"/>
  <c r="K387" i="32"/>
  <c r="M389" i="32"/>
  <c r="J354" i="32"/>
  <c r="L386" i="32"/>
  <c r="L385" i="32"/>
  <c r="G33" i="49" l="1"/>
  <c r="S387" i="32"/>
  <c r="S389" i="32"/>
  <c r="Q387" i="32"/>
  <c r="R389" i="32"/>
  <c r="O386" i="32"/>
  <c r="F20" i="49"/>
  <c r="S385" i="32"/>
  <c r="Q388" i="32"/>
  <c r="Q386" i="32"/>
  <c r="P388" i="32"/>
  <c r="G22" i="49"/>
  <c r="R385" i="32"/>
  <c r="R390" i="32" s="1"/>
  <c r="P387" i="32"/>
  <c r="G21" i="49"/>
  <c r="O385" i="32"/>
  <c r="F19" i="49"/>
  <c r="P385" i="32"/>
  <c r="G19" i="49"/>
  <c r="Q384" i="32"/>
  <c r="S386" i="32"/>
  <c r="F33" i="49"/>
  <c r="O384" i="32"/>
  <c r="F18" i="49"/>
  <c r="L387" i="32"/>
  <c r="L384" i="32"/>
  <c r="L388" i="32"/>
  <c r="K390" i="32"/>
  <c r="T385" i="32"/>
  <c r="T389" i="32"/>
  <c r="K354" i="32"/>
  <c r="M386" i="32"/>
  <c r="M385" i="32"/>
  <c r="P390" i="32" l="1"/>
  <c r="S390" i="32"/>
  <c r="O390" i="32"/>
  <c r="D102" i="32"/>
  <c r="Q390" i="32"/>
  <c r="G34" i="49"/>
  <c r="C102" i="32"/>
  <c r="M384" i="32"/>
  <c r="M387" i="32"/>
  <c r="M388" i="32"/>
  <c r="L390" i="32"/>
  <c r="U389" i="32"/>
  <c r="L354" i="32"/>
  <c r="U388" i="32"/>
  <c r="U387" i="32"/>
  <c r="T386" i="32"/>
  <c r="T387" i="32"/>
  <c r="U385" i="32"/>
  <c r="T384" i="32"/>
  <c r="T388" i="32"/>
  <c r="D111" i="32" l="1"/>
  <c r="M390" i="32"/>
  <c r="V384" i="32"/>
  <c r="M354" i="32"/>
  <c r="V389" i="32"/>
  <c r="U384" i="32"/>
  <c r="V386" i="32"/>
  <c r="V385" i="32"/>
  <c r="T390" i="32"/>
  <c r="U386" i="32"/>
  <c r="V387" i="32"/>
  <c r="W387" i="32" l="1"/>
  <c r="V388" i="32"/>
  <c r="V390" i="32" s="1"/>
  <c r="W385" i="32"/>
  <c r="W386" i="32"/>
  <c r="U390" i="32"/>
  <c r="W388" i="32"/>
  <c r="X384" i="32" l="1"/>
  <c r="X385" i="32"/>
  <c r="X388" i="32"/>
  <c r="X386" i="32"/>
  <c r="X387" i="32"/>
  <c r="W384" i="32"/>
  <c r="W389" i="32"/>
  <c r="Y386" i="32"/>
  <c r="Z386" i="32" s="1"/>
  <c r="Y384" i="32" l="1"/>
  <c r="Y388" i="32"/>
  <c r="Z388" i="32" s="1"/>
  <c r="Y387" i="32"/>
  <c r="Z387" i="32" s="1"/>
  <c r="X389" i="32"/>
  <c r="X390" i="32" s="1"/>
  <c r="Y385" i="32"/>
  <c r="Z385" i="32" s="1"/>
  <c r="W390" i="32"/>
  <c r="Y389" i="32" l="1"/>
  <c r="Z389" i="32" s="1"/>
  <c r="Z384" i="32"/>
  <c r="Y390" i="32" l="1"/>
  <c r="G26" i="13"/>
  <c r="G32" i="13"/>
  <c r="O356" i="32"/>
  <c r="Q356" i="32"/>
  <c r="G27" i="13"/>
  <c r="F26" i="13"/>
  <c r="G28" i="13" l="1"/>
  <c r="G30" i="13"/>
  <c r="R357" i="32"/>
  <c r="Z390" i="32"/>
  <c r="O357" i="32"/>
  <c r="F32" i="13"/>
  <c r="S356" i="32"/>
  <c r="F28" i="13"/>
  <c r="D291" i="51"/>
  <c r="G31" i="13"/>
  <c r="F31" i="13"/>
  <c r="P356" i="32"/>
  <c r="G25" i="13"/>
  <c r="F24" i="13"/>
  <c r="O354" i="32"/>
  <c r="R356" i="32"/>
  <c r="F27" i="13"/>
  <c r="P355" i="32" l="1"/>
  <c r="S354" i="32"/>
  <c r="P357" i="32"/>
  <c r="U357" i="32"/>
  <c r="C291" i="51"/>
  <c r="Q355" i="32"/>
  <c r="R354" i="32"/>
  <c r="Q354" i="32"/>
  <c r="R355" i="32"/>
  <c r="F47" i="13"/>
  <c r="O355" i="32"/>
  <c r="O358" i="32" s="1"/>
  <c r="Q357" i="32"/>
  <c r="S355" i="32"/>
  <c r="S357" i="32"/>
  <c r="G24" i="13"/>
  <c r="G47" i="13"/>
  <c r="P354" i="32"/>
  <c r="T356" i="32"/>
  <c r="P358" i="32" l="1"/>
  <c r="S358" i="32"/>
  <c r="Q358" i="32"/>
  <c r="D293" i="51"/>
  <c r="D101" i="32"/>
  <c r="R358" i="32"/>
  <c r="C101" i="32"/>
  <c r="G48" i="13"/>
  <c r="C293" i="51"/>
  <c r="T354" i="32"/>
  <c r="T357" i="32"/>
  <c r="U354" i="32" l="1"/>
  <c r="W357" i="32"/>
  <c r="D292" i="51"/>
  <c r="D110" i="32"/>
  <c r="D115" i="32"/>
  <c r="C292" i="51"/>
  <c r="V354" i="32"/>
  <c r="U356" i="32"/>
  <c r="V357" i="32"/>
  <c r="W354" i="32" l="1"/>
  <c r="V356" i="32"/>
  <c r="X354" i="32" l="1"/>
  <c r="X357" i="32"/>
  <c r="Y357" i="32"/>
  <c r="Z357" i="32" s="1"/>
  <c r="W356" i="32"/>
  <c r="Y354" i="32" l="1"/>
  <c r="X356" i="32"/>
  <c r="Y356" i="32" l="1"/>
  <c r="Z356" i="32" s="1"/>
  <c r="Z354" i="32"/>
  <c r="C37" i="6" l="1"/>
  <c r="D42" i="6"/>
  <c r="C42" i="6"/>
  <c r="C40" i="6"/>
  <c r="E49" i="6"/>
  <c r="E39" i="6"/>
  <c r="D45" i="6"/>
  <c r="C49" i="6"/>
  <c r="C39" i="6"/>
  <c r="D47" i="6"/>
  <c r="E40" i="6"/>
  <c r="E47" i="6"/>
  <c r="C47" i="6"/>
  <c r="E46" i="6"/>
  <c r="D40" i="6"/>
  <c r="E45" i="6"/>
  <c r="D49" i="6"/>
  <c r="D39" i="6"/>
  <c r="C45" i="6"/>
  <c r="E44" i="6"/>
  <c r="Q323" i="32" l="1"/>
  <c r="S323" i="32"/>
  <c r="O324" i="32"/>
  <c r="P323" i="32"/>
  <c r="Q324" i="32"/>
  <c r="S324" i="32"/>
  <c r="R323" i="32"/>
  <c r="P324" i="32"/>
  <c r="R324" i="32"/>
  <c r="C84" i="6"/>
  <c r="C86" i="6" s="1"/>
  <c r="O295" i="32"/>
  <c r="C34" i="6"/>
  <c r="O300" i="32"/>
  <c r="C237" i="51"/>
  <c r="P298" i="32"/>
  <c r="D48" i="6"/>
  <c r="R296" i="32"/>
  <c r="R298" i="32"/>
  <c r="S325" i="32"/>
  <c r="S298" i="32"/>
  <c r="O298" i="32"/>
  <c r="C48" i="6"/>
  <c r="Q296" i="32"/>
  <c r="E38" i="6"/>
  <c r="Q298" i="32"/>
  <c r="E48" i="6"/>
  <c r="R295" i="32"/>
  <c r="F237" i="51"/>
  <c r="R300" i="32"/>
  <c r="D41" i="6"/>
  <c r="P297" i="32"/>
  <c r="P296" i="32"/>
  <c r="D38" i="6"/>
  <c r="E81" i="6"/>
  <c r="E84" i="6"/>
  <c r="E86" i="6" s="1"/>
  <c r="E34" i="6"/>
  <c r="Q295" i="32"/>
  <c r="Q300" i="32"/>
  <c r="E237" i="51"/>
  <c r="S295" i="32"/>
  <c r="D36" i="6"/>
  <c r="E236" i="51"/>
  <c r="Q299" i="32"/>
  <c r="D35" i="6"/>
  <c r="P325" i="32"/>
  <c r="R325" i="32"/>
  <c r="C43" i="6"/>
  <c r="C235" i="51"/>
  <c r="S297" i="32"/>
  <c r="E35" i="6"/>
  <c r="Q325" i="32"/>
  <c r="G235" i="51"/>
  <c r="E43" i="6"/>
  <c r="E235" i="51"/>
  <c r="C36" i="6"/>
  <c r="E36" i="6"/>
  <c r="S299" i="32"/>
  <c r="G236" i="51"/>
  <c r="O296" i="32"/>
  <c r="C38" i="6"/>
  <c r="P300" i="32"/>
  <c r="D237" i="51"/>
  <c r="D34" i="6"/>
  <c r="D84" i="6"/>
  <c r="D86" i="6" s="1"/>
  <c r="D81" i="6"/>
  <c r="P295" i="32"/>
  <c r="S296" i="32"/>
  <c r="C236" i="51"/>
  <c r="O299" i="32"/>
  <c r="O325" i="32"/>
  <c r="C35" i="6"/>
  <c r="G237" i="51"/>
  <c r="S300" i="32"/>
  <c r="D236" i="51"/>
  <c r="P299" i="32"/>
  <c r="R299" i="32"/>
  <c r="F236" i="51"/>
  <c r="D43" i="6"/>
  <c r="D235" i="51"/>
  <c r="F235" i="51"/>
  <c r="R297" i="32"/>
  <c r="E42" i="6"/>
  <c r="Q297" i="32"/>
  <c r="O323" i="32"/>
  <c r="P301" i="32" l="1"/>
  <c r="D103" i="32" s="1"/>
  <c r="S301" i="32"/>
  <c r="G234" i="51"/>
  <c r="D234" i="51"/>
  <c r="E82" i="6"/>
  <c r="E234" i="51"/>
  <c r="R301" i="32"/>
  <c r="O297" i="32"/>
  <c r="O301" i="32" s="1"/>
  <c r="C103" i="32" s="1"/>
  <c r="C41" i="6"/>
  <c r="Q301" i="32"/>
  <c r="F234" i="51"/>
  <c r="C81" i="6"/>
  <c r="H236" i="51"/>
  <c r="T299" i="32"/>
  <c r="H237" i="51"/>
  <c r="T300" i="32"/>
  <c r="T298" i="32"/>
  <c r="D82" i="6" l="1"/>
  <c r="C234" i="51"/>
  <c r="D112" i="32"/>
  <c r="I237" i="51"/>
  <c r="U300" i="32"/>
  <c r="U299" i="32"/>
  <c r="I236" i="51"/>
  <c r="U298" i="32"/>
  <c r="V299" i="32" l="1"/>
  <c r="J236" i="51"/>
  <c r="V298" i="32"/>
  <c r="V300" i="32"/>
  <c r="J237" i="51"/>
  <c r="W300" i="32"/>
  <c r="K237" i="51"/>
  <c r="W298" i="32" l="1"/>
  <c r="W299" i="32"/>
  <c r="K236" i="51"/>
  <c r="X300" i="32"/>
  <c r="L237" i="51"/>
  <c r="X299" i="32" l="1"/>
  <c r="L236" i="51"/>
  <c r="M237" i="51"/>
  <c r="Y300" i="32"/>
  <c r="X298" i="32"/>
  <c r="M236" i="51" l="1"/>
  <c r="Y299" i="32"/>
  <c r="Z299" i="32" s="1"/>
  <c r="Y298" i="32"/>
  <c r="Z298" i="32" s="1"/>
  <c r="T548" i="32" l="1"/>
  <c r="U84" i="35"/>
  <c r="U95" i="35" s="1"/>
  <c r="F68" i="5" l="1"/>
  <c r="F67" i="5"/>
  <c r="F66" i="5"/>
  <c r="F65" i="5"/>
  <c r="F63" i="5"/>
  <c r="F62" i="5"/>
  <c r="F61" i="5"/>
  <c r="F59" i="5"/>
  <c r="F58" i="5"/>
  <c r="O170" i="32" s="1"/>
  <c r="T85" i="35"/>
  <c r="S85" i="35"/>
  <c r="R85" i="35"/>
  <c r="Q85" i="35"/>
  <c r="F28" i="4"/>
  <c r="F27" i="4"/>
  <c r="F25" i="4"/>
  <c r="C200" i="32" l="1"/>
  <c r="S550" i="32"/>
  <c r="T86" i="35"/>
  <c r="R548" i="32"/>
  <c r="S84" i="35"/>
  <c r="S95" i="35" s="1"/>
  <c r="F29" i="4"/>
  <c r="P549" i="32"/>
  <c r="P550" i="32"/>
  <c r="F57" i="5"/>
  <c r="O171" i="32" s="1"/>
  <c r="O172" i="32"/>
  <c r="F84" i="5"/>
  <c r="C199" i="32"/>
  <c r="O142" i="32"/>
  <c r="R84" i="35"/>
  <c r="R95" i="35" s="1"/>
  <c r="Q548" i="32"/>
  <c r="S548" i="32"/>
  <c r="T84" i="35"/>
  <c r="T95" i="35" s="1"/>
  <c r="Q549" i="32"/>
  <c r="R86" i="35"/>
  <c r="Q550" i="32"/>
  <c r="S549" i="32"/>
  <c r="F26" i="4"/>
  <c r="P548" i="32"/>
  <c r="Q84" i="35"/>
  <c r="Q95" i="35" s="1"/>
  <c r="R549" i="32"/>
  <c r="R550" i="32"/>
  <c r="S86" i="35"/>
  <c r="C164" i="51"/>
  <c r="C168" i="51" s="1"/>
  <c r="O141" i="32"/>
  <c r="O143" i="32"/>
  <c r="E27" i="4"/>
  <c r="E25" i="4"/>
  <c r="E28" i="4"/>
  <c r="P85" i="35"/>
  <c r="G70" i="5"/>
  <c r="G68" i="5"/>
  <c r="G59" i="5"/>
  <c r="G63" i="5"/>
  <c r="G67" i="5"/>
  <c r="G71" i="5"/>
  <c r="G58" i="5"/>
  <c r="P170" i="32" s="1"/>
  <c r="G62" i="5"/>
  <c r="G66" i="5"/>
  <c r="G61" i="5"/>
  <c r="G65" i="5"/>
  <c r="G69" i="5"/>
  <c r="G73" i="5"/>
  <c r="Q170" i="32"/>
  <c r="S172" i="32"/>
  <c r="S170" i="32"/>
  <c r="R172" i="32"/>
  <c r="U85" i="35"/>
  <c r="R170" i="32"/>
  <c r="E167" i="51"/>
  <c r="F167" i="51"/>
  <c r="G167" i="51"/>
  <c r="Q172" i="32"/>
  <c r="Q143" i="32" l="1"/>
  <c r="R143" i="32"/>
  <c r="P143" i="32"/>
  <c r="O550" i="32"/>
  <c r="O549" i="32"/>
  <c r="F200" i="32"/>
  <c r="R171" i="32"/>
  <c r="S143" i="32"/>
  <c r="G166" i="51"/>
  <c r="S145" i="32"/>
  <c r="G57" i="5"/>
  <c r="P171" i="32" s="1"/>
  <c r="P141" i="32"/>
  <c r="D164" i="51"/>
  <c r="D200" i="32"/>
  <c r="E26" i="4"/>
  <c r="P84" i="35"/>
  <c r="P95" i="35" s="1"/>
  <c r="O548" i="32"/>
  <c r="E23" i="4"/>
  <c r="O546" i="32"/>
  <c r="E24" i="4"/>
  <c r="O547" i="32"/>
  <c r="P83" i="35"/>
  <c r="P94" i="35" s="1"/>
  <c r="R82" i="35"/>
  <c r="R83" i="35"/>
  <c r="R94" i="35" s="1"/>
  <c r="Q547" i="32"/>
  <c r="S546" i="32"/>
  <c r="Q145" i="32"/>
  <c r="E166" i="51"/>
  <c r="R144" i="32"/>
  <c r="F165" i="51"/>
  <c r="G199" i="32"/>
  <c r="S142" i="32"/>
  <c r="F166" i="51"/>
  <c r="R145" i="32"/>
  <c r="G200" i="32"/>
  <c r="E164" i="51"/>
  <c r="Q141" i="32"/>
  <c r="P145" i="32"/>
  <c r="D166" i="51"/>
  <c r="Q82" i="35"/>
  <c r="F45" i="4"/>
  <c r="F22" i="4"/>
  <c r="F23" i="4"/>
  <c r="P546" i="32"/>
  <c r="R547" i="32"/>
  <c r="S83" i="35"/>
  <c r="S94" i="35" s="1"/>
  <c r="R546" i="32"/>
  <c r="R551" i="32" s="1"/>
  <c r="T82" i="35"/>
  <c r="E199" i="32"/>
  <c r="Q142" i="32"/>
  <c r="E200" i="32"/>
  <c r="F164" i="51"/>
  <c r="R141" i="32"/>
  <c r="S141" i="32"/>
  <c r="G164" i="51"/>
  <c r="G165" i="51"/>
  <c r="S144" i="32"/>
  <c r="P172" i="32"/>
  <c r="G84" i="5"/>
  <c r="E22" i="4"/>
  <c r="P82" i="35"/>
  <c r="E45" i="4"/>
  <c r="S82" i="35"/>
  <c r="S93" i="35" s="1"/>
  <c r="S171" i="32"/>
  <c r="Q144" i="32"/>
  <c r="E165" i="51"/>
  <c r="Q171" i="32"/>
  <c r="F199" i="32"/>
  <c r="R142" i="32"/>
  <c r="D165" i="51"/>
  <c r="P144" i="32"/>
  <c r="D199" i="32"/>
  <c r="P142" i="32"/>
  <c r="Q546" i="32"/>
  <c r="S547" i="32"/>
  <c r="T83" i="35"/>
  <c r="T94" i="35" s="1"/>
  <c r="Q83" i="35"/>
  <c r="Q94" i="35" s="1"/>
  <c r="P547" i="32"/>
  <c r="F24" i="4"/>
  <c r="O140" i="32"/>
  <c r="O147" i="32" s="1"/>
  <c r="F78" i="5"/>
  <c r="T549" i="32"/>
  <c r="U86" i="35"/>
  <c r="T550" i="32"/>
  <c r="T170" i="32"/>
  <c r="T146" i="32"/>
  <c r="Q551" i="32" l="1"/>
  <c r="F168" i="51"/>
  <c r="S87" i="35"/>
  <c r="F81" i="5"/>
  <c r="C100" i="32"/>
  <c r="Q140" i="32"/>
  <c r="Q147" i="32" s="1"/>
  <c r="S140" i="32"/>
  <c r="S147" i="32" s="1"/>
  <c r="G168" i="51"/>
  <c r="G78" i="5"/>
  <c r="P140" i="32"/>
  <c r="P147" i="32" s="1"/>
  <c r="F46" i="4"/>
  <c r="P551" i="32"/>
  <c r="D98" i="32" s="1"/>
  <c r="Q93" i="35"/>
  <c r="Q87" i="35"/>
  <c r="D168" i="51"/>
  <c r="P87" i="35"/>
  <c r="P93" i="35"/>
  <c r="E168" i="51"/>
  <c r="R87" i="35"/>
  <c r="R93" i="35"/>
  <c r="R140" i="32"/>
  <c r="R147" i="32" s="1"/>
  <c r="R552" i="32"/>
  <c r="T93" i="35"/>
  <c r="T87" i="35"/>
  <c r="S551" i="32"/>
  <c r="O551" i="32"/>
  <c r="C98" i="32" s="1"/>
  <c r="T143" i="32"/>
  <c r="H165" i="51"/>
  <c r="T144" i="32"/>
  <c r="H199" i="32"/>
  <c r="T142" i="32"/>
  <c r="H200" i="32"/>
  <c r="H167" i="51"/>
  <c r="T171" i="32"/>
  <c r="H166" i="51"/>
  <c r="T145" i="32"/>
  <c r="T172" i="32"/>
  <c r="T141" i="32"/>
  <c r="H164" i="51"/>
  <c r="V85" i="35"/>
  <c r="U170" i="32"/>
  <c r="U172" i="32"/>
  <c r="U146" i="32" l="1"/>
  <c r="Q552" i="32"/>
  <c r="H168" i="51"/>
  <c r="P552" i="32"/>
  <c r="D107" i="32"/>
  <c r="S552" i="32"/>
  <c r="G79" i="5"/>
  <c r="G81" i="5"/>
  <c r="D100" i="32"/>
  <c r="O552" i="32"/>
  <c r="I200" i="32"/>
  <c r="U171" i="32"/>
  <c r="U143" i="32"/>
  <c r="U548" i="32"/>
  <c r="V84" i="35"/>
  <c r="V95" i="35" s="1"/>
  <c r="V86" i="35"/>
  <c r="U550" i="32"/>
  <c r="T546" i="32"/>
  <c r="U82" i="35"/>
  <c r="I167" i="51"/>
  <c r="I164" i="51"/>
  <c r="U141" i="32"/>
  <c r="T140" i="32"/>
  <c r="I166" i="51"/>
  <c r="U145" i="32"/>
  <c r="U547" i="32"/>
  <c r="V83" i="35"/>
  <c r="V94" i="35" s="1"/>
  <c r="I165" i="51"/>
  <c r="U144" i="32"/>
  <c r="U142" i="32"/>
  <c r="I199" i="32"/>
  <c r="T547" i="32"/>
  <c r="U83" i="35"/>
  <c r="U94" i="35" s="1"/>
  <c r="V143" i="32"/>
  <c r="V172" i="32"/>
  <c r="V170" i="32"/>
  <c r="V140" i="32" l="1"/>
  <c r="V171" i="32"/>
  <c r="T551" i="32"/>
  <c r="J200" i="32"/>
  <c r="D109" i="32"/>
  <c r="J166" i="51"/>
  <c r="V145" i="32"/>
  <c r="V142" i="32"/>
  <c r="J199" i="32"/>
  <c r="U93" i="35"/>
  <c r="U87" i="35"/>
  <c r="V146" i="32"/>
  <c r="W85" i="35"/>
  <c r="W82" i="35"/>
  <c r="W86" i="35"/>
  <c r="V550" i="32"/>
  <c r="U549" i="32"/>
  <c r="U140" i="32"/>
  <c r="U147" i="32" s="1"/>
  <c r="J165" i="51"/>
  <c r="V144" i="32"/>
  <c r="J167" i="51"/>
  <c r="W84" i="35"/>
  <c r="W95" i="35" s="1"/>
  <c r="V548" i="32"/>
  <c r="V546" i="32"/>
  <c r="V82" i="35"/>
  <c r="V141" i="32"/>
  <c r="J164" i="51"/>
  <c r="V549" i="32"/>
  <c r="W83" i="35"/>
  <c r="W94" i="35" s="1"/>
  <c r="V547" i="32"/>
  <c r="I168" i="51"/>
  <c r="U546" i="32"/>
  <c r="T147" i="32"/>
  <c r="W172" i="32"/>
  <c r="W170" i="32"/>
  <c r="W146" i="32"/>
  <c r="W143" i="32"/>
  <c r="T552" i="32" l="1"/>
  <c r="U551" i="32"/>
  <c r="V147" i="32"/>
  <c r="K167" i="51"/>
  <c r="W144" i="32"/>
  <c r="K165" i="51"/>
  <c r="X84" i="35"/>
  <c r="X95" i="35" s="1"/>
  <c r="W548" i="32"/>
  <c r="K200" i="32"/>
  <c r="V87" i="35"/>
  <c r="V93" i="35"/>
  <c r="W93" i="35"/>
  <c r="W87" i="35"/>
  <c r="K166" i="51"/>
  <c r="W145" i="32"/>
  <c r="X85" i="35"/>
  <c r="X96" i="35" s="1"/>
  <c r="V551" i="32"/>
  <c r="J168" i="51"/>
  <c r="W171" i="32"/>
  <c r="K164" i="51"/>
  <c r="W141" i="32"/>
  <c r="W547" i="32"/>
  <c r="X83" i="35"/>
  <c r="X94" i="35" s="1"/>
  <c r="W142" i="32"/>
  <c r="K199" i="32"/>
  <c r="X86" i="35"/>
  <c r="X97" i="35" s="1"/>
  <c r="W550" i="32"/>
  <c r="W549" i="32"/>
  <c r="X143" i="32"/>
  <c r="X146" i="32"/>
  <c r="X172" i="32"/>
  <c r="X170" i="32"/>
  <c r="U552" i="32" l="1"/>
  <c r="L167" i="51"/>
  <c r="L200" i="32"/>
  <c r="X82" i="35"/>
  <c r="W140" i="32"/>
  <c r="W147" i="32" s="1"/>
  <c r="X549" i="32"/>
  <c r="Z85" i="35"/>
  <c r="Z96" i="35" s="1"/>
  <c r="Y86" i="35"/>
  <c r="Y97" i="35" s="1"/>
  <c r="X550" i="32"/>
  <c r="Y85" i="35"/>
  <c r="Y96" i="35" s="1"/>
  <c r="K168" i="51"/>
  <c r="Y82" i="35"/>
  <c r="X142" i="32"/>
  <c r="L199" i="32"/>
  <c r="X171" i="32"/>
  <c r="V552" i="32"/>
  <c r="L164" i="51"/>
  <c r="X141" i="32"/>
  <c r="L165" i="51"/>
  <c r="X144" i="32"/>
  <c r="L166" i="51"/>
  <c r="X145" i="32"/>
  <c r="Y83" i="35"/>
  <c r="Y94" i="35" s="1"/>
  <c r="X547" i="32"/>
  <c r="X546" i="32"/>
  <c r="X548" i="32"/>
  <c r="Y84" i="35"/>
  <c r="Y95" i="35" s="1"/>
  <c r="W546" i="32"/>
  <c r="W551" i="32" s="1"/>
  <c r="Y170" i="32"/>
  <c r="Z170" i="32" s="1"/>
  <c r="Y146" i="32"/>
  <c r="Y172" i="32"/>
  <c r="Z172" i="32" s="1"/>
  <c r="Y143" i="32"/>
  <c r="Z143" i="32" s="1"/>
  <c r="L168" i="51" l="1"/>
  <c r="M199" i="32"/>
  <c r="Y142" i="32"/>
  <c r="Z142" i="32" s="1"/>
  <c r="M200" i="32"/>
  <c r="Y141" i="32"/>
  <c r="Z141" i="32" s="1"/>
  <c r="M164" i="51"/>
  <c r="M166" i="51"/>
  <c r="Y145" i="32"/>
  <c r="Z145" i="32" s="1"/>
  <c r="M167" i="51"/>
  <c r="X551" i="32"/>
  <c r="W552" i="32"/>
  <c r="Y171" i="32"/>
  <c r="Z171" i="32" s="1"/>
  <c r="Y546" i="32"/>
  <c r="Z546" i="32" s="1"/>
  <c r="Y547" i="32"/>
  <c r="Z547" i="32" s="1"/>
  <c r="Z83" i="35"/>
  <c r="Z94" i="35" s="1"/>
  <c r="X140" i="32"/>
  <c r="X147" i="32" s="1"/>
  <c r="X93" i="35"/>
  <c r="X87" i="35"/>
  <c r="M165" i="51"/>
  <c r="Y144" i="32"/>
  <c r="Z144" i="32" s="1"/>
  <c r="Y548" i="32"/>
  <c r="Z548" i="32" s="1"/>
  <c r="Z84" i="35"/>
  <c r="Z95" i="35" s="1"/>
  <c r="Y549" i="32"/>
  <c r="Z549" i="32" s="1"/>
  <c r="Y93" i="35"/>
  <c r="Y87" i="35"/>
  <c r="M168" i="51" l="1"/>
  <c r="X552" i="32"/>
  <c r="Y140" i="32"/>
  <c r="Y550" i="32"/>
  <c r="Y551" i="32" s="1"/>
  <c r="Z86" i="35"/>
  <c r="Z97" i="35" s="1"/>
  <c r="Z82" i="35"/>
  <c r="Z93" i="35" l="1"/>
  <c r="Z87" i="35"/>
  <c r="Z140" i="32"/>
  <c r="Y147" i="32"/>
  <c r="Z551" i="32"/>
  <c r="Y552" i="32"/>
  <c r="Z147" i="32" l="1"/>
  <c r="E62" i="3" l="1"/>
  <c r="F62" i="3"/>
  <c r="F81" i="3" l="1"/>
  <c r="E60" i="3"/>
  <c r="P518" i="32"/>
  <c r="E61" i="3"/>
  <c r="P489" i="32"/>
  <c r="F71" i="3"/>
  <c r="O518" i="32"/>
  <c r="E81" i="3"/>
  <c r="F61" i="3"/>
  <c r="O489" i="32"/>
  <c r="E71" i="3"/>
  <c r="E64" i="3"/>
  <c r="F64" i="3"/>
  <c r="S489" i="32"/>
  <c r="S460" i="32" l="1"/>
  <c r="O422" i="32"/>
  <c r="P422" i="32"/>
  <c r="F85" i="35"/>
  <c r="F97" i="35" s="1"/>
  <c r="Q488" i="32"/>
  <c r="R518" i="32"/>
  <c r="S518" i="32"/>
  <c r="P488" i="32"/>
  <c r="F70" i="3"/>
  <c r="O488" i="32"/>
  <c r="E70" i="3"/>
  <c r="S488" i="32"/>
  <c r="R488" i="32"/>
  <c r="R460" i="32"/>
  <c r="Q422" i="32"/>
  <c r="S420" i="32"/>
  <c r="O460" i="32"/>
  <c r="R489" i="32"/>
  <c r="S422" i="32"/>
  <c r="C134" i="35"/>
  <c r="E59" i="3"/>
  <c r="O459" i="32"/>
  <c r="C85" i="35"/>
  <c r="C97" i="35" s="1"/>
  <c r="F60" i="3"/>
  <c r="P460" i="32"/>
  <c r="R422" i="32"/>
  <c r="Q489" i="32"/>
  <c r="Q420" i="32"/>
  <c r="R420" i="32"/>
  <c r="P418" i="32"/>
  <c r="F57" i="3"/>
  <c r="D84" i="35"/>
  <c r="P420" i="32"/>
  <c r="F63" i="3"/>
  <c r="R459" i="32"/>
  <c r="E63" i="3"/>
  <c r="O420" i="32"/>
  <c r="P459" i="32"/>
  <c r="D85" i="35"/>
  <c r="D97" i="35" s="1"/>
  <c r="D134" i="35"/>
  <c r="F59" i="3"/>
  <c r="R428" i="32"/>
  <c r="O428" i="32"/>
  <c r="S428" i="32"/>
  <c r="Q428" i="32"/>
  <c r="P428" i="32"/>
  <c r="T489" i="32"/>
  <c r="C146" i="35" l="1"/>
  <c r="D146" i="35"/>
  <c r="F134" i="35"/>
  <c r="T418" i="32"/>
  <c r="E57" i="3"/>
  <c r="C84" i="35"/>
  <c r="O418" i="32"/>
  <c r="E134" i="35"/>
  <c r="Q459" i="32"/>
  <c r="E85" i="35"/>
  <c r="E97" i="35" s="1"/>
  <c r="F84" i="35"/>
  <c r="R418" i="32"/>
  <c r="Q460" i="32"/>
  <c r="D96" i="35"/>
  <c r="G84" i="35"/>
  <c r="S418" i="32"/>
  <c r="G134" i="35"/>
  <c r="S459" i="32"/>
  <c r="G85" i="35"/>
  <c r="G97" i="35" s="1"/>
  <c r="Q518" i="32"/>
  <c r="Q418" i="32"/>
  <c r="E84" i="35"/>
  <c r="T460" i="32"/>
  <c r="T422" i="32"/>
  <c r="T459" i="32"/>
  <c r="H134" i="35"/>
  <c r="H85" i="35"/>
  <c r="H97" i="35" s="1"/>
  <c r="T420" i="32"/>
  <c r="T428" i="32"/>
  <c r="U489" i="32"/>
  <c r="H146" i="35" l="1"/>
  <c r="G146" i="35"/>
  <c r="E146" i="35"/>
  <c r="F146" i="35"/>
  <c r="H84" i="35"/>
  <c r="H96" i="35" s="1"/>
  <c r="T518" i="32"/>
  <c r="F96" i="35"/>
  <c r="E96" i="35"/>
  <c r="C96" i="35"/>
  <c r="G96" i="35"/>
  <c r="U460" i="32"/>
  <c r="U422" i="32"/>
  <c r="U420" i="32"/>
  <c r="U518" i="32"/>
  <c r="U459" i="32"/>
  <c r="I134" i="35"/>
  <c r="I85" i="35"/>
  <c r="I97" i="35" s="1"/>
  <c r="T488" i="32"/>
  <c r="U428" i="32"/>
  <c r="V489" i="32"/>
  <c r="I146" i="35" l="1"/>
  <c r="V518" i="32"/>
  <c r="J84" i="35"/>
  <c r="V418" i="32"/>
  <c r="V422" i="32"/>
  <c r="V460" i="32"/>
  <c r="V420" i="32"/>
  <c r="V459" i="32"/>
  <c r="J134" i="35"/>
  <c r="J85" i="35"/>
  <c r="J97" i="35" s="1"/>
  <c r="U488" i="32"/>
  <c r="U418" i="32"/>
  <c r="I84" i="35"/>
  <c r="V428" i="32"/>
  <c r="W489" i="32"/>
  <c r="J146" i="35" l="1"/>
  <c r="W460" i="32"/>
  <c r="W422" i="32"/>
  <c r="I96" i="35"/>
  <c r="W518" i="32"/>
  <c r="W420" i="32"/>
  <c r="K134" i="35"/>
  <c r="W459" i="32"/>
  <c r="K85" i="35"/>
  <c r="K97" i="35" s="1"/>
  <c r="K84" i="35"/>
  <c r="W418" i="32"/>
  <c r="V488" i="32"/>
  <c r="J96" i="35"/>
  <c r="W428" i="32"/>
  <c r="X489" i="32"/>
  <c r="K146" i="35" l="1"/>
  <c r="X460" i="32"/>
  <c r="X422" i="32"/>
  <c r="L85" i="35"/>
  <c r="L97" i="35" s="1"/>
  <c r="X459" i="32"/>
  <c r="L134" i="35"/>
  <c r="X518" i="32"/>
  <c r="K96" i="35"/>
  <c r="X420" i="32"/>
  <c r="W488" i="32"/>
  <c r="L84" i="35"/>
  <c r="X418" i="32"/>
  <c r="X428" i="32"/>
  <c r="Y489" i="32"/>
  <c r="L146" i="35" l="1"/>
  <c r="Y460" i="32"/>
  <c r="Z460" i="32" s="1"/>
  <c r="Y422" i="32"/>
  <c r="Z422" i="32" s="1"/>
  <c r="L96" i="35"/>
  <c r="Y420" i="32"/>
  <c r="Z420" i="32" s="1"/>
  <c r="Y518" i="32"/>
  <c r="Z518" i="32" s="1"/>
  <c r="X488" i="32"/>
  <c r="Y459" i="32"/>
  <c r="Z459" i="32" s="1"/>
  <c r="M134" i="35"/>
  <c r="M85" i="35"/>
  <c r="M97" i="35" s="1"/>
  <c r="Y428" i="32"/>
  <c r="M146" i="35" l="1"/>
  <c r="Y488" i="32"/>
  <c r="Z488" i="32" s="1"/>
  <c r="Y418" i="32"/>
  <c r="Z418" i="32" s="1"/>
  <c r="M84" i="35"/>
  <c r="M96" i="35" l="1"/>
  <c r="F88" i="35" l="1"/>
  <c r="F100" i="35" s="1"/>
  <c r="D88" i="35"/>
  <c r="D100" i="35" s="1"/>
  <c r="F82" i="3"/>
  <c r="G90" i="35"/>
  <c r="G102" i="35" s="1"/>
  <c r="F90" i="35"/>
  <c r="F102" i="35" s="1"/>
  <c r="E88" i="35"/>
  <c r="E100" i="35" s="1"/>
  <c r="G88" i="35"/>
  <c r="G100" i="35" s="1"/>
  <c r="C88" i="35"/>
  <c r="C100" i="35" s="1"/>
  <c r="E82" i="3"/>
  <c r="H90" i="35" l="1"/>
  <c r="H102" i="35" s="1"/>
  <c r="H88" i="35"/>
  <c r="H100" i="35" s="1"/>
  <c r="F79" i="3"/>
  <c r="F91" i="3"/>
  <c r="E79" i="3"/>
  <c r="E91" i="3"/>
  <c r="E137" i="35" l="1"/>
  <c r="E149" i="35" s="1"/>
  <c r="Q424" i="32"/>
  <c r="F137" i="35"/>
  <c r="F149" i="35" s="1"/>
  <c r="R424" i="32"/>
  <c r="E67" i="3"/>
  <c r="C137" i="35"/>
  <c r="C149" i="35" s="1"/>
  <c r="E84" i="3"/>
  <c r="O424" i="32"/>
  <c r="F67" i="3"/>
  <c r="E76" i="3"/>
  <c r="F76" i="3"/>
  <c r="D137" i="35"/>
  <c r="D149" i="35" s="1"/>
  <c r="F84" i="3"/>
  <c r="P424" i="32"/>
  <c r="G137" i="35"/>
  <c r="G149" i="35" s="1"/>
  <c r="S424" i="32"/>
  <c r="I88" i="35"/>
  <c r="I100" i="35" s="1"/>
  <c r="I90" i="35"/>
  <c r="I102" i="35" s="1"/>
  <c r="H137" i="35" l="1"/>
  <c r="H149" i="35" s="1"/>
  <c r="T424" i="32"/>
  <c r="J90" i="35"/>
  <c r="J102" i="35" s="1"/>
  <c r="J88" i="35"/>
  <c r="J100" i="35" s="1"/>
  <c r="K90" i="35" l="1"/>
  <c r="K102" i="35" s="1"/>
  <c r="K88" i="35"/>
  <c r="K100" i="35" s="1"/>
  <c r="I137" i="35"/>
  <c r="I149" i="35" s="1"/>
  <c r="U424" i="32"/>
  <c r="J137" i="35" l="1"/>
  <c r="J149" i="35" s="1"/>
  <c r="V424" i="32"/>
  <c r="L88" i="35"/>
  <c r="L100" i="35" s="1"/>
  <c r="L90" i="35"/>
  <c r="L102" i="35" s="1"/>
  <c r="F89" i="3"/>
  <c r="F92" i="3"/>
  <c r="E89" i="3"/>
  <c r="E92" i="3"/>
  <c r="P426" i="32" l="1"/>
  <c r="Q515" i="32"/>
  <c r="Q426" i="32"/>
  <c r="E58" i="3"/>
  <c r="O458" i="32"/>
  <c r="O461" i="32" s="1"/>
  <c r="O419" i="32"/>
  <c r="D89" i="35"/>
  <c r="D101" i="35" s="1"/>
  <c r="P425" i="32"/>
  <c r="F87" i="3"/>
  <c r="P515" i="32"/>
  <c r="F75" i="3"/>
  <c r="D87" i="35"/>
  <c r="D99" i="35" s="1"/>
  <c r="P423" i="32"/>
  <c r="F80" i="3"/>
  <c r="P517" i="32"/>
  <c r="E90" i="3"/>
  <c r="C138" i="35"/>
  <c r="C150" i="35" s="1"/>
  <c r="R425" i="32"/>
  <c r="F89" i="35"/>
  <c r="F101" i="35" s="1"/>
  <c r="E135" i="35"/>
  <c r="Q487" i="32"/>
  <c r="F136" i="35"/>
  <c r="F148" i="35" s="1"/>
  <c r="R426" i="32"/>
  <c r="Q458" i="32"/>
  <c r="Q461" i="32" s="1"/>
  <c r="Q419" i="32"/>
  <c r="P458" i="32"/>
  <c r="P461" i="32" s="1"/>
  <c r="F58" i="3"/>
  <c r="P419" i="32"/>
  <c r="C136" i="35"/>
  <c r="C148" i="35" s="1"/>
  <c r="E78" i="3"/>
  <c r="O516" i="32"/>
  <c r="D138" i="35"/>
  <c r="D150" i="35" s="1"/>
  <c r="F90" i="3"/>
  <c r="G138" i="35"/>
  <c r="G150" i="35" s="1"/>
  <c r="C89" i="35"/>
  <c r="C101" i="35" s="1"/>
  <c r="E87" i="3"/>
  <c r="O425" i="32"/>
  <c r="O517" i="32"/>
  <c r="E80" i="3"/>
  <c r="E138" i="35"/>
  <c r="E150" i="35" s="1"/>
  <c r="S458" i="32"/>
  <c r="S461" i="32" s="1"/>
  <c r="S419" i="32"/>
  <c r="E136" i="35"/>
  <c r="E148" i="35" s="1"/>
  <c r="F138" i="35"/>
  <c r="F150" i="35" s="1"/>
  <c r="Q516" i="32"/>
  <c r="G86" i="35"/>
  <c r="S486" i="32"/>
  <c r="S421" i="32"/>
  <c r="Q425" i="32"/>
  <c r="E89" i="35"/>
  <c r="E101" i="35" s="1"/>
  <c r="R458" i="32"/>
  <c r="R461" i="32" s="1"/>
  <c r="R419" i="32"/>
  <c r="O426" i="32"/>
  <c r="S426" i="32"/>
  <c r="G136" i="35"/>
  <c r="G148" i="35" s="1"/>
  <c r="S516" i="32"/>
  <c r="E86" i="35"/>
  <c r="Q421" i="32"/>
  <c r="Q486" i="32"/>
  <c r="S425" i="32"/>
  <c r="G89" i="35"/>
  <c r="G101" i="35" s="1"/>
  <c r="R516" i="32"/>
  <c r="F135" i="35"/>
  <c r="R487" i="32"/>
  <c r="C86" i="35"/>
  <c r="O486" i="32"/>
  <c r="E66" i="3"/>
  <c r="O421" i="32"/>
  <c r="E75" i="3"/>
  <c r="C87" i="35"/>
  <c r="C99" i="35" s="1"/>
  <c r="O515" i="32"/>
  <c r="O423" i="32"/>
  <c r="G135" i="35"/>
  <c r="S487" i="32"/>
  <c r="E69" i="3"/>
  <c r="C135" i="35"/>
  <c r="O487" i="32"/>
  <c r="D136" i="35"/>
  <c r="D148" i="35" s="1"/>
  <c r="F78" i="3"/>
  <c r="P516" i="32"/>
  <c r="F69" i="3"/>
  <c r="D135" i="35"/>
  <c r="P487" i="32"/>
  <c r="K137" i="35"/>
  <c r="K149" i="35" s="1"/>
  <c r="W424" i="32"/>
  <c r="M88" i="35"/>
  <c r="M100" i="35" s="1"/>
  <c r="M90" i="35"/>
  <c r="M102" i="35" s="1"/>
  <c r="O427" i="32"/>
  <c r="P427" i="32"/>
  <c r="R427" i="32"/>
  <c r="Q427" i="32"/>
  <c r="S427" i="32"/>
  <c r="C147" i="35" l="1"/>
  <c r="C140" i="35"/>
  <c r="C152" i="35" s="1"/>
  <c r="E147" i="35"/>
  <c r="E140" i="35"/>
  <c r="E152" i="35" s="1"/>
  <c r="D147" i="35"/>
  <c r="D140" i="35"/>
  <c r="D152" i="35" s="1"/>
  <c r="G147" i="35"/>
  <c r="G140" i="35"/>
  <c r="G152" i="35" s="1"/>
  <c r="F147" i="35"/>
  <c r="F140" i="35"/>
  <c r="F152" i="35" s="1"/>
  <c r="O519" i="32"/>
  <c r="Q490" i="32"/>
  <c r="E87" i="35"/>
  <c r="E99" i="35" s="1"/>
  <c r="O490" i="32"/>
  <c r="F87" i="35"/>
  <c r="F99" i="35" s="1"/>
  <c r="R423" i="32"/>
  <c r="R515" i="32"/>
  <c r="G98" i="35"/>
  <c r="R486" i="32"/>
  <c r="R490" i="32" s="1"/>
  <c r="R421" i="32"/>
  <c r="F86" i="35"/>
  <c r="S517" i="32"/>
  <c r="P519" i="32"/>
  <c r="E150" i="3"/>
  <c r="P486" i="32"/>
  <c r="P490" i="32" s="1"/>
  <c r="P421" i="32"/>
  <c r="P429" i="32" s="1"/>
  <c r="D86" i="35"/>
  <c r="F66" i="3"/>
  <c r="C98" i="35"/>
  <c r="C91" i="35"/>
  <c r="C103" i="35" s="1"/>
  <c r="R517" i="32"/>
  <c r="Q423" i="32"/>
  <c r="Q429" i="32" s="1"/>
  <c r="O429" i="32"/>
  <c r="C432" i="32" s="1"/>
  <c r="I160" i="35" s="1"/>
  <c r="I161" i="35" s="1"/>
  <c r="E98" i="35"/>
  <c r="F150" i="3"/>
  <c r="S423" i="32"/>
  <c r="S429" i="32" s="1"/>
  <c r="S515" i="32"/>
  <c r="G87" i="35"/>
  <c r="G99" i="35" s="1"/>
  <c r="S490" i="32"/>
  <c r="Q517" i="32"/>
  <c r="Q519" i="32" s="1"/>
  <c r="H136" i="35"/>
  <c r="H148" i="35" s="1"/>
  <c r="T516" i="32"/>
  <c r="H135" i="35"/>
  <c r="T487" i="32"/>
  <c r="L137" i="35"/>
  <c r="L149" i="35" s="1"/>
  <c r="X424" i="32"/>
  <c r="T426" i="32"/>
  <c r="T425" i="32"/>
  <c r="H89" i="35"/>
  <c r="H101" i="35" s="1"/>
  <c r="T458" i="32"/>
  <c r="T419" i="32"/>
  <c r="H138" i="35"/>
  <c r="H150" i="35" s="1"/>
  <c r="T423" i="32"/>
  <c r="T515" i="32"/>
  <c r="H87" i="35"/>
  <c r="H99" i="35" s="1"/>
  <c r="T517" i="32"/>
  <c r="T427" i="32"/>
  <c r="H147" i="35" l="1"/>
  <c r="H140" i="35"/>
  <c r="H152" i="35" s="1"/>
  <c r="S519" i="32"/>
  <c r="E91" i="35"/>
  <c r="E103" i="35" s="1"/>
  <c r="R429" i="32"/>
  <c r="F432" i="32" s="1"/>
  <c r="G432" i="32"/>
  <c r="D97" i="32"/>
  <c r="F153" i="3"/>
  <c r="E432" i="32"/>
  <c r="Q430" i="32"/>
  <c r="D98" i="35"/>
  <c r="D91" i="35"/>
  <c r="D103" i="35" s="1"/>
  <c r="C97" i="32"/>
  <c r="F151" i="3"/>
  <c r="E153" i="3"/>
  <c r="R519" i="32"/>
  <c r="P430" i="32"/>
  <c r="D432" i="32"/>
  <c r="F98" i="35"/>
  <c r="F91" i="35"/>
  <c r="F103" i="35" s="1"/>
  <c r="G91" i="35"/>
  <c r="G103" i="35" s="1"/>
  <c r="I89" i="35"/>
  <c r="I101" i="35" s="1"/>
  <c r="U425" i="32"/>
  <c r="U517" i="32"/>
  <c r="T461" i="32"/>
  <c r="U423" i="32"/>
  <c r="U515" i="32"/>
  <c r="I87" i="35"/>
  <c r="I99" i="35" s="1"/>
  <c r="I136" i="35"/>
  <c r="I148" i="35" s="1"/>
  <c r="U516" i="32"/>
  <c r="U426" i="32"/>
  <c r="I138" i="35"/>
  <c r="I150" i="35" s="1"/>
  <c r="T519" i="32"/>
  <c r="U458" i="32"/>
  <c r="U461" i="32" s="1"/>
  <c r="U419" i="32"/>
  <c r="M137" i="35"/>
  <c r="M149" i="35" s="1"/>
  <c r="Y424" i="32"/>
  <c r="Z424" i="32" s="1"/>
  <c r="U421" i="32"/>
  <c r="I86" i="35"/>
  <c r="U486" i="32"/>
  <c r="I135" i="35"/>
  <c r="U487" i="32"/>
  <c r="T486" i="32"/>
  <c r="H86" i="35"/>
  <c r="T421" i="32"/>
  <c r="T429" i="32" s="1"/>
  <c r="I147" i="35" l="1"/>
  <c r="I140" i="35"/>
  <c r="I152" i="35" s="1"/>
  <c r="R430" i="32"/>
  <c r="S430" i="32"/>
  <c r="U490" i="32"/>
  <c r="C104" i="32"/>
  <c r="C27" i="32" s="1"/>
  <c r="C29" i="32" s="1"/>
  <c r="D106" i="32"/>
  <c r="D104" i="32"/>
  <c r="D114" i="32" s="1"/>
  <c r="J160" i="35"/>
  <c r="J161" i="35" s="1"/>
  <c r="D433" i="32"/>
  <c r="K160" i="35"/>
  <c r="E433" i="32"/>
  <c r="G433" i="32"/>
  <c r="M160" i="35"/>
  <c r="F433" i="32"/>
  <c r="L160" i="35"/>
  <c r="L161" i="35" s="1"/>
  <c r="V419" i="32"/>
  <c r="V458" i="32"/>
  <c r="V461" i="32" s="1"/>
  <c r="J138" i="35"/>
  <c r="J150" i="35" s="1"/>
  <c r="V423" i="32"/>
  <c r="V515" i="32"/>
  <c r="J87" i="35"/>
  <c r="J99" i="35" s="1"/>
  <c r="H98" i="35"/>
  <c r="H91" i="35"/>
  <c r="H103" i="35" s="1"/>
  <c r="I98" i="35"/>
  <c r="I91" i="35"/>
  <c r="I103" i="35" s="1"/>
  <c r="V425" i="32"/>
  <c r="J89" i="35"/>
  <c r="J101" i="35" s="1"/>
  <c r="J135" i="35"/>
  <c r="V487" i="32"/>
  <c r="T490" i="32"/>
  <c r="U519" i="32"/>
  <c r="V517" i="32"/>
  <c r="V486" i="32"/>
  <c r="V421" i="32"/>
  <c r="J86" i="35"/>
  <c r="V426" i="32"/>
  <c r="U427" i="32"/>
  <c r="U429" i="32" s="1"/>
  <c r="J136" i="35"/>
  <c r="J148" i="35" s="1"/>
  <c r="V516" i="32"/>
  <c r="T430" i="32"/>
  <c r="H432" i="32"/>
  <c r="J147" i="35" l="1"/>
  <c r="J140" i="35"/>
  <c r="J152" i="35" s="1"/>
  <c r="M161" i="35"/>
  <c r="K161" i="35"/>
  <c r="V490" i="32"/>
  <c r="C114" i="32"/>
  <c r="W486" i="32"/>
  <c r="D27" i="32"/>
  <c r="D113" i="32"/>
  <c r="W517" i="32"/>
  <c r="K89" i="35"/>
  <c r="K101" i="35" s="1"/>
  <c r="W425" i="32"/>
  <c r="K135" i="35"/>
  <c r="W487" i="32"/>
  <c r="H433" i="32"/>
  <c r="N160" i="35"/>
  <c r="N161" i="35" s="1"/>
  <c r="W426" i="32"/>
  <c r="V427" i="32"/>
  <c r="V429" i="32" s="1"/>
  <c r="X516" i="32"/>
  <c r="U430" i="32"/>
  <c r="I432" i="32"/>
  <c r="J98" i="35"/>
  <c r="J91" i="35"/>
  <c r="J103" i="35" s="1"/>
  <c r="V519" i="32"/>
  <c r="W515" i="32"/>
  <c r="K87" i="35"/>
  <c r="K99" i="35" s="1"/>
  <c r="W423" i="32"/>
  <c r="W419" i="32"/>
  <c r="W458" i="32"/>
  <c r="K138" i="35"/>
  <c r="K150" i="35" s="1"/>
  <c r="K136" i="35"/>
  <c r="K148" i="35" s="1"/>
  <c r="W516" i="32"/>
  <c r="K86" i="35" l="1"/>
  <c r="K98" i="35" s="1"/>
  <c r="K147" i="35"/>
  <c r="K140" i="35"/>
  <c r="K152" i="35" s="1"/>
  <c r="W421" i="32"/>
  <c r="X421" i="32"/>
  <c r="W490" i="32"/>
  <c r="D30" i="32"/>
  <c r="D29" i="32"/>
  <c r="D32" i="32" s="1"/>
  <c r="X419" i="32"/>
  <c r="X458" i="32"/>
  <c r="X461" i="32" s="1"/>
  <c r="X517" i="32"/>
  <c r="L138" i="35"/>
  <c r="L150" i="35" s="1"/>
  <c r="W427" i="32"/>
  <c r="X426" i="32"/>
  <c r="W461" i="32"/>
  <c r="L136" i="35"/>
  <c r="L148" i="35" s="1"/>
  <c r="L135" i="35"/>
  <c r="X487" i="32"/>
  <c r="Y516" i="32"/>
  <c r="Z516" i="32" s="1"/>
  <c r="X515" i="32"/>
  <c r="X423" i="32"/>
  <c r="L87" i="35"/>
  <c r="L99" i="35" s="1"/>
  <c r="W519" i="32"/>
  <c r="V430" i="32"/>
  <c r="J432" i="32"/>
  <c r="L89" i="35"/>
  <c r="L101" i="35" s="1"/>
  <c r="X425" i="32"/>
  <c r="O160" i="35"/>
  <c r="O161" i="35" s="1"/>
  <c r="I433" i="32"/>
  <c r="K91" i="35" l="1"/>
  <c r="K103" i="35" s="1"/>
  <c r="L147" i="35"/>
  <c r="L140" i="35"/>
  <c r="L152" i="35" s="1"/>
  <c r="W429" i="32"/>
  <c r="W430" i="32" s="1"/>
  <c r="L86" i="35"/>
  <c r="L98" i="35" s="1"/>
  <c r="X486" i="32"/>
  <c r="X490" i="32" s="1"/>
  <c r="X519" i="32"/>
  <c r="Y426" i="32"/>
  <c r="Z426" i="32" s="1"/>
  <c r="M135" i="35"/>
  <c r="Y487" i="32"/>
  <c r="Z487" i="32" s="1"/>
  <c r="Y421" i="32"/>
  <c r="Z421" i="32" s="1"/>
  <c r="Y486" i="32"/>
  <c r="M86" i="35"/>
  <c r="Y517" i="32"/>
  <c r="Z517" i="32" s="1"/>
  <c r="M89" i="35"/>
  <c r="M101" i="35" s="1"/>
  <c r="Y425" i="32"/>
  <c r="Z425" i="32" s="1"/>
  <c r="M136" i="35"/>
  <c r="M148" i="35" s="1"/>
  <c r="M138" i="35"/>
  <c r="M150" i="35" s="1"/>
  <c r="X427" i="32"/>
  <c r="X429" i="32" s="1"/>
  <c r="Y515" i="32"/>
  <c r="M87" i="35"/>
  <c r="M99" i="35" s="1"/>
  <c r="Y423" i="32"/>
  <c r="Z423" i="32" s="1"/>
  <c r="Y458" i="32"/>
  <c r="Y419" i="32"/>
  <c r="Z419" i="32" s="1"/>
  <c r="P160" i="35"/>
  <c r="P161" i="35" s="1"/>
  <c r="J433" i="32"/>
  <c r="M147" i="35" l="1"/>
  <c r="M140" i="35"/>
  <c r="M152" i="35" s="1"/>
  <c r="K432" i="32"/>
  <c r="Q160" i="35" s="1"/>
  <c r="L91" i="35"/>
  <c r="L103" i="35" s="1"/>
  <c r="Z515" i="32"/>
  <c r="Y519" i="32"/>
  <c r="Y490" i="32"/>
  <c r="Z490" i="32" s="1"/>
  <c r="Z486" i="32"/>
  <c r="Y461" i="32"/>
  <c r="Z458" i="32"/>
  <c r="X430" i="32"/>
  <c r="L432" i="32"/>
  <c r="R160" i="35" s="1"/>
  <c r="M98" i="35"/>
  <c r="M91" i="35"/>
  <c r="M103" i="35" s="1"/>
  <c r="Y427" i="32"/>
  <c r="Y429" i="32" s="1"/>
  <c r="Q161" i="35" l="1"/>
  <c r="R161" i="35"/>
  <c r="L433" i="32"/>
  <c r="K433" i="32"/>
  <c r="Y430" i="32"/>
  <c r="M432" i="32"/>
  <c r="Z429" i="32"/>
  <c r="Z519" i="32"/>
  <c r="Z461" i="32"/>
  <c r="M433" i="32" l="1"/>
  <c r="S160" i="35"/>
  <c r="S161" i="35" s="1"/>
  <c r="H355" i="32" l="1"/>
  <c r="H358" i="32" s="1"/>
  <c r="U355" i="32" l="1"/>
  <c r="U358" i="32" s="1"/>
  <c r="I355" i="32"/>
  <c r="I358" i="32" s="1"/>
  <c r="T355" i="32"/>
  <c r="T358" i="32" s="1"/>
  <c r="J355" i="32" l="1"/>
  <c r="J358" i="32" s="1"/>
  <c r="V355" i="32"/>
  <c r="V358" i="32" s="1"/>
  <c r="W355" i="32" l="1"/>
  <c r="W358" i="32" s="1"/>
  <c r="K355" i="32"/>
  <c r="K358" i="32" s="1"/>
  <c r="X355" i="32" l="1"/>
  <c r="X358" i="32" s="1"/>
  <c r="L355" i="32"/>
  <c r="L358" i="32" s="1"/>
  <c r="M355" i="32" l="1"/>
  <c r="M358" i="32" s="1"/>
  <c r="Y355" i="32"/>
  <c r="Z355" i="32" l="1"/>
  <c r="Y358" i="32"/>
  <c r="Z358" i="32" l="1"/>
  <c r="H235" i="51" l="1"/>
  <c r="T297" i="32"/>
  <c r="H297" i="32" l="1"/>
  <c r="I235" i="51"/>
  <c r="J297" i="32"/>
  <c r="H324" i="32"/>
  <c r="I297" i="32" l="1"/>
  <c r="K297" i="32"/>
  <c r="J235" i="51"/>
  <c r="U297" i="32"/>
  <c r="V297" i="32"/>
  <c r="I324" i="32"/>
  <c r="T324" i="32"/>
  <c r="H323" i="32"/>
  <c r="L297" i="32" l="1"/>
  <c r="W297" i="32"/>
  <c r="K235" i="51"/>
  <c r="H326" i="32"/>
  <c r="I323" i="32"/>
  <c r="T323" i="32"/>
  <c r="U324" i="32"/>
  <c r="J324" i="32"/>
  <c r="M297" i="32" l="1"/>
  <c r="X297" i="32"/>
  <c r="I326" i="32"/>
  <c r="L235" i="51"/>
  <c r="K324" i="32"/>
  <c r="V324" i="32"/>
  <c r="J323" i="32"/>
  <c r="U323" i="32"/>
  <c r="Y297" i="32" l="1"/>
  <c r="Z297" i="32" s="1"/>
  <c r="H296" i="32"/>
  <c r="H295" i="32"/>
  <c r="H325" i="32"/>
  <c r="J326" i="32"/>
  <c r="I295" i="32"/>
  <c r="M235" i="51"/>
  <c r="K323" i="32"/>
  <c r="V323" i="32"/>
  <c r="T296" i="32"/>
  <c r="L324" i="32"/>
  <c r="W324" i="32"/>
  <c r="T325" i="32" l="1"/>
  <c r="T295" i="32"/>
  <c r="U295" i="32"/>
  <c r="K326" i="32"/>
  <c r="I296" i="32"/>
  <c r="I301" i="32" s="1"/>
  <c r="J295" i="32"/>
  <c r="I325" i="32"/>
  <c r="H301" i="32"/>
  <c r="L323" i="32"/>
  <c r="W323" i="32"/>
  <c r="X324" i="32"/>
  <c r="M324" i="32"/>
  <c r="L326" i="32" l="1"/>
  <c r="V295" i="32"/>
  <c r="T301" i="32"/>
  <c r="K295" i="32"/>
  <c r="H234" i="51"/>
  <c r="X323" i="32"/>
  <c r="M323" i="32"/>
  <c r="Y324" i="32" l="1"/>
  <c r="Z324" i="32" s="1"/>
  <c r="U296" i="32"/>
  <c r="U301" i="32" s="1"/>
  <c r="U325" i="32"/>
  <c r="M326" i="32"/>
  <c r="L295" i="32"/>
  <c r="W295" i="32"/>
  <c r="J296" i="32"/>
  <c r="J301" i="32" s="1"/>
  <c r="J325" i="32"/>
  <c r="H74" i="32"/>
  <c r="I74" i="32"/>
  <c r="Y323" i="32" l="1"/>
  <c r="Z323" i="32" s="1"/>
  <c r="W325" i="32"/>
  <c r="W296" i="32"/>
  <c r="W301" i="32" s="1"/>
  <c r="V296" i="32"/>
  <c r="V301" i="32" s="1"/>
  <c r="V325" i="32"/>
  <c r="I234" i="51"/>
  <c r="M295" i="32"/>
  <c r="X295" i="32"/>
  <c r="K296" i="32"/>
  <c r="K301" i="32" s="1"/>
  <c r="K325" i="32"/>
  <c r="X296" i="32"/>
  <c r="Y295" i="32" l="1"/>
  <c r="X325" i="32"/>
  <c r="K234" i="51"/>
  <c r="J234" i="51"/>
  <c r="L325" i="32"/>
  <c r="L296" i="32"/>
  <c r="L301" i="32" s="1"/>
  <c r="X301" i="32"/>
  <c r="Y296" i="32"/>
  <c r="Z296" i="32" s="1"/>
  <c r="J74" i="32" l="1"/>
  <c r="Z295" i="32"/>
  <c r="Y301" i="32"/>
  <c r="K74" i="32"/>
  <c r="M325" i="32"/>
  <c r="M296" i="32"/>
  <c r="M301" i="32" s="1"/>
  <c r="Y325" i="32"/>
  <c r="Z325" i="32" s="1"/>
  <c r="L234" i="51"/>
  <c r="L74" i="32" l="1"/>
  <c r="M234" i="51"/>
  <c r="Z301" i="32"/>
  <c r="M74" i="32" l="1"/>
  <c r="N27" i="32" l="1"/>
  <c r="N29"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D9" authorId="0" shapeId="0" xr:uid="{00000000-0006-0000-0400-000001000000}">
      <text>
        <r>
          <rPr>
            <b/>
            <sz val="9"/>
            <color indexed="81"/>
            <rFont val="Tahoma"/>
            <family val="2"/>
          </rPr>
          <t>X2, XFP, and SFP+</t>
        </r>
      </text>
    </comment>
    <comment ref="D10" authorId="0" shapeId="0" xr:uid="{00000000-0006-0000-0400-000002000000}">
      <text>
        <r>
          <rPr>
            <b/>
            <sz val="9"/>
            <color indexed="81"/>
            <rFont val="Tahoma"/>
            <family val="2"/>
          </rPr>
          <t>X2, XFP, and SFP+</t>
        </r>
      </text>
    </comment>
    <comment ref="D11" authorId="0" shapeId="0" xr:uid="{00000000-0006-0000-0400-000003000000}">
      <text>
        <r>
          <rPr>
            <b/>
            <sz val="9"/>
            <color indexed="81"/>
            <rFont val="Tahoma"/>
            <family val="2"/>
          </rPr>
          <t>X2, XFP, and SFP+</t>
        </r>
      </text>
    </comment>
    <comment ref="D12" authorId="0" shapeId="0" xr:uid="{00000000-0006-0000-0400-000004000000}">
      <text>
        <r>
          <rPr>
            <b/>
            <sz val="9"/>
            <color indexed="81"/>
            <rFont val="Tahoma"/>
            <family val="2"/>
          </rPr>
          <t>X2, XFP, and SFP+</t>
        </r>
      </text>
    </comment>
    <comment ref="D17" authorId="0" shapeId="0" xr:uid="{00000000-0006-0000-0400-000005000000}">
      <text>
        <r>
          <rPr>
            <sz val="9"/>
            <color indexed="81"/>
            <rFont val="Tahoma"/>
            <family val="2"/>
          </rPr>
          <t>includes 300m 4xSR, 100m MM Duplex, and standard 100m reach products</t>
        </r>
      </text>
    </comment>
    <comment ref="D18" authorId="0" shapeId="0" xr:uid="{00000000-0006-0000-0400-000006000000}">
      <text>
        <r>
          <rPr>
            <b/>
            <sz val="9"/>
            <color indexed="81"/>
            <rFont val="Tahoma"/>
            <family val="2"/>
          </rPr>
          <t xml:space="preserve">PSM4
</t>
        </r>
      </text>
    </comment>
    <comment ref="D26" authorId="0" shapeId="0" xr:uid="{00000000-0006-0000-0400-000007000000}">
      <text>
        <r>
          <rPr>
            <b/>
            <sz val="9"/>
            <color indexed="81"/>
            <rFont val="Tahoma"/>
            <family val="2"/>
          </rPr>
          <t xml:space="preserve">Includes CFP, CFP2, CFP4, QSFP28 SR2 and SR4 products
</t>
        </r>
        <r>
          <rPr>
            <sz val="9"/>
            <color indexed="81"/>
            <rFont val="Tahoma"/>
            <family val="2"/>
          </rPr>
          <t xml:space="preserve">
</t>
        </r>
      </text>
    </comment>
    <comment ref="D31" authorId="0" shapeId="0" xr:uid="{00000000-0006-0000-0400-000008000000}">
      <text>
        <r>
          <rPr>
            <b/>
            <sz val="9"/>
            <color indexed="81"/>
            <rFont val="Tahoma"/>
            <family val="2"/>
          </rPr>
          <t xml:space="preserve">Includes CFP, CFP2, CFP4, QSFP28 LR4 and MSAs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E12" authorId="0" shapeId="0" xr:uid="{00000000-0006-0000-0600-000001000000}">
      <text>
        <r>
          <rPr>
            <b/>
            <sz val="9"/>
            <color indexed="81"/>
            <rFont val="Tahoma"/>
            <family val="2"/>
          </rPr>
          <t>John Lively:</t>
        </r>
        <r>
          <rPr>
            <sz val="9"/>
            <color indexed="81"/>
            <rFont val="Tahoma"/>
            <family val="2"/>
          </rPr>
          <t xml:space="preserve">
Also coherent devices, just not pluggable package</t>
        </r>
      </text>
    </comment>
    <comment ref="E13" authorId="0" shapeId="0" xr:uid="{00000000-0006-0000-0600-000002000000}">
      <text>
        <r>
          <rPr>
            <b/>
            <sz val="9"/>
            <color indexed="81"/>
            <rFont val="Tahoma"/>
            <family val="2"/>
          </rPr>
          <t>John Lively:</t>
        </r>
        <r>
          <rPr>
            <sz val="9"/>
            <color indexed="81"/>
            <rFont val="Tahoma"/>
            <family val="2"/>
          </rPr>
          <t xml:space="preserve">
Typically metro-reach (40 km) and low cost.</t>
        </r>
      </text>
    </comment>
    <comment ref="E37" authorId="0" shapeId="0" xr:uid="{00000000-0006-0000-0600-000003000000}">
      <text>
        <r>
          <rPr>
            <b/>
            <sz val="9"/>
            <color indexed="81"/>
            <rFont val="Tahoma"/>
            <family val="2"/>
          </rPr>
          <t>John Lively:</t>
        </r>
        <r>
          <rPr>
            <sz val="9"/>
            <color indexed="81"/>
            <rFont val="Tahoma"/>
            <family val="2"/>
          </rPr>
          <t xml:space="preserve">
Also coherent devices, just not pluggable package</t>
        </r>
      </text>
    </comment>
    <comment ref="E38" authorId="0" shapeId="0" xr:uid="{00000000-0006-0000-0600-000004000000}">
      <text>
        <r>
          <rPr>
            <b/>
            <sz val="9"/>
            <color indexed="81"/>
            <rFont val="Tahoma"/>
            <family val="2"/>
          </rPr>
          <t>John Lively:</t>
        </r>
        <r>
          <rPr>
            <sz val="9"/>
            <color indexed="81"/>
            <rFont val="Tahoma"/>
            <family val="2"/>
          </rPr>
          <t xml:space="preserve">
Typically metro-reach (40 km) and low cost.</t>
        </r>
      </text>
    </comment>
    <comment ref="C50" authorId="0" shapeId="0" xr:uid="{00000000-0006-0000-0600-000005000000}">
      <text>
        <r>
          <rPr>
            <b/>
            <sz val="9"/>
            <color indexed="81"/>
            <rFont val="Tahoma"/>
            <family val="2"/>
          </rPr>
          <t>Does NOT include the line above, 800G ZR pluggables</t>
        </r>
      </text>
    </comment>
    <comment ref="E61" authorId="0" shapeId="0" xr:uid="{00000000-0006-0000-0600-000006000000}">
      <text>
        <r>
          <rPr>
            <b/>
            <sz val="9"/>
            <color indexed="81"/>
            <rFont val="Tahoma"/>
            <family val="2"/>
          </rPr>
          <t>John Lively:</t>
        </r>
        <r>
          <rPr>
            <sz val="9"/>
            <color indexed="81"/>
            <rFont val="Tahoma"/>
            <family val="2"/>
          </rPr>
          <t xml:space="preserve">
Also coherent devices, just not pluggable package</t>
        </r>
      </text>
    </comment>
    <comment ref="E62" authorId="0" shapeId="0" xr:uid="{00000000-0006-0000-0600-000007000000}">
      <text>
        <r>
          <rPr>
            <b/>
            <sz val="9"/>
            <color indexed="81"/>
            <rFont val="Tahoma"/>
            <family val="2"/>
          </rPr>
          <t>John Lively:</t>
        </r>
        <r>
          <rPr>
            <sz val="9"/>
            <color indexed="81"/>
            <rFont val="Tahoma"/>
            <family val="2"/>
          </rPr>
          <t xml:space="preserve">
Typically metro-reach (40 km) and low cost.</t>
        </r>
      </text>
    </comment>
    <comment ref="C73" authorId="0" shapeId="0" xr:uid="{00000000-0006-0000-0600-000008000000}">
      <text>
        <r>
          <rPr>
            <b/>
            <sz val="9"/>
            <color indexed="81"/>
            <rFont val="Tahoma"/>
            <family val="2"/>
          </rPr>
          <t>Does NOT include the line above, 800G ZR pluggables</t>
        </r>
      </text>
    </comment>
    <comment ref="E73" authorId="0" shapeId="0" xr:uid="{00000000-0006-0000-0600-000009000000}">
      <text>
        <r>
          <rPr>
            <b/>
            <sz val="9"/>
            <color indexed="81"/>
            <rFont val="Tahoma"/>
            <family val="2"/>
          </rPr>
          <t>John Lively:</t>
        </r>
        <r>
          <rPr>
            <sz val="9"/>
            <color indexed="81"/>
            <rFont val="Tahoma"/>
            <family val="2"/>
          </rPr>
          <t xml:space="preserve">
Also coherent devices, just not pluggable package</t>
        </r>
      </text>
    </comment>
  </commentList>
</comments>
</file>

<file path=xl/sharedStrings.xml><?xml version="1.0" encoding="utf-8"?>
<sst xmlns="http://schemas.openxmlformats.org/spreadsheetml/2006/main" count="1164" uniqueCount="566">
  <si>
    <t>Units</t>
  </si>
  <si>
    <t>Sales ($M)</t>
  </si>
  <si>
    <t>CAGR</t>
  </si>
  <si>
    <t>Market Segment</t>
  </si>
  <si>
    <t xml:space="preserve">Ethernet </t>
  </si>
  <si>
    <t>Fibre Channel</t>
  </si>
  <si>
    <t>CWDM / DWDM</t>
  </si>
  <si>
    <t>Optical Interconnects</t>
  </si>
  <si>
    <t>FTTx</t>
  </si>
  <si>
    <t>TOTAL</t>
  </si>
  <si>
    <t>SONET/SDH</t>
  </si>
  <si>
    <t>Data Rate</t>
  </si>
  <si>
    <t>Reach</t>
  </si>
  <si>
    <t>80 km</t>
  </si>
  <si>
    <t>Form Factor</t>
  </si>
  <si>
    <t>SFP+</t>
  </si>
  <si>
    <t>Ethernet</t>
  </si>
  <si>
    <t>Fast Ethernet</t>
  </si>
  <si>
    <t>Product Group</t>
  </si>
  <si>
    <t>CWDM</t>
  </si>
  <si>
    <t>GPON</t>
  </si>
  <si>
    <t>EPON</t>
  </si>
  <si>
    <t xml:space="preserve">Application </t>
  </si>
  <si>
    <t>All</t>
  </si>
  <si>
    <t>SFP</t>
  </si>
  <si>
    <t>100 m</t>
  </si>
  <si>
    <t>500 m</t>
  </si>
  <si>
    <t>2 km</t>
  </si>
  <si>
    <t>10 km</t>
  </si>
  <si>
    <t>40 km</t>
  </si>
  <si>
    <t>100 Gbps</t>
  </si>
  <si>
    <t>DWDM</t>
  </si>
  <si>
    <t>TOTAL WDM</t>
  </si>
  <si>
    <t>10G PON</t>
  </si>
  <si>
    <t>2-15 km</t>
  </si>
  <si>
    <t>&lt;500 m</t>
  </si>
  <si>
    <t>40-80 km</t>
  </si>
  <si>
    <t>8 Gbps</t>
  </si>
  <si>
    <t>16 Gbps</t>
  </si>
  <si>
    <t>1 Gbps</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</si>
  <si>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</si>
  <si>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</si>
  <si>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</si>
  <si>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</si>
  <si>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</si>
  <si>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</si>
  <si>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</si>
  <si>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</si>
  <si>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</si>
  <si>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</si>
  <si>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</si>
  <si>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</si>
  <si>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</si>
  <si>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</si>
  <si>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</si>
  <si>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</si>
  <si>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</si>
  <si>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</si>
  <si>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</si>
  <si>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</si>
  <si>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</si>
  <si>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</si>
  <si>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</si>
  <si>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growth</t>
  </si>
  <si>
    <t>Application</t>
  </si>
  <si>
    <t>ASP ($)</t>
  </si>
  <si>
    <t>Product</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</si>
  <si>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</si>
  <si>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</si>
  <si>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</si>
  <si>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all</t>
  </si>
  <si>
    <t>`</t>
  </si>
  <si>
    <t>Estimates</t>
  </si>
  <si>
    <t>HG-Genuine</t>
  </si>
  <si>
    <t>Hisense</t>
  </si>
  <si>
    <t>Oclaro</t>
  </si>
  <si>
    <t>Source Photonics</t>
  </si>
  <si>
    <t>Survey data</t>
  </si>
  <si>
    <t>10 Gbps</t>
  </si>
  <si>
    <t>Wireless</t>
  </si>
  <si>
    <t>Spacing</t>
  </si>
  <si>
    <t>Configuration</t>
  </si>
  <si>
    <t>Type</t>
  </si>
  <si>
    <t>ONUs</t>
  </si>
  <si>
    <t>OLTs</t>
  </si>
  <si>
    <t>Forecast Summary</t>
  </si>
  <si>
    <t>Wireless Infrastructure</t>
  </si>
  <si>
    <t>WDM Transceiver Unit Shipments by Data Rate (Historical Data and Forecast)</t>
  </si>
  <si>
    <t>WDM Transceiver Sales by Data Rate (Historical Data and Forecast)</t>
  </si>
  <si>
    <t>40 Gbps</t>
  </si>
  <si>
    <t>CWDM/DWDM</t>
  </si>
  <si>
    <t>FTTx Transceiver Unit Shipments by Type (Historical Data and Forecast)</t>
  </si>
  <si>
    <t>FTTx Transceiver Sales by Type (Historical Data and Forecast)</t>
  </si>
  <si>
    <t>Total</t>
  </si>
  <si>
    <t>Data rate</t>
  </si>
  <si>
    <t>Long Reach</t>
  </si>
  <si>
    <t>Form factor</t>
  </si>
  <si>
    <t>Shipments of ONUs and OLTs (Historical Data and Forecast)</t>
  </si>
  <si>
    <t>Sales of ONUs and OLTs (Historical Data and Forecast)</t>
  </si>
  <si>
    <t>Ethernet Transceiver Shipments by Data Rate (Historical Data and Forecast)</t>
  </si>
  <si>
    <t>Ethernet Transceiver Sales by Data Rate (Historical Data and Forecast)</t>
  </si>
  <si>
    <t>Fibre Channel transceiver shipments by data rate (Historical Data and Forecast)</t>
  </si>
  <si>
    <t>Fibre Channel transceiver sales by data rate (Historical Data and Forecast)</t>
  </si>
  <si>
    <t>32 Gbps</t>
  </si>
  <si>
    <t>ASP($)</t>
  </si>
  <si>
    <t>Active Optical Cables (AOCs)</t>
  </si>
  <si>
    <t>Applied Optoelectronics</t>
  </si>
  <si>
    <t>Delta</t>
  </si>
  <si>
    <t>NEC</t>
  </si>
  <si>
    <t>Growth of Transceiver Sales</t>
  </si>
  <si>
    <t>Growth of WSS sales</t>
  </si>
  <si>
    <t>Eoptolink</t>
  </si>
  <si>
    <t>Innolight</t>
  </si>
  <si>
    <t>Extended Reach</t>
  </si>
  <si>
    <t>BOSAs on board</t>
  </si>
  <si>
    <t>CWDM - up to 10 Gbps</t>
  </si>
  <si>
    <t>up to 10 Gbps</t>
  </si>
  <si>
    <t>AOC total</t>
  </si>
  <si>
    <t>Survey data and estimates</t>
  </si>
  <si>
    <t>Shipments of Active Optical Cables by Data Rate (Historical Data and Forecast)</t>
  </si>
  <si>
    <t>Sales of Active Optical Cables by Data Rate (Historical Data and Forecast)</t>
  </si>
  <si>
    <t>64 Gbps</t>
  </si>
  <si>
    <t>Internet Traffic</t>
  </si>
  <si>
    <t>400 Gbps</t>
  </si>
  <si>
    <t>2.5 Gbps</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</si>
  <si>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</si>
  <si>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</si>
  <si>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</si>
  <si>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</si>
  <si>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</si>
  <si>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</si>
  <si>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</si>
  <si>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</si>
  <si>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</si>
  <si>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</si>
  <si>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</si>
  <si>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</si>
  <si>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</si>
  <si>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</si>
  <si>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</si>
  <si>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</si>
  <si>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</si>
  <si>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</si>
  <si>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</si>
  <si>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</si>
  <si>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</si>
  <si>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</si>
  <si>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 xml:space="preserve">LightCounting Optical Components Market Forecast </t>
  </si>
  <si>
    <t>Wavelength Selective Switches (WSS)</t>
  </si>
  <si>
    <t xml:space="preserve">Tunable lasers </t>
  </si>
  <si>
    <t>CWDM and DWDM Transceivers</t>
  </si>
  <si>
    <t>FTTx Transceivers</t>
  </si>
  <si>
    <t>Ethernet Transceivers</t>
  </si>
  <si>
    <t>Fibre Channel Transceivers</t>
  </si>
  <si>
    <t>Products</t>
  </si>
  <si>
    <t>Total Optical Ports</t>
  </si>
  <si>
    <t>1 GbE</t>
  </si>
  <si>
    <t>Total Optical Components</t>
  </si>
  <si>
    <t>Units - 10G DWDM</t>
  </si>
  <si>
    <t>Units - CWDM/DWDM</t>
  </si>
  <si>
    <t>Sales ($M) and Growth Rates</t>
  </si>
  <si>
    <t>Product Category</t>
  </si>
  <si>
    <t>Transceivers (all types)</t>
  </si>
  <si>
    <t>Annual Growth Rates</t>
  </si>
  <si>
    <t>Transceiver Sales ($M)</t>
  </si>
  <si>
    <t>Units - FTTX</t>
  </si>
  <si>
    <t>Sales ($M) - FTTx</t>
  </si>
  <si>
    <t>Units - Ethernet</t>
  </si>
  <si>
    <t>Sales ($M) - Ethernet</t>
  </si>
  <si>
    <t>Units - AOCs</t>
  </si>
  <si>
    <t>Sales ($M) - AOCs</t>
  </si>
  <si>
    <t>Units - Fibre Channel</t>
  </si>
  <si>
    <t>Sales ($M) - Fibre Channel</t>
  </si>
  <si>
    <t>Sales ($M) - CWDM/DWDM</t>
  </si>
  <si>
    <t>Sales ($M) - 10G DWDM</t>
  </si>
  <si>
    <t xml:space="preserve">      </t>
  </si>
  <si>
    <t>10 GbE</t>
  </si>
  <si>
    <t>Units: Fibre Channel (all reaches)</t>
  </si>
  <si>
    <t>8 GFC</t>
  </si>
  <si>
    <t>16 GFC</t>
  </si>
  <si>
    <t>32 GFC</t>
  </si>
  <si>
    <t>Total Gb at each rate</t>
  </si>
  <si>
    <t>Sales $ at each rate</t>
  </si>
  <si>
    <t>Cost per Gigabit: Short Reach</t>
  </si>
  <si>
    <t>Cost per Gigabit</t>
  </si>
  <si>
    <t>All of the following graphs are weighted by sales of each type.</t>
  </si>
  <si>
    <t>Total Gb by protocol</t>
  </si>
  <si>
    <t>Units: Ethernet Short Reach (100 - 500 m reach only)</t>
  </si>
  <si>
    <t>Sales ($) Ethernet Short Reach (100 - 500 m reach only)</t>
  </si>
  <si>
    <t>WDM</t>
  </si>
  <si>
    <t>Source: LightCounting traffic analysis</t>
  </si>
  <si>
    <t xml:space="preserve">However, we found this is not a one-to-one correlation. While network traffic typically grows 35-45 % per year, aggregated transceiver capacity grows 20-30%. </t>
  </si>
  <si>
    <t>Long Reach (10 km)</t>
  </si>
  <si>
    <t>Extended Reach (40 km)</t>
  </si>
  <si>
    <t>Extended Reach (40 &amp; 80 Km)</t>
  </si>
  <si>
    <t>Transceiver Shipments (Units)</t>
  </si>
  <si>
    <t>QSFP+</t>
  </si>
  <si>
    <t>Ports</t>
  </si>
  <si>
    <t>Total optical ports</t>
  </si>
  <si>
    <t xml:space="preserve">This table shows total annual port shipments of various product categories in the forecast. </t>
  </si>
  <si>
    <t>Ports are calculated as the sum of transceivers (optical modules) plus discrete components used in SONET/SDH and DWDM applications.</t>
  </si>
  <si>
    <t>Ethernet cost per bit</t>
  </si>
  <si>
    <t xml:space="preserve"> (Excludes modules used in wireless infrastructure)</t>
  </si>
  <si>
    <t>Short Reach (100m/300m)</t>
  </si>
  <si>
    <t>Intermediate Reach (0.5-2 km)</t>
  </si>
  <si>
    <t>Short Reach (100m)</t>
  </si>
  <si>
    <t>40 GbE</t>
  </si>
  <si>
    <t>100 GbE</t>
  </si>
  <si>
    <t>10 GbE Transceiver Shipments by Reach (Historical Data and Forecast)</t>
  </si>
  <si>
    <t>10 GbE Transceiver Sales by Reach (Historical Data and Forecast)</t>
  </si>
  <si>
    <t>Units - 10 GbE (all reaches)</t>
  </si>
  <si>
    <t>Sales ($M) - 10 GbE (all reaches)</t>
  </si>
  <si>
    <t>40 GbE Transceiver Shipments by Reach (Historical Data and Forecast)</t>
  </si>
  <si>
    <t>40 GbE Transceiver Sales by Reach (Historical Data and Forecast)</t>
  </si>
  <si>
    <t>Units - 40 GbE (all reaches)</t>
  </si>
  <si>
    <t>Sales ($M) - 40 GbE (all reaches)</t>
  </si>
  <si>
    <t>100 GbE Transceiver Shipments by Reach (Historical Data and Forecast)</t>
  </si>
  <si>
    <t>100 GbE Transceiver Sales by Reach (Historical Data and Forecast)</t>
  </si>
  <si>
    <t>Units - 100 GbE (all reaches)</t>
  </si>
  <si>
    <t>Sales ($M) - 100 GbE (all Reaches)</t>
  </si>
  <si>
    <t>40 GbE (FR)</t>
  </si>
  <si>
    <t>40 GbE (LR4 subspec)</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</si>
  <si>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</si>
  <si>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</si>
  <si>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</si>
  <si>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Growth of total market revenues</t>
  </si>
  <si>
    <t>Telecom</t>
  </si>
  <si>
    <t>Transceiver Sales (Historical Data and Forecast)</t>
  </si>
  <si>
    <t>Transceiver Shipments (Historical Data and Forecast)</t>
  </si>
  <si>
    <t>25 GbE</t>
  </si>
  <si>
    <t>SFP28</t>
  </si>
  <si>
    <t>25 Gbps</t>
  </si>
  <si>
    <t>Sales of Optical Transceivers</t>
  </si>
  <si>
    <t>TBD</t>
  </si>
  <si>
    <t>Direct detect</t>
  </si>
  <si>
    <t>OC-48 (2.5 Gbps)</t>
  </si>
  <si>
    <t>OC-192 (10 Gbps)</t>
  </si>
  <si>
    <t>OC-768 (40 Gbps)</t>
  </si>
  <si>
    <t>50 GbE</t>
  </si>
  <si>
    <t>200 GbE</t>
  </si>
  <si>
    <t>64G short</t>
  </si>
  <si>
    <t>64G long</t>
  </si>
  <si>
    <t>Wavelengths</t>
  </si>
  <si>
    <t>grey</t>
  </si>
  <si>
    <t>100G DWDM transponder shipments by type</t>
  </si>
  <si>
    <t>Legacy/discontinued</t>
  </si>
  <si>
    <t>0-0.3 km</t>
  </si>
  <si>
    <t>Total revenues</t>
  </si>
  <si>
    <t>200 Gbps</t>
  </si>
  <si>
    <t>100-300 m</t>
  </si>
  <si>
    <t>QSFP28</t>
  </si>
  <si>
    <t>On board</t>
  </si>
  <si>
    <t>Forecast Report charts and tables</t>
  </si>
  <si>
    <t>10-20 km</t>
  </si>
  <si>
    <t>Cloud (DCI)</t>
  </si>
  <si>
    <t>Enterprise</t>
  </si>
  <si>
    <t>100G</t>
  </si>
  <si>
    <t>200G</t>
  </si>
  <si>
    <t>400G</t>
  </si>
  <si>
    <t>For Section 3, FTTx and Wireless in Forecast Report</t>
  </si>
  <si>
    <t>Figure 3‐9: New FTTH subscribers vs. annual shipments of ONU ports (Historical Data and Forecast)</t>
  </si>
  <si>
    <t>Figure 3-12: Mobile connections by technology</t>
  </si>
  <si>
    <t>Figure 3-15: Sales of WDM fronthaul transceivers</t>
  </si>
  <si>
    <t>For Section 3, WDM section in Forecast Report</t>
  </si>
  <si>
    <t>For Section 2, in Forecast Report</t>
  </si>
  <si>
    <t>Figure 2-1: Internet company spending on property, plant, and equipment</t>
  </si>
  <si>
    <t>Acacia</t>
  </si>
  <si>
    <t>Accelink</t>
  </si>
  <si>
    <t>Avago (FOIT)</t>
  </si>
  <si>
    <t>Coadna</t>
  </si>
  <si>
    <t>ColorChip</t>
  </si>
  <si>
    <t>Fujikura</t>
  </si>
  <si>
    <t>Survey Data</t>
  </si>
  <si>
    <t>Furukawa</t>
  </si>
  <si>
    <t>Intel</t>
  </si>
  <si>
    <t>GigaLight</t>
  </si>
  <si>
    <t>Kaiam</t>
  </si>
  <si>
    <t>Lumentum</t>
  </si>
  <si>
    <t>Luxtera</t>
  </si>
  <si>
    <t>Oplink</t>
  </si>
  <si>
    <t>Samtec</t>
  </si>
  <si>
    <t>CFP-DCO</t>
  </si>
  <si>
    <t>CFP2-ACO</t>
  </si>
  <si>
    <t>100Gbps</t>
  </si>
  <si>
    <t>CFP2-DCO</t>
  </si>
  <si>
    <t>Figure 3-11: Next generation PON share of market</t>
  </si>
  <si>
    <t>All other</t>
  </si>
  <si>
    <t>200G DWDM transponder shipments by type</t>
  </si>
  <si>
    <t>50 Gbps</t>
  </si>
  <si>
    <t>CPRI/eCPRI Fronthaul (grey &amp; WDM optics)</t>
  </si>
  <si>
    <t>Infrastructure spending by ICPs</t>
  </si>
  <si>
    <t>400ZR</t>
  </si>
  <si>
    <t>Rest of World</t>
  </si>
  <si>
    <t>100G DWDM transponder shipments by type (pluggables only)</t>
  </si>
  <si>
    <t>200G DWDM transponder shipments by type (pluggables only)</t>
  </si>
  <si>
    <t>[Note: Includes LN, InP, and SiP modulators sold to equipment makers. Internal production by Huawei and others is excluded.)</t>
  </si>
  <si>
    <t>NG-PON2</t>
  </si>
  <si>
    <t>10G-PON</t>
  </si>
  <si>
    <t>Mobile fronthaul transceivers</t>
  </si>
  <si>
    <t>legacy</t>
  </si>
  <si>
    <t>Modulators &amp; Receivers</t>
  </si>
  <si>
    <t xml:space="preserve">Synchronous Optical Networking/Synchronous Digital Hierarchy - transport protocols developed in the late 1980s and widely deployed in telecom networks since the early 1990s. </t>
  </si>
  <si>
    <t>802.3 compliant transceivers operating at speeds of 1 Gbps and above, and reaches from 100 m to 80 km.</t>
  </si>
  <si>
    <t>Transceivers and embedded modules (e.g. 5"x7") used in CWDM and DWDM systems, with speeds ranging from 1 to 800 Gbps, with reaches of 40km, 80km, and higher.  WSS, EDFAs, DCMS, and modulators are also used in DWDM systems; WSS and modulators are forecast separately.</t>
  </si>
  <si>
    <t>A mix of grey optics devices, as well as some CWDM/DWDM optics, at speeds of 1-100 Gbps. Fronthaul products are usually I-temp rated and are often bi-directional on a single fiber (BiDi)</t>
  </si>
  <si>
    <t>Transceivers and BOSAs used in BPON, EPON, GPON, WDM-PON ONTs and OLTs, and point-to-point systems.</t>
  </si>
  <si>
    <t>Fixed Grid</t>
  </si>
  <si>
    <t>Flex Grid</t>
  </si>
  <si>
    <t>single 1x9</t>
  </si>
  <si>
    <t xml:space="preserve">Flex Grid </t>
  </si>
  <si>
    <t>twin 1x9</t>
  </si>
  <si>
    <t xml:space="preserve">twin 1x20 </t>
  </si>
  <si>
    <t>Next Generation</t>
  </si>
  <si>
    <t xml:space="preserve">  </t>
  </si>
  <si>
    <t>Only Litium Niobate (LiNb) modulators are included in this forecast</t>
  </si>
  <si>
    <t>Modulators and receivers for 100, 200, and 400G DWDM systems</t>
  </si>
  <si>
    <t>Our forecast breaks out fixed grid (as a single category), and flex grid by single 1x9, twin 1x9, twin 1x20. There is also a category for next generation devices.</t>
  </si>
  <si>
    <t>≤ 0.5 km</t>
  </si>
  <si>
    <t>300 m</t>
  </si>
  <si>
    <t>40 Gbps PSM4</t>
  </si>
  <si>
    <t xml:space="preserve">40 Gbps </t>
  </si>
  <si>
    <t>Mobile mid-haul and backhaul</t>
  </si>
  <si>
    <t>Wireless Fronthaul</t>
  </si>
  <si>
    <t>Shipments of optical transceivers used in fronthaul networks (Historical Data and Forecast)</t>
  </si>
  <si>
    <t>Sales of optical transceivers used in fronthaul networks (Historical Data and Forecast)</t>
  </si>
  <si>
    <t xml:space="preserve">Backhaul segment includes mid-haul and backhaul transceivers </t>
  </si>
  <si>
    <t>Fronthaul</t>
  </si>
  <si>
    <t>Backhaul</t>
  </si>
  <si>
    <t>Transceivers used for fronthaul transport in mobile networks</t>
  </si>
  <si>
    <r>
      <t xml:space="preserve">Transceivers used for </t>
    </r>
    <r>
      <rPr>
        <b/>
        <sz val="12"/>
        <color theme="1"/>
        <rFont val="Calibri"/>
        <family val="2"/>
        <scheme val="minor"/>
      </rPr>
      <t>midhaul</t>
    </r>
    <r>
      <rPr>
        <sz val="12"/>
        <color theme="1"/>
        <rFont val="Calibri"/>
        <family val="2"/>
        <scheme val="minor"/>
      </rPr>
      <t xml:space="preserve"> and </t>
    </r>
    <r>
      <rPr>
        <b/>
        <sz val="12"/>
        <color theme="1"/>
        <rFont val="Calibri"/>
        <family val="2"/>
        <scheme val="minor"/>
      </rPr>
      <t>backhaul</t>
    </r>
    <r>
      <rPr>
        <sz val="12"/>
        <color theme="1"/>
        <rFont val="Calibri"/>
        <family val="2"/>
        <scheme val="minor"/>
      </rPr>
      <t xml:space="preserve"> transport in mobile networks</t>
    </r>
  </si>
  <si>
    <t>Ethernet transceivers in speeds ranging from 1-50 Gbps and reaches from 10-80km</t>
  </si>
  <si>
    <t>Wireless Backhaul</t>
  </si>
  <si>
    <t>10-80 km</t>
  </si>
  <si>
    <t>WSS modules</t>
  </si>
  <si>
    <t>% of Cloud</t>
  </si>
  <si>
    <t>WSS Modules</t>
  </si>
  <si>
    <t>DWDM Network bandwidth</t>
  </si>
  <si>
    <t>New FTTH subs in ROW</t>
  </si>
  <si>
    <t>New FTTH subs in China</t>
  </si>
  <si>
    <t>Global ONU port shipments</t>
  </si>
  <si>
    <t>China</t>
  </si>
  <si>
    <t>5G</t>
  </si>
  <si>
    <t>LTE</t>
  </si>
  <si>
    <t>Mobile broadband total</t>
  </si>
  <si>
    <t>Total mobile connections</t>
  </si>
  <si>
    <t>C/DWDM</t>
  </si>
  <si>
    <t>Grey optics</t>
  </si>
  <si>
    <t>Fronthaul shipments by speed</t>
  </si>
  <si>
    <t>Fronthaul shipments by revenue</t>
  </si>
  <si>
    <t>Midhaul/backhaul shipments by speed</t>
  </si>
  <si>
    <t>Midhaul/backhaul shipments by revenue</t>
  </si>
  <si>
    <t>Figure 3-10: China’s impact on access optics market demand</t>
  </si>
  <si>
    <t>FTTx subscribers vs. ONU shipments (millions)</t>
  </si>
  <si>
    <t>China vs ROW FTTX optics shipments</t>
  </si>
  <si>
    <t>World Total</t>
  </si>
  <si>
    <t>Connections, millions</t>
  </si>
  <si>
    <t>Cost per bit ($/Gbps)</t>
  </si>
  <si>
    <t>All Ethernet</t>
  </si>
  <si>
    <t>$/Gbps</t>
  </si>
  <si>
    <t>Wavelength Selective Switch revenues</t>
  </si>
  <si>
    <t>Speed</t>
  </si>
  <si>
    <t>Total Gbps</t>
  </si>
  <si>
    <t>Total $M</t>
  </si>
  <si>
    <t>$/Gbps (ONUs only)</t>
  </si>
  <si>
    <t>$/Gbps (All WDM)</t>
  </si>
  <si>
    <t>We removed this from the forecast in 2018 due to declining volumes and high level of maturity.</t>
  </si>
  <si>
    <t>25G</t>
  </si>
  <si>
    <t>Data from this forecast</t>
  </si>
  <si>
    <t>Figure E-2</t>
  </si>
  <si>
    <t>For Section 5, Forecast Methodology in Forecast Report</t>
  </si>
  <si>
    <t>China mobile data</t>
  </si>
  <si>
    <t>Ethernet bandwidth</t>
  </si>
  <si>
    <t>BiDi</t>
  </si>
  <si>
    <t>1G</t>
  </si>
  <si>
    <t>10G</t>
  </si>
  <si>
    <t>40G</t>
  </si>
  <si>
    <t>Y-o-y growth rate</t>
  </si>
  <si>
    <t>Global mobile traffic</t>
  </si>
  <si>
    <t>Internet traffic (all)</t>
  </si>
  <si>
    <t>&gt;120 km</t>
  </si>
  <si>
    <t>120 km</t>
  </si>
  <si>
    <t>100GbE ZR</t>
  </si>
  <si>
    <t>100/200/400/800G Modulators and Coherent Receivers</t>
  </si>
  <si>
    <t>DWDM - up to 10 Gbps</t>
  </si>
  <si>
    <t>grey MMF</t>
  </si>
  <si>
    <t>grey SMF</t>
  </si>
  <si>
    <t>Duplex</t>
  </si>
  <si>
    <t>1-20 km</t>
  </si>
  <si>
    <t>The winners</t>
  </si>
  <si>
    <t>Data Rate (aggregate)</t>
  </si>
  <si>
    <t>30-40-80 km</t>
  </si>
  <si>
    <t>500 m, 2 km</t>
  </si>
  <si>
    <t>All (direct detect only)</t>
  </si>
  <si>
    <t>100G PSM4</t>
  </si>
  <si>
    <t>100G CWDM4</t>
  </si>
  <si>
    <t>600G and above</t>
  </si>
  <si>
    <t>400G and 600G DWDM transponder shipments by type (pluggables only)</t>
  </si>
  <si>
    <t>100G DR</t>
  </si>
  <si>
    <t>100G FR, DR+</t>
  </si>
  <si>
    <t>"The Winners" DWDM transponder shipments by type</t>
  </si>
  <si>
    <t>Sales</t>
  </si>
  <si>
    <t>200G and below</t>
  </si>
  <si>
    <t xml:space="preserve">400G  </t>
  </si>
  <si>
    <t>800 Gbps</t>
  </si>
  <si>
    <t>400ZR+   OSPF/QSFP-DD</t>
  </si>
  <si>
    <t>400ZR+ CFP2</t>
  </si>
  <si>
    <t>Total shipments</t>
  </si>
  <si>
    <t>L-band</t>
  </si>
  <si>
    <r>
      <rPr>
        <sz val="10"/>
        <color theme="1"/>
        <rFont val="Calibri"/>
        <family val="2"/>
      </rPr>
      <t>≥</t>
    </r>
    <r>
      <rPr>
        <sz val="10"/>
        <color theme="1"/>
        <rFont val="Arial"/>
        <family val="2"/>
      </rPr>
      <t>400 GbE</t>
    </r>
  </si>
  <si>
    <t>ONUs vs subscribers - cumulative</t>
  </si>
  <si>
    <t>Global ONUs shipped</t>
  </si>
  <si>
    <t>Global FTTx subscribers</t>
  </si>
  <si>
    <t>800G</t>
  </si>
  <si>
    <t>Units: Ethernet Long Reach 2-80 km</t>
  </si>
  <si>
    <t>Sales ($) Ethernet Long Reach, 2-80 km</t>
  </si>
  <si>
    <t>Cost per Gigabit: Long Reach 2-80 km</t>
  </si>
  <si>
    <t>CSPs</t>
  </si>
  <si>
    <t>ICPs</t>
  </si>
  <si>
    <t>Capex ($ billions)</t>
  </si>
  <si>
    <t xml:space="preserve">200G </t>
  </si>
  <si>
    <t>400G ZR, ZR+</t>
  </si>
  <si>
    <t>Wavelength Selective Switches</t>
  </si>
  <si>
    <t>50G</t>
  </si>
  <si>
    <t>For executive summary</t>
  </si>
  <si>
    <t>Figure E-2: Summary of the main changes to the 5-year forecast</t>
  </si>
  <si>
    <t xml:space="preserve">Figure E-3: Annual spending of TOP15 Internet Content Provider (ICP) and Communication Service Providers (CSPs) </t>
  </si>
  <si>
    <t xml:space="preserve">Active Optical Cables </t>
  </si>
  <si>
    <t>through acquisition by Lumentum</t>
  </si>
  <si>
    <t>through acquisition by II-VI</t>
  </si>
  <si>
    <t>through acquisition by Broadcom</t>
  </si>
  <si>
    <t>through acquisition by Cisco</t>
  </si>
  <si>
    <t>through acquisition by Molex</t>
  </si>
  <si>
    <t>II-VI</t>
  </si>
  <si>
    <t>continuing after acquisition by Cisco</t>
  </si>
  <si>
    <t>until bankruptcy in early 2019</t>
  </si>
  <si>
    <t>Note</t>
  </si>
  <si>
    <t>Broadcom</t>
  </si>
  <si>
    <t>Molex</t>
  </si>
  <si>
    <t>Cisco</t>
  </si>
  <si>
    <t>continues after acquisition by SDGI in 2019</t>
  </si>
  <si>
    <t>SuperXon</t>
  </si>
  <si>
    <t>Sales ($M) - FTTx by product type</t>
  </si>
  <si>
    <t>Units - FTTx by product type</t>
  </si>
  <si>
    <t>On-board</t>
  </si>
  <si>
    <t xml:space="preserve">100/200/400/600/800 Gbps annual bandwidth additions
</t>
  </si>
  <si>
    <t>Coherent DWDM modules</t>
  </si>
  <si>
    <t>Coherent On-Board</t>
  </si>
  <si>
    <t>Coherent Pluggables</t>
  </si>
  <si>
    <t>Units and sales</t>
  </si>
  <si>
    <t>$</t>
  </si>
  <si>
    <t>Bandwidth check</t>
  </si>
  <si>
    <t>600G and above - avg speed</t>
  </si>
  <si>
    <t>1-800G rows - bandwidth</t>
  </si>
  <si>
    <t>600G and above - bandwidth</t>
  </si>
  <si>
    <t>Cumulative bw</t>
  </si>
  <si>
    <t>25G PON ports</t>
  </si>
  <si>
    <t>50G PON ports</t>
  </si>
  <si>
    <t>25G PON</t>
  </si>
  <si>
    <t>50G PON</t>
  </si>
  <si>
    <t>1.6T</t>
  </si>
  <si>
    <t>3.2T</t>
  </si>
  <si>
    <t>1,6T</t>
  </si>
  <si>
    <t>3,2T</t>
  </si>
  <si>
    <t>Sales of WSS modules</t>
  </si>
  <si>
    <t>Sales ($M) - WSS</t>
  </si>
  <si>
    <t>Units - WSS</t>
  </si>
  <si>
    <t>Wavelength Selective Switch unit shipments</t>
  </si>
  <si>
    <t>Figure used in the webinar</t>
  </si>
  <si>
    <t>DWDM revenues split by speeds</t>
  </si>
  <si>
    <t>2023E</t>
  </si>
  <si>
    <t>2022-2028</t>
  </si>
  <si>
    <t>placeholder</t>
  </si>
  <si>
    <t>CAGR 2010-2023</t>
  </si>
  <si>
    <t>600 Gbps</t>
  </si>
  <si>
    <t>1.2T</t>
  </si>
  <si>
    <t>800ZR/ZR+</t>
  </si>
  <si>
    <t>600G, 800G</t>
  </si>
  <si>
    <t>1.2T, 1.6T</t>
  </si>
  <si>
    <t>800G &amp; above</t>
  </si>
  <si>
    <t>600G</t>
  </si>
  <si>
    <t>1.2 Tbps</t>
  </si>
  <si>
    <t>1.6 Tbps</t>
  </si>
  <si>
    <t>Fixed Grid  all</t>
  </si>
  <si>
    <t>Flex Grid single 1x9</t>
  </si>
  <si>
    <t>Flex Grid  twin 1x9</t>
  </si>
  <si>
    <t xml:space="preserve">Flex Grid twin 1x20 </t>
  </si>
  <si>
    <t>Flex Grid L-band</t>
  </si>
  <si>
    <t>Next Generation All</t>
  </si>
  <si>
    <t>Total WSS</t>
  </si>
  <si>
    <t>128 Gbps</t>
  </si>
  <si>
    <t>800G SR8</t>
  </si>
  <si>
    <t>50 m</t>
  </si>
  <si>
    <t>OSFP, QSFP-DD800</t>
  </si>
  <si>
    <t>800G DR8</t>
  </si>
  <si>
    <t>2x(400G FR4), 800G FR4</t>
  </si>
  <si>
    <t>800G LR8, LR4</t>
  </si>
  <si>
    <t>800G LR (ZRlite)</t>
  </si>
  <si>
    <t>800G ER4</t>
  </si>
  <si>
    <t>10 km, 20 km</t>
  </si>
  <si>
    <t>3 km</t>
  </si>
  <si>
    <t>200G SR4</t>
  </si>
  <si>
    <t>QSFP56</t>
  </si>
  <si>
    <t>200G DR</t>
  </si>
  <si>
    <t>200G FR4</t>
  </si>
  <si>
    <t>200G LR</t>
  </si>
  <si>
    <t>200G ER4</t>
  </si>
  <si>
    <t>2x200 (400G-SR8)</t>
  </si>
  <si>
    <t>OSFP, QSFP-DD</t>
  </si>
  <si>
    <t>400G DR4</t>
  </si>
  <si>
    <t>OSFP, QSFP-DD, QSFP112</t>
  </si>
  <si>
    <t>2x(200G FR4)</t>
  </si>
  <si>
    <t>OSFP</t>
  </si>
  <si>
    <t>400G FR4</t>
  </si>
  <si>
    <t>400G LR8, LR4</t>
  </si>
  <si>
    <t>400G ER4</t>
  </si>
  <si>
    <t>400G SR4, SR4.2</t>
  </si>
  <si>
    <t>1,3,6 Gbps</t>
  </si>
  <si>
    <t>10G EPON ONUs</t>
  </si>
  <si>
    <t>10G EPON OLTs</t>
  </si>
  <si>
    <t>Figure 4-3: Growth rate in bandwidth of shipments of Ethernet optical transceivers</t>
  </si>
  <si>
    <t xml:space="preserve">Data for the chart above are on the Methodology tab. </t>
  </si>
  <si>
    <t xml:space="preserve">Figure 3-3:   100/200/400/600/800 Gbps bandwidth additions by application 
</t>
  </si>
  <si>
    <t>Product group</t>
  </si>
  <si>
    <t xml:space="preserve">DWDM 10G </t>
  </si>
  <si>
    <t>DWDM 2.5 G</t>
  </si>
  <si>
    <t>CWDM up to 10G</t>
  </si>
  <si>
    <t>10-Gbps C/DWDM Transceiver Unit Shipments by Form Factor (Historical Data and Forecast)</t>
  </si>
  <si>
    <t>10-Gbps C/DWDM Transceiver Sales by Form Factor (Historical Data and Forecast)</t>
  </si>
  <si>
    <t>800G, 1.6T</t>
  </si>
  <si>
    <t xml:space="preserve">400G </t>
  </si>
  <si>
    <t xml:space="preserve">This report presents historical data from 2018 to 2022 and a detailed market forecast through 2028 for Ethernet, Fibre Channel, CWDM, DWDM, FTTx transceivers, modules used in wireless infrastructure, tunable lasers, WSS modules, and optical interconnects, in over 200 product categories.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</si>
  <si>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Narrow Linewidth LP</t>
  </si>
  <si>
    <t>Narrow Linewidth HP</t>
  </si>
  <si>
    <t>100/200G Modulators</t>
  </si>
  <si>
    <t>400G and above Modulators</t>
  </si>
  <si>
    <t>100/200G Receivers</t>
  </si>
  <si>
    <t>400G and above Receivers</t>
  </si>
  <si>
    <t>100/200G Integrated Modules</t>
  </si>
  <si>
    <t>400G Integrated Modules</t>
  </si>
  <si>
    <t>800G Integrated Modules</t>
  </si>
  <si>
    <t>GPON ONU transceiver</t>
  </si>
  <si>
    <t>GPON ONU BOSA</t>
  </si>
  <si>
    <t>GPON OLT</t>
  </si>
  <si>
    <t>GPON Triplexer</t>
  </si>
  <si>
    <t>EPON ONU transceiver</t>
  </si>
  <si>
    <t>EPON ONU BOSA</t>
  </si>
  <si>
    <t>EPON OLTs</t>
  </si>
  <si>
    <t>XG-PON ONU transceiver (10G/1G or 2.5G)</t>
  </si>
  <si>
    <t>XG-PON ONU BOSA (10G/1G or 2.5G)</t>
  </si>
  <si>
    <t>XGS-PON ONU transceiver (10G/10G)</t>
  </si>
  <si>
    <t>XGS-PON ONU BOSA (10G/10G)</t>
  </si>
  <si>
    <t>XG/XGS-PON OLTs (incl CombiPON)</t>
  </si>
  <si>
    <t>NG-PON2 ONUs</t>
  </si>
  <si>
    <t>NG-PON2 OLTs</t>
  </si>
  <si>
    <t>25G PON ONUs</t>
  </si>
  <si>
    <t>25G PON OLTs</t>
  </si>
  <si>
    <t>50G PON ONUs</t>
  </si>
  <si>
    <t>50G PON OLTs</t>
  </si>
  <si>
    <t>QSFP28, SFP-DD, SFP112</t>
  </si>
  <si>
    <t>QSFP-DD, OSFP, QSFP112</t>
  </si>
  <si>
    <t>QSFP-DD800, OSFP, OSFP-XD</t>
  </si>
  <si>
    <t>Mini-SAS HD, CXPx, QSFP, SFP56</t>
  </si>
  <si>
    <t/>
  </si>
  <si>
    <t>All Other</t>
  </si>
  <si>
    <t>Figure E-1: Global sales of optical transceivers 2018-2028 by segment</t>
  </si>
  <si>
    <t>Published 31 October 2023 - Sample -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</si>
</sst>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_(* #,##0.0_);_(* \(#,##0.0\);_(* &quot;-&quot;??_);_(@_)"/>
    <numFmt numFmtId="170" formatCode="#,##0.0"/>
    <numFmt numFmtId="171" formatCode="0.0"/>
    <numFmt numFmtId="172" formatCode="[$$-409]#,##0.0_);[Red]\([$$-409]#,##0.0\)"/>
    <numFmt numFmtId="173" formatCode="#,##0.0\ ;\(#,##0.0\)"/>
    <numFmt numFmtId="174" formatCode="&quot;$&quot;#,##0,_);\(&quot;$&quot;#,##0,\)"/>
    <numFmt numFmtId="175" formatCode="&quot;$&quot;#,##0,,_);\(&quot;$&quot;#,##0,,\)"/>
    <numFmt numFmtId="176" formatCode="0.00000&quot;  &quot;"/>
    <numFmt numFmtId="177" formatCode="0.0_)\%;\(0.0\)\%;0.0_)\%;@_)_%"/>
    <numFmt numFmtId="178" formatCode="#,##0.0_)_%;\(#,##0.0\)_%;0.0_)_%;@_)_%"/>
    <numFmt numFmtId="179" formatCode="#,##0.0_);\(#,##0.0\)"/>
    <numFmt numFmtId="180" formatCode="#,##0.0_);\(#,##0.0\);#,##0.0_);@_)"/>
    <numFmt numFmtId="181" formatCode="_([$€-2]* #,##0.00_);_([$€-2]* \(#,##0.00\);_([$€-2]* &quot;-&quot;??_)"/>
    <numFmt numFmtId="182" formatCode="&quot;$&quot;_(#,##0.00_);&quot;$&quot;\(#,##0.00\)"/>
    <numFmt numFmtId="183" formatCode="&quot;$&quot;_(#,##0.00_);&quot;$&quot;\(#,##0.00\);&quot;$&quot;_(0.00_);@_)"/>
    <numFmt numFmtId="184" formatCode="#,##0.00_);\(#,##0.00\);0.00_);@_)"/>
    <numFmt numFmtId="185" formatCode="\€_(#,##0.00_);\€\(#,##0.00\);\€_(0.00_);@_)"/>
    <numFmt numFmtId="186" formatCode="#,##0.0_)\x;\(#,##0.0\)\x"/>
    <numFmt numFmtId="187" formatCode="#,##0_)\x;\(#,##0\)\x;0_)\x;@_)_x"/>
    <numFmt numFmtId="188" formatCode="#,##0.0_)_x;\(#,##0.0\)_x"/>
    <numFmt numFmtId="189" formatCode="#,##0_)_x;\(#,##0\)_x;0_)_x;@_)_x"/>
    <numFmt numFmtId="190" formatCode="0.0_)\%;\(0.0\)\%"/>
    <numFmt numFmtId="191" formatCode="#,##0.0_)_%;\(#,##0.0\)_%"/>
    <numFmt numFmtId="192" formatCode="0.0%;\(0.0%\)"/>
    <numFmt numFmtId="193" formatCode="_ * #,##0.00_ ;_ * \-#,##0.00_ ;_ * &quot;-&quot;??_ ;_ @_ "/>
    <numFmt numFmtId="194" formatCode="0%;\(0%\)"/>
    <numFmt numFmtId="195" formatCode="&quot;SFr.&quot;#,##0;&quot;SFr.&quot;\-#,##0"/>
    <numFmt numFmtId="196" formatCode="&quot;000-&quot;0000\-000"/>
    <numFmt numFmtId="197" formatCode="&quot;259-5001-&quot;000"/>
    <numFmt numFmtId="198" formatCode="000000"/>
    <numFmt numFmtId="199" formatCode="&quot;600-&quot;0000\-000"/>
    <numFmt numFmtId="200" formatCode="0000"/>
    <numFmt numFmtId="201" formatCode="_(&quot;$&quot;* #,##0.0_);_(&quot;$&quot;* \(#,##0.0\);_(&quot;$&quot;* &quot;-&quot;_);_(@_)"/>
    <numFmt numFmtId="202" formatCode="General_)"/>
    <numFmt numFmtId="203" formatCode="&quot;$&quot;#,##0;\-&quot;$&quot;#,##0"/>
    <numFmt numFmtId="204" formatCode="_ * #,##0_)&quot;£&quot;_ ;_ * \(#,##0\)&quot;£&quot;_ ;_ * &quot;-&quot;_)&quot;£&quot;_ ;_ @_ "/>
    <numFmt numFmtId="205" formatCode="#,##0,"/>
    <numFmt numFmtId="206" formatCode="_(* #,##0.0000_);_(* \(#,##0.0000\);_(* &quot;-&quot;??_);_(@_)"/>
    <numFmt numFmtId="207" formatCode="0.000"/>
    <numFmt numFmtId="208" formatCode="#,###.000_);\(#,##0.000\)"/>
    <numFmt numFmtId="209" formatCode="&quot;fl&quot;#,##0_);\(&quot;fl&quot;#,##0\)"/>
    <numFmt numFmtId="210" formatCode="0.00000%"/>
    <numFmt numFmtId="211" formatCode="&quot;fl&quot;#,##0_);[Red]\(&quot;fl&quot;#,##0\)"/>
    <numFmt numFmtId="212" formatCode="_(* #,##0.0_);_(* \(#,##0.00\);_(* &quot;-&quot;??_);_(@_)"/>
    <numFmt numFmtId="213" formatCode="&quot;fl&quot;#,##0.00_);\(&quot;fl&quot;#,##0.00\)"/>
    <numFmt numFmtId="214" formatCode="_ * #,##0_ ;_ * \-#,##0_ ;_ * &quot;-&quot;_ ;_ @_ "/>
    <numFmt numFmtId="215" formatCode="_(* #,##0_);[Red]_(* \(#,##0\);_(* &quot;-&quot;_);_(@_)"/>
    <numFmt numFmtId="216" formatCode="_(* #,##0.0_);[Red]_(* \(#,##0.0\);_(* &quot;-&quot;_);_(@_)"/>
    <numFmt numFmtId="217" formatCode="_(* #,##0.00_);[Red]_(* \(#,##0.00\);_(* &quot;-&quot;_);_(@_)"/>
    <numFmt numFmtId="218" formatCode="#,##0\ ;\(#,##0.0\)"/>
    <numFmt numFmtId="219" formatCode="_(* #,##0,_);[Red]_(* \(#,##0,\);_(* &quot;-&quot;_);_(@_)"/>
    <numFmt numFmtId="220" formatCode="_(* #,##0.0,_);[Red]_(* \(#,##0.0,\);_(* &quot;-&quot;_);_(@_)"/>
    <numFmt numFmtId="221" formatCode="_(* #,##0,,_);[Red]_(* \(#,##0,,\);_(* &quot;-&quot;_);_(@_)"/>
    <numFmt numFmtId="222" formatCode="_(* #,##0.0,,_);[Red]_(* \(#,##0.0,,\);_(* &quot;-&quot;_);_(@_)"/>
    <numFmt numFmtId="223" formatCode="#,##0_%_);\(#,##0\)_%;#,##0_%_);@_%_)"/>
    <numFmt numFmtId="224" formatCode="#,##0_%_);\(#,##0\)_%;**;@_%_)"/>
    <numFmt numFmtId="225" formatCode="#,##0;\(#,##0\)"/>
    <numFmt numFmtId="226" formatCode="####\-####"/>
    <numFmt numFmtId="227" formatCode="_(&quot;$&quot;#,##0_);[Red]_(\(&quot;$&quot;#,##0\);_(&quot;- &quot;?_);_(@_)"/>
    <numFmt numFmtId="228" formatCode="_(&quot;$&quot;#,##0.0_);[Red]_(\(&quot;$&quot;#,##0.0\);_(&quot;- &quot;?_);_(@_)"/>
    <numFmt numFmtId="229" formatCode="&quot;$&quot;#,##0.0_);\(&quot;$&quot;#,##0.0\)"/>
    <numFmt numFmtId="230" formatCode="_(&quot;$&quot;#,##0.00_);[Red]_(\(&quot;$&quot;#,##0.00\);_(&quot;- &quot;?_);_(@_)"/>
    <numFmt numFmtId="231" formatCode="_(&quot;$&quot;#,##0.000_);[Red]_(\(&quot;$&quot;#,##0.000\);_(&quot;- &quot;?_);_(@_)"/>
    <numFmt numFmtId="232" formatCode="_(&quot;$&quot;#,##0,_);[Red]_(\(&quot;$&quot;#,##0,\);_(&quot;- &quot;?_);_(@_)"/>
    <numFmt numFmtId="233" formatCode="_(&quot;$&quot;#,##0.0,_);[Red]_(\(&quot;$&quot;#,##0.0,\);_(&quot;- &quot;?_);_(@_)"/>
    <numFmt numFmtId="234" formatCode="_(&quot;$&quot;#,##0,,_);[Red]_(\(&quot;$&quot;#,##0,,\);_(&quot;- &quot;?_);_(@_)"/>
    <numFmt numFmtId="235" formatCode="_(&quot;$&quot;#,##0.0,,_);[Red]_(\(&quot;$&quot;#,##0.0,,\);_(&quot;- &quot;?_);_(@_)"/>
    <numFmt numFmtId="236" formatCode="&quot;$&quot;#,##0.0_);[Red]\(&quot;$&quot;#,##0.0\)"/>
    <numFmt numFmtId="237" formatCode="&quot;$&quot;#,##0_%_);\(&quot;$&quot;#,##0\)_%;&quot;$&quot;#,##0_%_);@_%_)"/>
    <numFmt numFmtId="238" formatCode="&quot;$&quot;#,##0"/>
    <numFmt numFmtId="239" formatCode="00000"/>
    <numFmt numFmtId="240" formatCode="#,##0.000000000;[Red]\-#,##0.000000000"/>
    <numFmt numFmtId="241" formatCode="m/d/yy_%_)"/>
    <numFmt numFmtId="242" formatCode="mmm\-dd"/>
    <numFmt numFmtId="243" formatCode="m/d"/>
    <numFmt numFmtId="244" formatCode="mmm\-d\-yy"/>
    <numFmt numFmtId="245" formatCode="mmm\-d\-yyyy"/>
    <numFmt numFmtId="246" formatCode="yyyy"/>
    <numFmt numFmtId="247" formatCode="0;***;;"/>
    <numFmt numFmtId="248" formatCode="_(* #,###.0_);_(* \(#,###.0\);_(* &quot;-&quot;?_);_(@_)"/>
    <numFmt numFmtId="249" formatCode="_-* #,##0\ _D_M_-;\-* #,##0\ _D_M_-;_-* &quot;-&quot;\ _D_M_-;_-@_-"/>
    <numFmt numFmtId="250" formatCode="_-* #,##0.00\ _D_M_-;\-* #,##0.00\ _D_M_-;_-* &quot;-&quot;??\ _D_M_-;_-@_-"/>
    <numFmt numFmtId="251" formatCode="#,##0.00000000000;[Red]\-#,##0.00000000000"/>
    <numFmt numFmtId="252" formatCode="0.0000;[Red]\-0.0000;"/>
    <numFmt numFmtId="253" formatCode="0_);[Red]\(0\)"/>
    <numFmt numFmtId="254" formatCode="###0_);\(###0\)"/>
    <numFmt numFmtId="255" formatCode="0.0\%_);\(0.0\%\);0.0\%_);@_%_)"/>
    <numFmt numFmtId="256" formatCode="#,##0.0_);[Red]\(#,##0.0\)"/>
    <numFmt numFmtId="257" formatCode="#,##0.00&quot; $&quot;;\-#,##0.00&quot; $&quot;"/>
    <numFmt numFmtId="258" formatCode="&quot;$&quot;#,##0.0_%_);\(&quot;$&quot;#,##0.0\)_%;&quot;$&quot;#,##0.0_%_);@_%_)"/>
    <numFmt numFmtId="259" formatCode="&quot;$&quot;#,##0_%_);\(&quot;$&quot;#,##0\)_%;&quot;$&quot;#,##0_%_);@_$_)"/>
    <numFmt numFmtId="260" formatCode="&quot;$&quot;#,##0.00_%_);\(&quot;$&quot;#,##0.00\)_%;&quot;$&quot;#,##0.00_%_);@_%_)"/>
    <numFmt numFmtId="261" formatCode="0.0\x_)_);&quot;NM&quot;_x_)_);0.0\x_)_);@_%_)"/>
    <numFmt numFmtId="262" formatCode="0_%_);\(0\)_%;0_%_);@_%_)"/>
    <numFmt numFmtId="263" formatCode="0.0%_);\(0.0%\);0.0%_);@_%_)"/>
    <numFmt numFmtId="264" formatCode="0.0%;[Red]\(0.0%\)"/>
    <numFmt numFmtId="265" formatCode="0\ &quot;Years&quot;_%_)"/>
    <numFmt numFmtId="266" formatCode="#,##0.00_);\(&quot;$&quot;#,##0.00\)"/>
    <numFmt numFmtId="267" formatCode="#,##0.00_%_);\(#,##0.00\)_%"/>
    <numFmt numFmtId="268" formatCode="0.00%_);\(0.00%\);0.00%_);@_%_)"/>
    <numFmt numFmtId="269" formatCode="0.000\x_)_);&quot;NM&quot;_x_)_);0.000\x_)_);@_%_)"/>
    <numFmt numFmtId="270" formatCode="#,##0.0_%_);\(&quot;$&quot;#,##0.0\)_%"/>
    <numFmt numFmtId="271" formatCode="dd\.mm\.yyyy"/>
    <numFmt numFmtId="272" formatCode="_-* #,##0.00_-;\-* #,##0.00_-;_-* &quot;-&quot;??_-;_-@_-"/>
    <numFmt numFmtId="273" formatCode="0.000000000"/>
    <numFmt numFmtId="274" formatCode="0_)"/>
    <numFmt numFmtId="275" formatCode="&quot;$&quot;#,##0.0,,_);\(&quot;$&quot;#,##0.0,,\)"/>
    <numFmt numFmtId="276" formatCode="#,##0.0,,_);\(#,##0.0,,\)"/>
    <numFmt numFmtId="277" formatCode="0.0000000"/>
    <numFmt numFmtId="278" formatCode="0.0000000000"/>
    <numFmt numFmtId="279" formatCode="0.000%;[Red]\-0.000%;"/>
    <numFmt numFmtId="280" formatCode="_-&quot;$&quot;* #,##0.00_-;\-&quot;$&quot;* #,##0.00_-;_-&quot;$&quot;* &quot;-&quot;??_-;_-@_-"/>
    <numFmt numFmtId="281" formatCode="#,##0.0_);[Red]\(#,##0.0\);&quot;N/A &quot;"/>
    <numFmt numFmtId="282" formatCode="0.00_)"/>
    <numFmt numFmtId="283" formatCode="0,000"/>
    <numFmt numFmtId="284" formatCode="#,##0.000_);[Red]\(#,##0.000\)"/>
    <numFmt numFmtId="285" formatCode="#,##0.0_)\ ;[Red]\(#,##0.0\)\ "/>
    <numFmt numFmtId="286" formatCode="&quot;$&quot;#,###.0000_);\(&quot;$&quot;#,###.00\)"/>
    <numFmt numFmtId="287" formatCode="#,###.0_);[Red]\(#,###.0\)"/>
    <numFmt numFmtId="288" formatCode="&quot;$&quot;#,##0.00_)_%;[Red]&quot;$&quot;\(#,##0.00\)_%"/>
    <numFmt numFmtId="289" formatCode="#,##0.00_)_%;[Red]\(#,##0.00\)_%"/>
    <numFmt numFmtId="290" formatCode="0.0_);[Red]\(0.0\)"/>
    <numFmt numFmtId="291" formatCode="0.00_);[Red]\(0.00\)"/>
    <numFmt numFmtId="292" formatCode="0%_);\(0%\)"/>
    <numFmt numFmtId="293" formatCode="0%\ ;[Red]\(0%\);_(&quot;-&quot;?_)"/>
    <numFmt numFmtId="294" formatCode="0.000%_);[Red]\(0.000%\);&quot;&quot;"/>
    <numFmt numFmtId="295" formatCode="0.0%\ ;[Red]\(0.0%\);_(&quot;-&quot;?_)"/>
    <numFmt numFmtId="296" formatCode="0.00%\ ;[Red]\(0.00%\);_(&quot;-&quot;?_)"/>
    <numFmt numFmtId="297" formatCode="0.000%\ ;[Red]\(0.000%\);_(&quot;-&quot;?_)"/>
    <numFmt numFmtId="298" formatCode="0.000%"/>
    <numFmt numFmtId="299" formatCode="0%;[Red]\(0%\)"/>
    <numFmt numFmtId="300" formatCode="[Red]0.0%;[Red]\(0.0%\)"/>
    <numFmt numFmtId="301" formatCode="0.0_)"/>
    <numFmt numFmtId="302" formatCode="\60\4\7\:"/>
    <numFmt numFmtId="303" formatCode="_-* #,##0.0_-;\-* #,##0.0_-;_-* &quot;-&quot;??_-;_-@_-"/>
    <numFmt numFmtId="304" formatCode="#,##0.0_);\(#,##0.00\)"/>
    <numFmt numFmtId="305" formatCode=".0%_);[Red]\(.0%\)"/>
    <numFmt numFmtId="306" formatCode="0.0%&quot;Sales&quot;"/>
    <numFmt numFmtId="307" formatCode="&quot;$&quot;#,##0.00_);\(&quot;$&quot;#.##0\)"/>
    <numFmt numFmtId="308" formatCode="0.00;[Red]\-0.00;"/>
    <numFmt numFmtId="309" formatCode="&quot;$&quot;#,##0;[Red]\-&quot;$&quot;#,##0"/>
    <numFmt numFmtId="310" formatCode="dd\-mmm\-yy;;"/>
    <numFmt numFmtId="311" formatCode="#,##0.00_);\(#,##0.00\);_(* &quot;-&quot;_)"/>
    <numFmt numFmtId="312" formatCode="#,##0.0\x"/>
    <numFmt numFmtId="313" formatCode="#,##0.0_);\(#,##0.0\);_(* &quot;-&quot;_)"/>
    <numFmt numFmtId="314" formatCode="#,##0_);\(#,##0\);_(* &quot;-&quot;_);_(* &quot;-&quot;_)"/>
    <numFmt numFmtId="315" formatCode="_(&quot;$&quot;* #,##0.00_);_(&quot;$&quot;* \(#,##0.00\);_(* &quot;-&quot;_);_(@_)"/>
    <numFmt numFmtId="316" formatCode="_(###.##%_);\(* &quot;-&quot;_);_(@_)"/>
    <numFmt numFmtId="317" formatCode="#,##0.00\x"/>
    <numFmt numFmtId="318" formatCode="_(* #,##0_);_(* \(#,##0\);_(* \-_);_(@_)"/>
    <numFmt numFmtId="319" formatCode="#,##0.00000"/>
    <numFmt numFmtId="320" formatCode="&quot;fl&quot;#,##0.00_);[Red]\(&quot;fl&quot;#,##0.00\)"/>
    <numFmt numFmtId="321" formatCode="#,##0.000000"/>
    <numFmt numFmtId="322" formatCode="_(&quot;fl&quot;* #,##0_);_(&quot;fl&quot;* \(#,##0\);_(&quot;fl&quot;* &quot;-&quot;_);_(@_)"/>
    <numFmt numFmtId="323" formatCode="#,##0.0_%_);\(#,##0.0\)_%;#,##0.0_%_);@_%_)"/>
    <numFmt numFmtId="324" formatCode="#,##0_);[Red]\(#,##0\);"/>
    <numFmt numFmtId="325" formatCode="[&gt;9.9]0;[&gt;0]0.0;\-;"/>
    <numFmt numFmtId="326" formatCode="_-* #,##0\ &quot;DM&quot;_-;\-* #,##0\ &quot;DM&quot;_-;_-* &quot;-&quot;\ &quot;DM&quot;_-;_-@_-"/>
    <numFmt numFmtId="327" formatCode="_-* #,##0.00\ &quot;DM&quot;_-;\-* #,##0.00\ &quot;DM&quot;_-;_-* &quot;-&quot;??\ &quot;DM&quot;_-;_-@_-"/>
    <numFmt numFmtId="328" formatCode="0%_);\(0%\);0%_);@_%_)"/>
    <numFmt numFmtId="329" formatCode="0.0\x"/>
    <numFmt numFmtId="330" formatCode="0\ \ ;\(0\)\ \ \ "/>
    <numFmt numFmtId="331" formatCode="&quot;$&quot;\ #,##0_);\(&quot;$&quot;\ #,##0\)"/>
    <numFmt numFmtId="332" formatCode="_-* #,##0_-;\-* #,##0_-;_-* &quot;-&quot;_-;_-@_-"/>
    <numFmt numFmtId="333" formatCode="_-&quot;$&quot;* #,##0_-;\-&quot;$&quot;* #,##0_-;_-&quot;$&quot;* &quot;-&quot;_-;_-@_-"/>
    <numFmt numFmtId="334" formatCode="_-&quot;\&quot;* #,##0.00_-;\-&quot;\&quot;* #,##0.00_-;_-&quot;\&quot;* &quot;-&quot;??_-;_-@_-"/>
    <numFmt numFmtId="335" formatCode="_-&quot;\&quot;* #,##0_-;\-&quot;\&quot;* #,##0_-;_-&quot;\&quot;* &quot;-&quot;_-;_-@_-"/>
  </numFmts>
  <fonts count="287">
    <font>
      <sz val="10"/>
      <color theme="1"/>
      <name val="Arial"/>
      <family val="2"/>
    </font>
    <font>
      <sz val="10"/>
      <color theme="1"/>
      <name val="Calibri"/>
      <family val="2"/>
    </font>
    <font>
      <sz val="12"/>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sz val="10"/>
      <color indexed="8"/>
      <name val="Arial"/>
      <family val="2"/>
    </font>
    <font>
      <sz val="10"/>
      <name val="Arial"/>
      <family val="2"/>
    </font>
    <font>
      <b/>
      <sz val="10"/>
      <name val="Arial"/>
      <family val="2"/>
    </font>
    <font>
      <sz val="9"/>
      <color indexed="81"/>
      <name val="Tahoma"/>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sz val="14"/>
      <name val="Arial"/>
      <family val="2"/>
    </font>
    <font>
      <b/>
      <sz val="12"/>
      <color theme="1"/>
      <name val="Times New Roman"/>
      <family val="1"/>
    </font>
    <font>
      <sz val="9"/>
      <color theme="1"/>
      <name val="Arial"/>
      <family val="2"/>
    </font>
    <font>
      <sz val="9"/>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sz val="9"/>
      <color indexed="8"/>
      <name val="Arial"/>
      <family val="2"/>
    </font>
    <font>
      <b/>
      <sz val="14"/>
      <color theme="1"/>
      <name val="Calibri"/>
      <family val="2"/>
      <scheme val="minor"/>
    </font>
    <font>
      <sz val="18"/>
      <color theme="1"/>
      <name val="Calibri"/>
      <family val="2"/>
      <scheme val="minor"/>
    </font>
    <font>
      <sz val="14"/>
      <color theme="1"/>
      <name val="Arial"/>
      <family val="2"/>
    </font>
    <font>
      <b/>
      <sz val="14"/>
      <name val="Arial"/>
      <family val="2"/>
    </font>
    <font>
      <sz val="12"/>
      <color rgb="FFFF0000"/>
      <name val="Arial"/>
      <family val="2"/>
    </font>
    <font>
      <b/>
      <sz val="11"/>
      <color theme="1"/>
      <name val="Calibri"/>
      <family val="2"/>
      <scheme val="minor"/>
    </font>
    <font>
      <sz val="10"/>
      <color rgb="FFFF0000"/>
      <name val="Calibri"/>
      <family val="2"/>
      <scheme val="minor"/>
    </font>
    <font>
      <sz val="12"/>
      <color theme="3"/>
      <name val="Arial"/>
      <family val="2"/>
    </font>
    <font>
      <b/>
      <sz val="18"/>
      <color theme="1"/>
      <name val="Calibri"/>
      <family val="2"/>
      <scheme val="minor"/>
    </font>
    <font>
      <sz val="14"/>
      <color rgb="FFFF0000"/>
      <name val="Calibri"/>
      <family val="2"/>
      <scheme val="minor"/>
    </font>
    <font>
      <sz val="12"/>
      <color theme="3"/>
      <name val="Calibri"/>
      <family val="2"/>
      <scheme val="minor"/>
    </font>
    <font>
      <u/>
      <sz val="10"/>
      <color theme="10"/>
      <name val="Arial"/>
      <family val="2"/>
    </font>
    <font>
      <sz val="12"/>
      <color rgb="FF0070C0"/>
      <name val="Arial"/>
      <family val="2"/>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2"/>
      <color theme="4"/>
      <name val="Calibri"/>
      <family val="2"/>
      <scheme val="minor"/>
    </font>
    <font>
      <b/>
      <sz val="18"/>
      <color theme="1"/>
      <name val="Arial"/>
      <family val="2"/>
    </font>
    <font>
      <sz val="12"/>
      <color rgb="FF00B050"/>
      <name val="Arial"/>
      <family val="2"/>
    </font>
    <font>
      <sz val="10"/>
      <color rgb="FF00B050"/>
      <name val="Arial"/>
      <family val="2"/>
    </font>
    <font>
      <sz val="10"/>
      <color rgb="FF000000"/>
      <name val="Arial"/>
      <family val="2"/>
    </font>
    <font>
      <sz val="10"/>
      <color theme="4"/>
      <name val="Arial"/>
      <family val="2"/>
    </font>
    <font>
      <sz val="12"/>
      <color rgb="FF92D050"/>
      <name val="Arial"/>
      <family val="2"/>
    </font>
    <font>
      <sz val="10"/>
      <color theme="4"/>
      <name val="Calibri"/>
      <family val="2"/>
      <scheme val="minor"/>
    </font>
    <font>
      <b/>
      <sz val="12"/>
      <color rgb="FF808080"/>
      <name val="Arial"/>
      <family val="2"/>
    </font>
  </fonts>
  <fills count="6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CC"/>
        <bgColor indexed="64"/>
      </patternFill>
    </fill>
    <fill>
      <patternFill patternType="solid">
        <fgColor theme="5" tint="0.79998168889431442"/>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
      <patternFill patternType="solid">
        <fgColor theme="7" tint="0.79998168889431442"/>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
      <left style="thin">
        <color auto="1"/>
      </left>
      <right style="thin">
        <color auto="1"/>
      </right>
      <top/>
      <bottom style="medium">
        <color indexed="64"/>
      </bottom>
      <diagonal/>
    </border>
  </borders>
  <cellStyleXfs count="4599">
    <xf numFmtId="0" fontId="0" fillId="0" borderId="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0" fontId="47" fillId="0" borderId="0" applyNumberFormat="0" applyFill="0" applyBorder="0" applyAlignment="0" applyProtection="0"/>
    <xf numFmtId="0" fontId="5" fillId="0" borderId="0"/>
    <xf numFmtId="0" fontId="5" fillId="0" borderId="0"/>
    <xf numFmtId="0" fontId="5" fillId="0" borderId="0"/>
    <xf numFmtId="0" fontId="5" fillId="0" borderId="0"/>
    <xf numFmtId="0" fontId="28" fillId="0" borderId="0"/>
    <xf numFmtId="0" fontId="4" fillId="0" borderId="0"/>
    <xf numFmtId="0" fontId="4" fillId="0" borderId="0"/>
    <xf numFmtId="9" fontId="11" fillId="0" borderId="0" applyFont="0" applyFill="0" applyBorder="0" applyAlignment="0" applyProtection="0"/>
    <xf numFmtId="9" fontId="4" fillId="0" borderId="0" applyFont="0" applyFill="0" applyBorder="0" applyAlignment="0" applyProtection="0"/>
    <xf numFmtId="172" fontId="7" fillId="0" borderId="0"/>
    <xf numFmtId="0" fontId="49" fillId="0" borderId="0" applyNumberFormat="0" applyFill="0" applyBorder="0" applyAlignment="0" applyProtection="0"/>
    <xf numFmtId="0" fontId="50" fillId="0" borderId="0"/>
    <xf numFmtId="0" fontId="51" fillId="0" borderId="0"/>
    <xf numFmtId="0" fontId="50" fillId="0" borderId="0"/>
    <xf numFmtId="173" fontId="18" fillId="0" borderId="0"/>
    <xf numFmtId="174" fontId="7" fillId="0" borderId="0"/>
    <xf numFmtId="175" fontId="8" fillId="0" borderId="0"/>
    <xf numFmtId="0" fontId="5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0" fillId="0" borderId="0" applyNumberFormat="0" applyFont="0" applyFill="0" applyBorder="0" applyAlignment="0" applyProtection="0"/>
    <xf numFmtId="44"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4" fillId="0" borderId="0"/>
    <xf numFmtId="177" fontId="18" fillId="0" borderId="0" applyFont="0" applyFill="0" applyBorder="0" applyAlignment="0" applyProtection="0"/>
    <xf numFmtId="178" fontId="18" fillId="0" borderId="0" applyFont="0" applyFill="0" applyBorder="0" applyAlignment="0" applyProtection="0"/>
    <xf numFmtId="0" fontId="7" fillId="0" borderId="0"/>
    <xf numFmtId="172" fontId="7" fillId="0" borderId="0"/>
    <xf numFmtId="0" fontId="50" fillId="0" borderId="0" applyNumberFormat="0" applyFill="0" applyBorder="0" applyAlignment="0" applyProtection="0"/>
    <xf numFmtId="0" fontId="55" fillId="0" borderId="0"/>
    <xf numFmtId="172" fontId="51" fillId="0" borderId="0"/>
    <xf numFmtId="172" fontId="51" fillId="0" borderId="0"/>
    <xf numFmtId="172" fontId="6" fillId="0" borderId="0">
      <alignment vertical="top"/>
    </xf>
    <xf numFmtId="172" fontId="6" fillId="0" borderId="0">
      <alignment vertical="top"/>
    </xf>
    <xf numFmtId="172" fontId="6" fillId="0" borderId="0">
      <alignment vertical="top"/>
    </xf>
    <xf numFmtId="172" fontId="6" fillId="0" borderId="0">
      <alignment vertical="top"/>
    </xf>
    <xf numFmtId="172" fontId="6" fillId="0" borderId="0">
      <alignment vertical="top"/>
    </xf>
    <xf numFmtId="172" fontId="6" fillId="0" borderId="0">
      <alignment vertical="top"/>
    </xf>
    <xf numFmtId="172" fontId="7" fillId="0" borderId="0"/>
    <xf numFmtId="172" fontId="7" fillId="0" borderId="0"/>
    <xf numFmtId="172" fontId="7" fillId="0" borderId="0"/>
    <xf numFmtId="172" fontId="51"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0" fillId="0" borderId="0" applyNumberFormat="0" applyFill="0" applyBorder="0" applyAlignment="0" applyProtection="0"/>
    <xf numFmtId="0" fontId="50" fillId="0" borderId="0" applyNumberFormat="0" applyFill="0" applyBorder="0" applyAlignment="0" applyProtection="0"/>
    <xf numFmtId="172" fontId="50" fillId="0" borderId="0" applyNumberFormat="0" applyFill="0" applyBorder="0" applyAlignment="0" applyProtection="0"/>
    <xf numFmtId="0" fontId="50" fillId="0" borderId="0" applyNumberFormat="0" applyFill="0" applyBorder="0" applyAlignment="0" applyProtection="0"/>
    <xf numFmtId="0" fontId="7" fillId="0" borderId="0"/>
    <xf numFmtId="172" fontId="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56" fillId="0" borderId="0"/>
    <xf numFmtId="0" fontId="56" fillId="0" borderId="0"/>
    <xf numFmtId="0" fontId="7" fillId="0" borderId="0"/>
    <xf numFmtId="172" fontId="7" fillId="0" borderId="0"/>
    <xf numFmtId="0" fontId="7" fillId="0" borderId="0"/>
    <xf numFmtId="172" fontId="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7" fillId="0" borderId="0"/>
    <xf numFmtId="0" fontId="7" fillId="0" borderId="0"/>
    <xf numFmtId="0" fontId="7" fillId="0" borderId="0"/>
    <xf numFmtId="0" fontId="7" fillId="0" borderId="0"/>
    <xf numFmtId="0" fontId="56" fillId="0" borderId="0"/>
    <xf numFmtId="0" fontId="56" fillId="0" borderId="0"/>
    <xf numFmtId="172" fontId="56" fillId="0" borderId="0"/>
    <xf numFmtId="172" fontId="56" fillId="0" borderId="0"/>
    <xf numFmtId="0" fontId="5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50" fillId="0" borderId="0" applyNumberFormat="0" applyFill="0" applyBorder="0" applyAlignment="0" applyProtection="0"/>
    <xf numFmtId="0" fontId="57" fillId="0" borderId="0"/>
    <xf numFmtId="3" fontId="18"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6" fillId="0" borderId="0"/>
    <xf numFmtId="0" fontId="56" fillId="0" borderId="0"/>
    <xf numFmtId="0" fontId="7" fillId="0" borderId="0"/>
    <xf numFmtId="172" fontId="7" fillId="0" borderId="0"/>
    <xf numFmtId="0" fontId="56" fillId="0" borderId="0"/>
    <xf numFmtId="0" fontId="56" fillId="0" borderId="0"/>
    <xf numFmtId="0" fontId="56" fillId="0" borderId="0"/>
    <xf numFmtId="0" fontId="56"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6" fillId="0" borderId="0"/>
    <xf numFmtId="0" fontId="7" fillId="0" borderId="0"/>
    <xf numFmtId="172" fontId="7" fillId="0" borderId="0"/>
    <xf numFmtId="0" fontId="7" fillId="0" borderId="0"/>
    <xf numFmtId="172" fontId="7" fillId="0" borderId="0"/>
    <xf numFmtId="3" fontId="18" fillId="0" borderId="0"/>
    <xf numFmtId="172" fontId="53" fillId="0" borderId="0"/>
    <xf numFmtId="0" fontId="53" fillId="0" borderId="0"/>
    <xf numFmtId="0"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53" fillId="0" borderId="0"/>
    <xf numFmtId="0" fontId="7" fillId="0" borderId="0"/>
    <xf numFmtId="172" fontId="7" fillId="0" borderId="0"/>
    <xf numFmtId="0" fontId="7" fillId="0" borderId="0"/>
    <xf numFmtId="0" fontId="7" fillId="0" borderId="0"/>
    <xf numFmtId="0" fontId="53" fillId="0" borderId="0"/>
    <xf numFmtId="172"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56"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xf numFmtId="172" fontId="51" fillId="0" borderId="0"/>
    <xf numFmtId="172" fontId="51" fillId="0" borderId="0"/>
    <xf numFmtId="172" fontId="51" fillId="0" borderId="0"/>
    <xf numFmtId="172"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57" fillId="0" borderId="0"/>
    <xf numFmtId="0" fontId="57" fillId="0" borderId="0"/>
    <xf numFmtId="172" fontId="53" fillId="0" borderId="0"/>
    <xf numFmtId="0" fontId="53" fillId="0" borderId="0"/>
    <xf numFmtId="172" fontId="53" fillId="0" borderId="0"/>
    <xf numFmtId="0" fontId="53" fillId="0" borderId="0"/>
    <xf numFmtId="172" fontId="53" fillId="0" borderId="0"/>
    <xf numFmtId="0" fontId="53" fillId="0" borderId="0"/>
    <xf numFmtId="172" fontId="53" fillId="0" borderId="0"/>
    <xf numFmtId="0" fontId="53" fillId="0" borderId="0"/>
    <xf numFmtId="172" fontId="53" fillId="0" borderId="0"/>
    <xf numFmtId="0" fontId="53" fillId="0" borderId="0"/>
    <xf numFmtId="172" fontId="53" fillId="0" borderId="0"/>
    <xf numFmtId="0" fontId="53" fillId="0" borderId="0"/>
    <xf numFmtId="172" fontId="53" fillId="0" borderId="0"/>
    <xf numFmtId="0" fontId="53" fillId="0" borderId="0"/>
    <xf numFmtId="172" fontId="53" fillId="0" borderId="0"/>
    <xf numFmtId="0" fontId="53" fillId="0" borderId="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18" fillId="0" borderId="0" applyFont="0" applyFill="0" applyBorder="0" applyAlignment="0" applyProtection="0"/>
    <xf numFmtId="180" fontId="7" fillId="0" borderId="0" applyFont="0" applyFill="0" applyBorder="0" applyAlignment="0" applyProtection="0"/>
    <xf numFmtId="0" fontId="7" fillId="0" borderId="0"/>
    <xf numFmtId="172" fontId="7" fillId="0" borderId="0"/>
    <xf numFmtId="181" fontId="7" fillId="0" borderId="0"/>
    <xf numFmtId="0" fontId="50" fillId="0" borderId="0" applyNumberFormat="0" applyFill="0" applyBorder="0" applyAlignment="0" applyProtection="0"/>
    <xf numFmtId="0" fontId="55" fillId="0" borderId="0"/>
    <xf numFmtId="0" fontId="57" fillId="0" borderId="0"/>
    <xf numFmtId="0" fontId="56" fillId="0" borderId="0"/>
    <xf numFmtId="0" fontId="7" fillId="0" borderId="0"/>
    <xf numFmtId="0" fontId="55" fillId="0" borderId="0"/>
    <xf numFmtId="0" fontId="7" fillId="0" borderId="0"/>
    <xf numFmtId="172" fontId="7" fillId="0" borderId="0"/>
    <xf numFmtId="0" fontId="56" fillId="0" borderId="0"/>
    <xf numFmtId="0" fontId="56" fillId="0" borderId="0"/>
    <xf numFmtId="0" fontId="58" fillId="0" borderId="0"/>
    <xf numFmtId="0"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0" fontId="18" fillId="0" borderId="0" applyFont="0" applyFill="0" applyBorder="0" applyAlignment="0" applyProtection="0"/>
    <xf numFmtId="183"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0" fontId="18" fillId="0" borderId="0" applyFont="0" applyFill="0" applyBorder="0" applyAlignment="0" applyProtection="0"/>
    <xf numFmtId="184" fontId="7" fillId="0" borderId="0" applyFont="0" applyFill="0" applyBorder="0" applyAlignment="0" applyProtection="0"/>
    <xf numFmtId="0" fontId="50" fillId="0" borderId="0" applyNumberFormat="0" applyFill="0" applyBorder="0" applyAlignment="0" applyProtection="0"/>
    <xf numFmtId="0" fontId="7" fillId="0" borderId="0"/>
    <xf numFmtId="172" fontId="7" fillId="0" borderId="0"/>
    <xf numFmtId="172" fontId="53" fillId="0" borderId="0"/>
    <xf numFmtId="0" fontId="53" fillId="0" borderId="0"/>
    <xf numFmtId="172" fontId="53" fillId="0" borderId="0"/>
    <xf numFmtId="0" fontId="53" fillId="0" borderId="0"/>
    <xf numFmtId="0" fontId="53" fillId="0" borderId="0"/>
    <xf numFmtId="0" fontId="57" fillId="0" borderId="0"/>
    <xf numFmtId="0" fontId="57" fillId="0" borderId="0"/>
    <xf numFmtId="0" fontId="7" fillId="0" borderId="0"/>
    <xf numFmtId="172" fontId="7" fillId="0" borderId="0"/>
    <xf numFmtId="172" fontId="56" fillId="0" borderId="0"/>
    <xf numFmtId="0" fontId="7" fillId="0" borderId="0"/>
    <xf numFmtId="0" fontId="7" fillId="0" borderId="0"/>
    <xf numFmtId="172" fontId="7" fillId="0" borderId="0"/>
    <xf numFmtId="0" fontId="55" fillId="0" borderId="0"/>
    <xf numFmtId="0" fontId="56" fillId="0" borderId="0"/>
    <xf numFmtId="0" fontId="56"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6" fillId="0" borderId="0"/>
    <xf numFmtId="0" fontId="56" fillId="0" borderId="0"/>
    <xf numFmtId="0" fontId="7" fillId="0" borderId="0"/>
    <xf numFmtId="172" fontId="7" fillId="0" borderId="0"/>
    <xf numFmtId="0" fontId="7" fillId="0" borderId="0"/>
    <xf numFmtId="172" fontId="7" fillId="0" borderId="0"/>
    <xf numFmtId="0" fontId="55" fillId="0" borderId="0"/>
    <xf numFmtId="0" fontId="7" fillId="0" borderId="0"/>
    <xf numFmtId="172" fontId="7" fillId="0" borderId="0"/>
    <xf numFmtId="0" fontId="7" fillId="0" borderId="0"/>
    <xf numFmtId="172" fontId="7" fillId="0" borderId="0"/>
    <xf numFmtId="172" fontId="7" fillId="0" borderId="0"/>
    <xf numFmtId="0" fontId="7" fillId="0" borderId="0"/>
    <xf numFmtId="0" fontId="51" fillId="0" borderId="0"/>
    <xf numFmtId="0" fontId="7" fillId="0" borderId="0"/>
    <xf numFmtId="172" fontId="7" fillId="0" borderId="0"/>
    <xf numFmtId="172" fontId="53" fillId="0" borderId="0"/>
    <xf numFmtId="0" fontId="56" fillId="0" borderId="0"/>
    <xf numFmtId="0" fontId="56" fillId="0" borderId="0"/>
    <xf numFmtId="185" fontId="18" fillId="0" borderId="0" applyFont="0" applyFill="0" applyBorder="0" applyAlignment="0" applyProtection="0"/>
    <xf numFmtId="0" fontId="7" fillId="0" borderId="0"/>
    <xf numFmtId="172" fontId="7"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55"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6" fillId="0" borderId="0"/>
    <xf numFmtId="172" fontId="51"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6" fillId="0" borderId="0"/>
    <xf numFmtId="0" fontId="56"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56"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51" fillId="0" borderId="0"/>
    <xf numFmtId="0" fontId="51" fillId="0" borderId="0"/>
    <xf numFmtId="0" fontId="51" fillId="0" borderId="0"/>
    <xf numFmtId="0" fontId="51" fillId="0" borderId="0"/>
    <xf numFmtId="0" fontId="51" fillId="0" borderId="0"/>
    <xf numFmtId="0" fontId="7" fillId="0" borderId="0"/>
    <xf numFmtId="172" fontId="7" fillId="0" borderId="0"/>
    <xf numFmtId="0" fontId="7" fillId="0" borderId="0"/>
    <xf numFmtId="172" fontId="7" fillId="0" borderId="0"/>
    <xf numFmtId="0" fontId="7" fillId="0" borderId="0"/>
    <xf numFmtId="172" fontId="7" fillId="0" borderId="0"/>
    <xf numFmtId="0" fontId="51" fillId="0" borderId="0"/>
    <xf numFmtId="0" fontId="7" fillId="0" borderId="0"/>
    <xf numFmtId="172" fontId="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6" fillId="0" borderId="0"/>
    <xf numFmtId="0" fontId="57" fillId="0" borderId="0"/>
    <xf numFmtId="3" fontId="18" fillId="0" borderId="0"/>
    <xf numFmtId="3"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55" fillId="0" borderId="0"/>
    <xf numFmtId="0" fontId="56" fillId="0" borderId="0"/>
    <xf numFmtId="172" fontId="7" fillId="0" borderId="0"/>
    <xf numFmtId="0" fontId="7" fillId="0" borderId="0"/>
    <xf numFmtId="172" fontId="7" fillId="0" borderId="0"/>
    <xf numFmtId="0" fontId="7" fillId="0" borderId="0"/>
    <xf numFmtId="172" fontId="56" fillId="0" borderId="0"/>
    <xf numFmtId="0" fontId="7" fillId="0" borderId="0"/>
    <xf numFmtId="172" fontId="7"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8" fillId="11" borderId="0" applyNumberFormat="0" applyFont="0" applyAlignment="0" applyProtection="0"/>
    <xf numFmtId="172" fontId="53" fillId="0" borderId="0"/>
    <xf numFmtId="0" fontId="53" fillId="0" borderId="0"/>
    <xf numFmtId="0" fontId="7" fillId="0" borderId="0"/>
    <xf numFmtId="172" fontId="7" fillId="0" borderId="0"/>
    <xf numFmtId="0" fontId="57" fillId="0" borderId="0"/>
    <xf numFmtId="0" fontId="5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53" fillId="0" borderId="0"/>
    <xf numFmtId="0" fontId="53" fillId="0" borderId="0"/>
    <xf numFmtId="0" fontId="57" fillId="0" borderId="0"/>
    <xf numFmtId="172" fontId="7" fillId="0" borderId="0"/>
    <xf numFmtId="0" fontId="7" fillId="0" borderId="0"/>
    <xf numFmtId="0" fontId="57" fillId="0" borderId="0"/>
    <xf numFmtId="0" fontId="7" fillId="0" borderId="0"/>
    <xf numFmtId="172" fontId="7" fillId="0" borderId="0"/>
    <xf numFmtId="0" fontId="57" fillId="0" borderId="0"/>
    <xf numFmtId="0" fontId="7" fillId="0" borderId="0"/>
    <xf numFmtId="172" fontId="7" fillId="0" borderId="0"/>
    <xf numFmtId="172" fontId="7" fillId="0" borderId="0"/>
    <xf numFmtId="0" fontId="51" fillId="0" borderId="0"/>
    <xf numFmtId="0" fontId="5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57" fillId="0" borderId="0"/>
    <xf numFmtId="0" fontId="7" fillId="0" borderId="0"/>
    <xf numFmtId="172" fontId="7" fillId="0" borderId="0"/>
    <xf numFmtId="0" fontId="7" fillId="0" borderId="0"/>
    <xf numFmtId="172"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172" fontId="7" fillId="0" borderId="0"/>
    <xf numFmtId="0" fontId="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0" fontId="18" fillId="0" borderId="0" applyFont="0" applyFill="0" applyBorder="0" applyAlignment="0" applyProtection="0"/>
    <xf numFmtId="187"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0" fontId="18" fillId="0" borderId="0" applyFont="0" applyFill="0" applyBorder="0" applyAlignment="0" applyProtection="0"/>
    <xf numFmtId="188" fontId="31" fillId="0" borderId="0" applyFill="0" applyAlignment="0" applyProtection="0"/>
    <xf numFmtId="189" fontId="7" fillId="0" borderId="0" applyFont="0" applyFill="0" applyBorder="0" applyProtection="0">
      <alignment horizontal="right"/>
    </xf>
    <xf numFmtId="172" fontId="60" fillId="0" borderId="0"/>
    <xf numFmtId="172" fontId="53" fillId="0" borderId="0"/>
    <xf numFmtId="0" fontId="53" fillId="0" borderId="0"/>
    <xf numFmtId="0" fontId="57" fillId="0" borderId="0"/>
    <xf numFmtId="172" fontId="53" fillId="0" borderId="0"/>
    <xf numFmtId="0" fontId="53" fillId="0" borderId="0"/>
    <xf numFmtId="172" fontId="53" fillId="0" borderId="0"/>
    <xf numFmtId="0" fontId="5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57" fillId="0" borderId="0"/>
    <xf numFmtId="0" fontId="57" fillId="0" borderId="0"/>
    <xf numFmtId="172" fontId="53" fillId="0" borderId="0"/>
    <xf numFmtId="0" fontId="53" fillId="0" borderId="0"/>
    <xf numFmtId="172" fontId="53" fillId="0" borderId="0"/>
    <xf numFmtId="0" fontId="56" fillId="0" borderId="0"/>
    <xf numFmtId="0" fontId="7" fillId="0" borderId="0"/>
    <xf numFmtId="172" fontId="7" fillId="0" borderId="0"/>
    <xf numFmtId="0" fontId="7" fillId="0" borderId="0"/>
    <xf numFmtId="0" fontId="53" fillId="0" borderId="0"/>
    <xf numFmtId="0" fontId="56" fillId="0" borderId="0"/>
    <xf numFmtId="0" fontId="56" fillId="0" borderId="0"/>
    <xf numFmtId="0" fontId="7" fillId="0" borderId="0"/>
    <xf numFmtId="172" fontId="7" fillId="0" borderId="0"/>
    <xf numFmtId="190" fontId="7" fillId="0" borderId="0" applyFont="0" applyFill="0" applyBorder="0" applyAlignment="0" applyProtection="0"/>
    <xf numFmtId="190" fontId="7" fillId="0" borderId="0" applyFont="0" applyFill="0" applyBorder="0" applyAlignment="0" applyProtection="0"/>
    <xf numFmtId="190" fontId="7" fillId="0" borderId="0" applyFont="0" applyFill="0" applyBorder="0" applyAlignment="0" applyProtection="0"/>
    <xf numFmtId="0" fontId="18"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0"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56" fillId="0" borderId="0"/>
    <xf numFmtId="0" fontId="53"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6" fillId="0" borderId="0"/>
    <xf numFmtId="0" fontId="56" fillId="0" borderId="0"/>
    <xf numFmtId="0" fontId="7" fillId="0" borderId="0"/>
    <xf numFmtId="0" fontId="5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56" fillId="0" borderId="0"/>
    <xf numFmtId="3" fontId="18" fillId="0" borderId="0"/>
    <xf numFmtId="0" fontId="7" fillId="0" borderId="0"/>
    <xf numFmtId="0" fontId="7" fillId="0" borderId="0"/>
    <xf numFmtId="172" fontId="7" fillId="0" borderId="0"/>
    <xf numFmtId="0" fontId="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56"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6" fillId="0" borderId="0"/>
    <xf numFmtId="0" fontId="56" fillId="0" borderId="0"/>
    <xf numFmtId="0" fontId="7" fillId="0" borderId="0"/>
    <xf numFmtId="172" fontId="7" fillId="0" borderId="0"/>
    <xf numFmtId="0" fontId="56"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5" fillId="0" borderId="0"/>
    <xf numFmtId="0" fontId="7" fillId="0" borderId="0"/>
    <xf numFmtId="172" fontId="7" fillId="0" borderId="0"/>
    <xf numFmtId="0" fontId="56" fillId="0" borderId="0"/>
    <xf numFmtId="0" fontId="56" fillId="0" borderId="0"/>
    <xf numFmtId="0" fontId="56" fillId="0" borderId="0"/>
    <xf numFmtId="0" fontId="7" fillId="0" borderId="0"/>
    <xf numFmtId="172" fontId="7" fillId="0" borderId="0"/>
    <xf numFmtId="0" fontId="7" fillId="0" borderId="0"/>
    <xf numFmtId="172" fontId="7" fillId="0" borderId="0"/>
    <xf numFmtId="3" fontId="18" fillId="0" borderId="0"/>
    <xf numFmtId="0" fontId="56" fillId="0" borderId="0"/>
    <xf numFmtId="0" fontId="7" fillId="0" borderId="0"/>
    <xf numFmtId="0" fontId="50" fillId="0" borderId="0" applyNumberFormat="0" applyFill="0" applyBorder="0" applyAlignment="0" applyProtection="0"/>
    <xf numFmtId="0" fontId="7" fillId="0" borderId="0"/>
    <xf numFmtId="172" fontId="7" fillId="0" borderId="0"/>
    <xf numFmtId="0" fontId="7" fillId="0" borderId="0"/>
    <xf numFmtId="172" fontId="7" fillId="0" borderId="0"/>
    <xf numFmtId="0" fontId="7" fillId="0" borderId="0"/>
    <xf numFmtId="0" fontId="51" fillId="0" borderId="0"/>
    <xf numFmtId="0" fontId="55" fillId="0" borderId="0"/>
    <xf numFmtId="0" fontId="55" fillId="0" borderId="0"/>
    <xf numFmtId="0" fontId="56"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56" fillId="0" borderId="0"/>
    <xf numFmtId="0" fontId="50" fillId="0" borderId="0" applyNumberFormat="0" applyFill="0" applyBorder="0" applyAlignment="0" applyProtection="0"/>
    <xf numFmtId="0" fontId="56" fillId="0" borderId="0"/>
    <xf numFmtId="172" fontId="51" fillId="0" borderId="0"/>
    <xf numFmtId="0" fontId="51" fillId="0" borderId="0"/>
    <xf numFmtId="172" fontId="51"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 fillId="0" borderId="0"/>
    <xf numFmtId="172" fontId="7" fillId="0" borderId="0"/>
    <xf numFmtId="0" fontId="53" fillId="0" borderId="0"/>
    <xf numFmtId="0" fontId="7" fillId="0" borderId="0"/>
    <xf numFmtId="172" fontId="7" fillId="0" borderId="0"/>
    <xf numFmtId="0" fontId="7" fillId="0" borderId="0"/>
    <xf numFmtId="172"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7" fillId="0" borderId="0"/>
    <xf numFmtId="0" fontId="53" fillId="0" borderId="0"/>
    <xf numFmtId="0" fontId="7" fillId="0" borderId="0"/>
    <xf numFmtId="172"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51" fillId="0" borderId="0"/>
    <xf numFmtId="0" fontId="51" fillId="0" borderId="0"/>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7" fillId="0" borderId="0"/>
    <xf numFmtId="172"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5" fillId="0" borderId="0"/>
    <xf numFmtId="0" fontId="55" fillId="0" borderId="0"/>
    <xf numFmtId="0" fontId="55" fillId="0" borderId="0"/>
    <xf numFmtId="0" fontId="57" fillId="0" borderId="0"/>
    <xf numFmtId="0" fontId="35" fillId="0" borderId="33" applyNumberFormat="0" applyFill="0" applyAlignment="0" applyProtection="0"/>
    <xf numFmtId="0" fontId="7" fillId="0" borderId="0"/>
    <xf numFmtId="172" fontId="7" fillId="0" borderId="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0" applyNumberFormat="0" applyFill="0" applyBorder="0" applyProtection="0">
      <alignment horizontal="left"/>
    </xf>
    <xf numFmtId="0" fontId="62" fillId="0" borderId="0" applyNumberFormat="0" applyFill="0" applyBorder="0" applyProtection="0">
      <alignment horizontal="left"/>
    </xf>
    <xf numFmtId="0" fontId="62" fillId="0" borderId="0" applyNumberFormat="0" applyFill="0" applyBorder="0" applyProtection="0">
      <alignment horizontal="left"/>
    </xf>
    <xf numFmtId="0" fontId="63" fillId="0" borderId="0" applyNumberFormat="0" applyFill="0" applyBorder="0" applyProtection="0">
      <alignment horizontal="centerContinuous"/>
    </xf>
    <xf numFmtId="0" fontId="63" fillId="0" borderId="0" applyNumberFormat="0" applyFill="0" applyBorder="0" applyProtection="0">
      <alignment horizontal="centerContinuous"/>
    </xf>
    <xf numFmtId="0" fontId="63" fillId="0" borderId="0" applyNumberFormat="0" applyFill="0" applyBorder="0" applyProtection="0">
      <alignment horizontal="centerContinuous"/>
    </xf>
    <xf numFmtId="0" fontId="7" fillId="0" borderId="0"/>
    <xf numFmtId="172" fontId="7" fillId="0" borderId="0"/>
    <xf numFmtId="0" fontId="7" fillId="0" borderId="0"/>
    <xf numFmtId="172" fontId="7" fillId="0" borderId="0"/>
    <xf numFmtId="0" fontId="7" fillId="0" borderId="0"/>
    <xf numFmtId="0" fontId="7" fillId="0" borderId="0"/>
    <xf numFmtId="172"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55" fillId="0" borderId="0"/>
    <xf numFmtId="0" fontId="55" fillId="0" borderId="0"/>
    <xf numFmtId="0" fontId="55" fillId="0" borderId="0"/>
    <xf numFmtId="0" fontId="55" fillId="0" borderId="0"/>
    <xf numFmtId="0" fontId="55" fillId="0" borderId="0"/>
    <xf numFmtId="0" fontId="55" fillId="0" borderId="0"/>
    <xf numFmtId="172" fontId="53" fillId="0" borderId="0"/>
    <xf numFmtId="0" fontId="53" fillId="0" borderId="0"/>
    <xf numFmtId="0" fontId="7" fillId="0" borderId="0"/>
    <xf numFmtId="172" fontId="7" fillId="0" borderId="0"/>
    <xf numFmtId="0" fontId="7" fillId="0" borderId="0"/>
    <xf numFmtId="0" fontId="7" fillId="0" borderId="0"/>
    <xf numFmtId="172"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0" fontId="51" fillId="0" borderId="0"/>
    <xf numFmtId="0" fontId="56" fillId="0" borderId="0"/>
    <xf numFmtId="0" fontId="7" fillId="0" borderId="0"/>
    <xf numFmtId="172" fontId="7" fillId="0" borderId="0"/>
    <xf numFmtId="0" fontId="7" fillId="0" borderId="0"/>
    <xf numFmtId="172" fontId="7" fillId="0" borderId="0"/>
    <xf numFmtId="0" fontId="56"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64" fillId="12" borderId="0" applyNumberFormat="0" applyBorder="0" applyAlignment="0" applyProtection="0">
      <alignment vertical="center"/>
    </xf>
    <xf numFmtId="0" fontId="65" fillId="0" borderId="35" applyNumberFormat="0" applyFill="0" applyAlignment="0" applyProtection="0">
      <alignment vertical="center"/>
    </xf>
    <xf numFmtId="0" fontId="66" fillId="11" borderId="36" applyNumberFormat="0" applyAlignment="0" applyProtection="0">
      <alignment vertical="center"/>
    </xf>
    <xf numFmtId="0" fontId="67" fillId="13" borderId="37" applyNumberFormat="0" applyAlignment="0" applyProtection="0">
      <alignment vertical="center"/>
    </xf>
    <xf numFmtId="192" fontId="7" fillId="0" borderId="0" applyFont="0" applyFill="0" applyBorder="0" applyAlignment="0" applyProtection="0"/>
    <xf numFmtId="193" fontId="7" fillId="0" borderId="0" applyFont="0" applyFill="0" applyBorder="0" applyAlignment="0" applyProtection="0"/>
    <xf numFmtId="0" fontId="68" fillId="11" borderId="0" applyNumberFormat="0" applyBorder="0" applyAlignment="0" applyProtection="0">
      <alignment vertical="center"/>
    </xf>
    <xf numFmtId="9" fontId="7" fillId="14" borderId="0"/>
    <xf numFmtId="0" fontId="7" fillId="0" borderId="0"/>
    <xf numFmtId="0" fontId="69" fillId="0" borderId="0" applyNumberFormat="0" applyFill="0" applyBorder="0" applyAlignment="0" applyProtection="0">
      <alignment vertical="center"/>
    </xf>
    <xf numFmtId="0" fontId="70" fillId="15" borderId="0" applyNumberFormat="0" applyBorder="0" applyAlignment="0" applyProtection="0">
      <alignment vertical="center"/>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1" fillId="0" borderId="0" applyNumberFormat="0" applyFill="0" applyBorder="0" applyAlignment="0" applyProtection="0">
      <alignment vertical="top"/>
      <protection locked="0"/>
    </xf>
    <xf numFmtId="0" fontId="72" fillId="0" borderId="0"/>
    <xf numFmtId="0" fontId="73" fillId="0" borderId="0"/>
    <xf numFmtId="194" fontId="74" fillId="0" borderId="0" applyFont="0" applyFill="0" applyBorder="0" applyAlignment="0" applyProtection="0"/>
    <xf numFmtId="195" fontId="75" fillId="0" borderId="0" applyFont="0" applyFill="0" applyBorder="0" applyAlignment="0" applyProtection="0"/>
    <xf numFmtId="0" fontId="53" fillId="0" borderId="0"/>
    <xf numFmtId="0" fontId="53" fillId="0" borderId="0"/>
    <xf numFmtId="181" fontId="7" fillId="0" borderId="0"/>
    <xf numFmtId="0" fontId="7" fillId="0" borderId="0"/>
    <xf numFmtId="166" fontId="74" fillId="0" borderId="0" applyFont="0" applyFill="0" applyBorder="0" applyAlignment="0" applyProtection="0"/>
    <xf numFmtId="10" fontId="74" fillId="0" borderId="0" applyFont="0" applyFill="0" applyBorder="0" applyAlignment="0" applyProtection="0"/>
    <xf numFmtId="5" fontId="76" fillId="3" borderId="0" applyFont="0" applyFill="0" applyBorder="0" applyAlignment="0" applyProtection="0"/>
    <xf numFmtId="196" fontId="51" fillId="0" borderId="0">
      <alignment horizontal="center"/>
    </xf>
    <xf numFmtId="0" fontId="77" fillId="0" borderId="0" applyNumberFormat="0" applyFill="0" applyBorder="0" applyAlignment="0" applyProtection="0">
      <alignment vertical="center"/>
    </xf>
    <xf numFmtId="0" fontId="78" fillId="0" borderId="38" applyNumberFormat="0" applyFill="0" applyAlignment="0" applyProtection="0">
      <alignment vertical="center"/>
    </xf>
    <xf numFmtId="0" fontId="79" fillId="0" borderId="39" applyNumberFormat="0" applyFill="0" applyAlignment="0" applyProtection="0">
      <alignment vertical="center"/>
    </xf>
    <xf numFmtId="0" fontId="80" fillId="0" borderId="40" applyNumberFormat="0" applyFill="0" applyAlignment="0" applyProtection="0">
      <alignment vertical="center"/>
    </xf>
    <xf numFmtId="0" fontId="80" fillId="0" borderId="0" applyNumberFormat="0" applyFill="0" applyBorder="0" applyAlignment="0" applyProtection="0">
      <alignment vertical="center"/>
    </xf>
    <xf numFmtId="0" fontId="81" fillId="21" borderId="0" applyNumberFormat="0" applyBorder="0" applyAlignment="0" applyProtection="0">
      <alignment vertical="center"/>
    </xf>
    <xf numFmtId="0" fontId="81" fillId="22" borderId="0" applyNumberFormat="0" applyBorder="0" applyAlignment="0" applyProtection="0">
      <alignment vertical="center"/>
    </xf>
    <xf numFmtId="0" fontId="81" fillId="23" borderId="0" applyNumberFormat="0" applyBorder="0" applyAlignment="0" applyProtection="0">
      <alignment vertical="center"/>
    </xf>
    <xf numFmtId="0" fontId="81" fillId="24" borderId="0" applyNumberFormat="0" applyBorder="0" applyAlignment="0" applyProtection="0">
      <alignment vertical="center"/>
    </xf>
    <xf numFmtId="0" fontId="81" fillId="12" borderId="0" applyNumberFormat="0" applyBorder="0" applyAlignment="0" applyProtection="0">
      <alignment vertical="center"/>
    </xf>
    <xf numFmtId="0" fontId="81" fillId="23" borderId="0" applyNumberFormat="0" applyBorder="0" applyAlignment="0" applyProtection="0">
      <alignment vertical="center"/>
    </xf>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12" borderId="0" applyNumberFormat="0" applyBorder="0" applyAlignment="0" applyProtection="0"/>
    <xf numFmtId="0" fontId="82" fillId="29" borderId="0" applyNumberFormat="0" applyBorder="0" applyAlignment="0" applyProtection="0"/>
    <xf numFmtId="0" fontId="83" fillId="25" borderId="0" applyNumberFormat="0" applyBorder="0" applyAlignment="0" applyProtection="0">
      <alignment vertical="center"/>
    </xf>
    <xf numFmtId="0" fontId="83" fillId="26" borderId="0" applyNumberFormat="0" applyBorder="0" applyAlignment="0" applyProtection="0">
      <alignment vertical="center"/>
    </xf>
    <xf numFmtId="0" fontId="83" fillId="27" borderId="0" applyNumberFormat="0" applyBorder="0" applyAlignment="0" applyProtection="0">
      <alignment vertical="center"/>
    </xf>
    <xf numFmtId="0" fontId="83" fillId="28" borderId="0" applyNumberFormat="0" applyBorder="0" applyAlignment="0" applyProtection="0">
      <alignment vertical="center"/>
    </xf>
    <xf numFmtId="0" fontId="83" fillId="12" borderId="0" applyNumberFormat="0" applyBorder="0" applyAlignment="0" applyProtection="0">
      <alignment vertical="center"/>
    </xf>
    <xf numFmtId="0" fontId="83" fillId="29" borderId="0" applyNumberFormat="0" applyBorder="0" applyAlignment="0" applyProtection="0">
      <alignment vertical="center"/>
    </xf>
    <xf numFmtId="197" fontId="31" fillId="0" borderId="0">
      <alignment horizontal="center"/>
    </xf>
    <xf numFmtId="0" fontId="6" fillId="23" borderId="41" applyNumberFormat="0" applyFont="0" applyAlignment="0" applyProtection="0">
      <alignment vertical="center"/>
    </xf>
    <xf numFmtId="0" fontId="84" fillId="0" borderId="42" applyNumberFormat="0" applyFill="0" applyAlignment="0" applyProtection="0">
      <alignment vertical="center"/>
    </xf>
    <xf numFmtId="0" fontId="81" fillId="12" borderId="0" applyNumberFormat="0" applyBorder="0" applyAlignment="0" applyProtection="0">
      <alignment vertical="center"/>
    </xf>
    <xf numFmtId="0" fontId="81" fillId="22" borderId="0" applyNumberFormat="0" applyBorder="0" applyAlignment="0" applyProtection="0">
      <alignment vertical="center"/>
    </xf>
    <xf numFmtId="0" fontId="81" fillId="11" borderId="0" applyNumberFormat="0" applyBorder="0" applyAlignment="0" applyProtection="0">
      <alignment vertical="center"/>
    </xf>
    <xf numFmtId="0" fontId="81" fillId="26" borderId="0" applyNumberFormat="0" applyBorder="0" applyAlignment="0" applyProtection="0">
      <alignment vertical="center"/>
    </xf>
    <xf numFmtId="0" fontId="81" fillId="12" borderId="0" applyNumberFormat="0" applyBorder="0" applyAlignment="0" applyProtection="0">
      <alignment vertical="center"/>
    </xf>
    <xf numFmtId="0" fontId="81" fillId="23" borderId="0" applyNumberFormat="0" applyBorder="0" applyAlignment="0" applyProtection="0">
      <alignment vertical="center"/>
    </xf>
    <xf numFmtId="0" fontId="82" fillId="21" borderId="0" applyNumberFormat="0" applyBorder="0" applyAlignment="0" applyProtection="0"/>
    <xf numFmtId="0" fontId="82" fillId="22" borderId="0" applyNumberFormat="0" applyBorder="0" applyAlignment="0" applyProtection="0"/>
    <xf numFmtId="0" fontId="82" fillId="30" borderId="0" applyNumberFormat="0" applyBorder="0" applyAlignment="0" applyProtection="0"/>
    <xf numFmtId="0" fontId="82" fillId="28" borderId="0" applyNumberFormat="0" applyBorder="0" applyAlignment="0" applyProtection="0"/>
    <xf numFmtId="0" fontId="82" fillId="21" borderId="0" applyNumberFormat="0" applyBorder="0" applyAlignment="0" applyProtection="0"/>
    <xf numFmtId="0" fontId="82" fillId="17" borderId="0" applyNumberFormat="0" applyBorder="0" applyAlignment="0" applyProtection="0"/>
    <xf numFmtId="0" fontId="83" fillId="21" borderId="0" applyNumberFormat="0" applyBorder="0" applyAlignment="0" applyProtection="0">
      <alignment vertical="center"/>
    </xf>
    <xf numFmtId="0" fontId="83" fillId="22" borderId="0" applyNumberFormat="0" applyBorder="0" applyAlignment="0" applyProtection="0">
      <alignment vertical="center"/>
    </xf>
    <xf numFmtId="0" fontId="83" fillId="30" borderId="0" applyNumberFormat="0" applyBorder="0" applyAlignment="0" applyProtection="0">
      <alignment vertical="center"/>
    </xf>
    <xf numFmtId="0" fontId="83" fillId="28" borderId="0" applyNumberFormat="0" applyBorder="0" applyAlignment="0" applyProtection="0">
      <alignment vertical="center"/>
    </xf>
    <xf numFmtId="0" fontId="83" fillId="21" borderId="0" applyNumberFormat="0" applyBorder="0" applyAlignment="0" applyProtection="0">
      <alignment vertical="center"/>
    </xf>
    <xf numFmtId="0" fontId="83" fillId="17" borderId="0" applyNumberFormat="0" applyBorder="0" applyAlignment="0" applyProtection="0">
      <alignment vertical="center"/>
    </xf>
    <xf numFmtId="198" fontId="85" fillId="0" borderId="0">
      <alignment horizontal="center"/>
    </xf>
    <xf numFmtId="0" fontId="70" fillId="12" borderId="0" applyNumberFormat="0" applyBorder="0" applyAlignment="0" applyProtection="0">
      <alignment vertical="center"/>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26" borderId="0" applyNumberFormat="0" applyBorder="0" applyAlignment="0" applyProtection="0">
      <alignment vertical="center"/>
    </xf>
    <xf numFmtId="0" fontId="70" fillId="12" borderId="0" applyNumberFormat="0" applyBorder="0" applyAlignment="0" applyProtection="0">
      <alignment vertical="center"/>
    </xf>
    <xf numFmtId="0" fontId="70" fillId="22" borderId="0" applyNumberFormat="0" applyBorder="0" applyAlignment="0" applyProtection="0">
      <alignment vertical="center"/>
    </xf>
    <xf numFmtId="0" fontId="86" fillId="31" borderId="0" applyNumberFormat="0" applyBorder="0" applyAlignment="0" applyProtection="0"/>
    <xf numFmtId="0" fontId="86" fillId="22" borderId="0" applyNumberFormat="0" applyBorder="0" applyAlignment="0" applyProtection="0"/>
    <xf numFmtId="0" fontId="86" fillId="30" borderId="0" applyNumberFormat="0" applyBorder="0" applyAlignment="0" applyProtection="0"/>
    <xf numFmtId="0" fontId="86" fillId="32" borderId="0" applyNumberFormat="0" applyBorder="0" applyAlignment="0" applyProtection="0"/>
    <xf numFmtId="0" fontId="86" fillId="19" borderId="0" applyNumberFormat="0" applyBorder="0" applyAlignment="0" applyProtection="0"/>
    <xf numFmtId="0" fontId="86" fillId="33" borderId="0" applyNumberFormat="0" applyBorder="0" applyAlignment="0" applyProtection="0"/>
    <xf numFmtId="0" fontId="87" fillId="31" borderId="0" applyNumberFormat="0" applyBorder="0" applyAlignment="0" applyProtection="0">
      <alignment vertical="center"/>
    </xf>
    <xf numFmtId="0" fontId="87" fillId="22" borderId="0" applyNumberFormat="0" applyBorder="0" applyAlignment="0" applyProtection="0">
      <alignment vertical="center"/>
    </xf>
    <xf numFmtId="0" fontId="87" fillId="30" borderId="0" applyNumberFormat="0" applyBorder="0" applyAlignment="0" applyProtection="0">
      <alignment vertical="center"/>
    </xf>
    <xf numFmtId="0" fontId="87" fillId="32" borderId="0" applyNumberFormat="0" applyBorder="0" applyAlignment="0" applyProtection="0">
      <alignment vertical="center"/>
    </xf>
    <xf numFmtId="0" fontId="87" fillId="19" borderId="0" applyNumberFormat="0" applyBorder="0" applyAlignment="0" applyProtection="0">
      <alignment vertical="center"/>
    </xf>
    <xf numFmtId="0" fontId="87" fillId="33" borderId="0" applyNumberFormat="0" applyBorder="0" applyAlignment="0" applyProtection="0">
      <alignment vertical="center"/>
    </xf>
    <xf numFmtId="199" fontId="51"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0" fontId="84" fillId="0" borderId="0" applyNumberFormat="0" applyFill="0" applyBorder="0" applyAlignment="0" applyProtection="0">
      <alignment vertical="center"/>
    </xf>
    <xf numFmtId="0" fontId="88" fillId="28" borderId="0" applyNumberFormat="0" applyBorder="0" applyAlignment="0" applyProtection="0">
      <alignment vertical="center"/>
    </xf>
    <xf numFmtId="0" fontId="89" fillId="0" borderId="8" applyBorder="0"/>
    <xf numFmtId="0" fontId="86" fillId="34" borderId="0" applyNumberFormat="0" applyBorder="0" applyAlignment="0" applyProtection="0"/>
    <xf numFmtId="0" fontId="86" fillId="20" borderId="0" applyNumberFormat="0" applyBorder="0" applyAlignment="0" applyProtection="0"/>
    <xf numFmtId="0" fontId="86" fillId="35" borderId="0" applyNumberFormat="0" applyBorder="0" applyAlignment="0" applyProtection="0"/>
    <xf numFmtId="0" fontId="86" fillId="32" borderId="0" applyNumberFormat="0" applyBorder="0" applyAlignment="0" applyProtection="0"/>
    <xf numFmtId="0" fontId="86" fillId="19" borderId="0" applyNumberFormat="0" applyBorder="0" applyAlignment="0" applyProtection="0"/>
    <xf numFmtId="0" fontId="86" fillId="16" borderId="0" applyNumberFormat="0" applyBorder="0" applyAlignment="0" applyProtection="0"/>
    <xf numFmtId="200" fontId="7" fillId="0" borderId="0" applyFont="0" applyFill="0" applyBorder="0" applyAlignment="0" applyProtection="0"/>
    <xf numFmtId="0" fontId="90" fillId="0" borderId="12" applyBorder="0">
      <alignment horizontal="left"/>
    </xf>
    <xf numFmtId="0" fontId="91" fillId="0" borderId="0" applyNumberFormat="0" applyFill="0" applyBorder="0" applyAlignment="0" applyProtection="0"/>
    <xf numFmtId="0" fontId="23" fillId="0" borderId="0" applyNumberFormat="0" applyAlignment="0"/>
    <xf numFmtId="0" fontId="23" fillId="0" borderId="0" applyNumberFormat="0" applyAlignment="0"/>
    <xf numFmtId="201" fontId="7" fillId="36" borderId="43">
      <alignment horizontal="center" vertical="center"/>
    </xf>
    <xf numFmtId="201" fontId="7" fillId="36" borderId="43">
      <alignment horizontal="center" vertical="center"/>
    </xf>
    <xf numFmtId="201" fontId="7" fillId="36" borderId="43">
      <alignment horizontal="center" vertical="center"/>
    </xf>
    <xf numFmtId="201" fontId="7" fillId="36" borderId="43">
      <alignment horizontal="center" vertical="center"/>
    </xf>
    <xf numFmtId="201" fontId="7" fillId="36" borderId="43">
      <alignment horizontal="center" vertical="center"/>
    </xf>
    <xf numFmtId="201" fontId="7" fillId="36" borderId="43">
      <alignment horizontal="center" vertical="center"/>
    </xf>
    <xf numFmtId="201" fontId="7" fillId="36" borderId="43">
      <alignment horizontal="center" vertical="center"/>
    </xf>
    <xf numFmtId="201" fontId="7" fillId="36" borderId="43">
      <alignment horizontal="center" vertical="center"/>
    </xf>
    <xf numFmtId="0" fontId="92" fillId="37" borderId="44" applyNumberFormat="0" applyAlignment="0" applyProtection="0">
      <alignment vertical="center"/>
    </xf>
    <xf numFmtId="6" fontId="7" fillId="0" borderId="0"/>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7" fillId="0" borderId="0" applyNumberFormat="0" applyFill="0" applyBorder="0" applyAlignment="0" applyProtection="0"/>
    <xf numFmtId="0" fontId="31" fillId="0" borderId="0" applyNumberFormat="0" applyFill="0" applyBorder="0" applyAlignment="0" applyProtection="0"/>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38" fontId="7" fillId="24" borderId="0"/>
    <xf numFmtId="38" fontId="55" fillId="24" borderId="45">
      <alignment horizontal="right"/>
    </xf>
    <xf numFmtId="0" fontId="94" fillId="26" borderId="0" applyNumberFormat="0" applyBorder="0" applyAlignment="0" applyProtection="0"/>
    <xf numFmtId="38" fontId="95" fillId="0" borderId="0" applyNumberFormat="0" applyFill="0" applyBorder="0" applyAlignment="0" applyProtection="0"/>
    <xf numFmtId="166" fontId="7" fillId="0" borderId="0" applyNumberFormat="0" applyFont="0" applyAlignment="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38" fontId="98" fillId="0" borderId="45"/>
    <xf numFmtId="203" fontId="99" fillId="0" borderId="23" applyAlignment="0" applyProtection="0"/>
    <xf numFmtId="0" fontId="100" fillId="0" borderId="11" applyNumberFormat="0" applyAlignment="0"/>
    <xf numFmtId="0" fontId="95" fillId="0" borderId="8" applyNumberFormat="0" applyFont="0" applyFill="0" applyAlignment="0" applyProtection="0"/>
    <xf numFmtId="0" fontId="101" fillId="0" borderId="0" applyFont="0" applyFill="0" applyBorder="0" applyAlignment="0" applyProtection="0"/>
    <xf numFmtId="0" fontId="102" fillId="0" borderId="0"/>
    <xf numFmtId="0" fontId="103" fillId="0" borderId="0"/>
    <xf numFmtId="199" fontId="52" fillId="0" borderId="0">
      <alignment horizontal="center"/>
    </xf>
    <xf numFmtId="199" fontId="52" fillId="0" borderId="0">
      <alignment horizontal="center"/>
    </xf>
    <xf numFmtId="199" fontId="52" fillId="0" borderId="0">
      <alignment horizontal="center"/>
    </xf>
    <xf numFmtId="199" fontId="52" fillId="0" borderId="0">
      <alignment horizontal="center"/>
    </xf>
    <xf numFmtId="199" fontId="52" fillId="0" borderId="0">
      <alignment horizontal="center"/>
    </xf>
    <xf numFmtId="199" fontId="52" fillId="0" borderId="0">
      <alignment horizontal="center"/>
    </xf>
    <xf numFmtId="199" fontId="52" fillId="0" borderId="0">
      <alignment horizontal="center"/>
    </xf>
    <xf numFmtId="199" fontId="52" fillId="0" borderId="0">
      <alignment horizontal="center"/>
    </xf>
    <xf numFmtId="204"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6" fontId="51" fillId="0" borderId="0" applyFill="0" applyBorder="0" applyAlignment="0"/>
    <xf numFmtId="207" fontId="104" fillId="0" borderId="0" applyFill="0" applyBorder="0" applyAlignment="0"/>
    <xf numFmtId="207" fontId="104" fillId="0" borderId="0" applyFill="0" applyBorder="0" applyAlignment="0"/>
    <xf numFmtId="0" fontId="7" fillId="0" borderId="0" applyFill="0" applyBorder="0" applyAlignment="0"/>
    <xf numFmtId="207" fontId="104" fillId="0" borderId="0" applyFill="0" applyBorder="0" applyAlignment="0"/>
    <xf numFmtId="207" fontId="104" fillId="0" borderId="0" applyFill="0" applyBorder="0" applyAlignment="0"/>
    <xf numFmtId="207" fontId="104" fillId="0" borderId="0" applyFill="0" applyBorder="0" applyAlignment="0"/>
    <xf numFmtId="207" fontId="104" fillId="0" borderId="0" applyFill="0" applyBorder="0" applyAlignment="0"/>
    <xf numFmtId="207" fontId="104" fillId="0" borderId="0" applyFill="0" applyBorder="0" applyAlignment="0"/>
    <xf numFmtId="207" fontId="104" fillId="0" borderId="0" applyFill="0" applyBorder="0" applyAlignment="0"/>
    <xf numFmtId="207" fontId="104" fillId="0" borderId="0" applyFill="0" applyBorder="0" applyAlignment="0"/>
    <xf numFmtId="208" fontId="7" fillId="0" borderId="0" applyFill="0" applyBorder="0" applyAlignment="0"/>
    <xf numFmtId="209" fontId="104" fillId="0" borderId="0" applyFill="0" applyBorder="0" applyAlignment="0"/>
    <xf numFmtId="209" fontId="104" fillId="0" borderId="0" applyFill="0" applyBorder="0" applyAlignment="0"/>
    <xf numFmtId="0" fontId="7" fillId="0" borderId="0" applyFill="0" applyBorder="0" applyAlignment="0"/>
    <xf numFmtId="209" fontId="104" fillId="0" borderId="0" applyFill="0" applyBorder="0" applyAlignment="0"/>
    <xf numFmtId="209" fontId="104" fillId="0" borderId="0" applyFill="0" applyBorder="0" applyAlignment="0"/>
    <xf numFmtId="209" fontId="104" fillId="0" borderId="0" applyFill="0" applyBorder="0" applyAlignment="0"/>
    <xf numFmtId="209" fontId="104" fillId="0" borderId="0" applyFill="0" applyBorder="0" applyAlignment="0"/>
    <xf numFmtId="209" fontId="104" fillId="0" borderId="0" applyFill="0" applyBorder="0" applyAlignment="0"/>
    <xf numFmtId="209" fontId="104" fillId="0" borderId="0" applyFill="0" applyBorder="0" applyAlignment="0"/>
    <xf numFmtId="209" fontId="104" fillId="0" borderId="0" applyFill="0" applyBorder="0" applyAlignment="0"/>
    <xf numFmtId="210" fontId="106" fillId="0" borderId="0" applyFill="0" applyBorder="0" applyAlignment="0"/>
    <xf numFmtId="211" fontId="104" fillId="0" borderId="0" applyFill="0" applyBorder="0" applyAlignment="0"/>
    <xf numFmtId="211" fontId="104" fillId="0" borderId="0" applyFill="0" applyBorder="0" applyAlignment="0"/>
    <xf numFmtId="0" fontId="7"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92" fontId="51" fillId="0" borderId="0" applyFill="0" applyBorder="0" applyAlignment="0"/>
    <xf numFmtId="213" fontId="104" fillId="0" borderId="0" applyFill="0" applyBorder="0" applyAlignment="0"/>
    <xf numFmtId="213" fontId="104" fillId="0" borderId="0" applyFill="0" applyBorder="0" applyAlignment="0"/>
    <xf numFmtId="0" fontId="7"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0" fontId="107" fillId="24" borderId="36" applyNumberFormat="0" applyAlignment="0" applyProtection="0"/>
    <xf numFmtId="0" fontId="8" fillId="0" borderId="0" applyFill="0" applyBorder="0" applyProtection="0">
      <alignment horizontal="center"/>
      <protection locked="0"/>
    </xf>
    <xf numFmtId="0" fontId="108" fillId="37" borderId="44" applyNumberFormat="0" applyAlignment="0" applyProtection="0"/>
    <xf numFmtId="0" fontId="109" fillId="0" borderId="0"/>
    <xf numFmtId="0" fontId="109" fillId="38" borderId="0"/>
    <xf numFmtId="0" fontId="23" fillId="0" borderId="0" applyNumberFormat="0" applyFill="0" applyBorder="0" applyAlignment="0" applyProtection="0"/>
    <xf numFmtId="172"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21" fillId="39" borderId="22" applyNumberFormat="0">
      <alignment horizontal="right" vertical="center"/>
    </xf>
    <xf numFmtId="0" fontId="110" fillId="0" borderId="8" applyNumberFormat="0" applyFill="0" applyProtection="0">
      <alignment horizontal="center"/>
    </xf>
    <xf numFmtId="0" fontId="110" fillId="0" borderId="8" applyNumberFormat="0" applyFill="0" applyProtection="0">
      <alignment horizontal="center"/>
    </xf>
    <xf numFmtId="0" fontId="111" fillId="0" borderId="25">
      <alignment horizontal="center"/>
    </xf>
    <xf numFmtId="0" fontId="112" fillId="40" borderId="0">
      <alignment horizontal="left"/>
    </xf>
    <xf numFmtId="0" fontId="112" fillId="40" borderId="0">
      <alignment horizontal="left"/>
    </xf>
    <xf numFmtId="0" fontId="113" fillId="40" borderId="0">
      <alignment horizontal="right"/>
    </xf>
    <xf numFmtId="0" fontId="113" fillId="40" borderId="0">
      <alignment horizontal="right"/>
    </xf>
    <xf numFmtId="0" fontId="114" fillId="13" borderId="0">
      <alignment horizontal="center"/>
    </xf>
    <xf numFmtId="0" fontId="114" fillId="13" borderId="0">
      <alignment horizontal="center"/>
    </xf>
    <xf numFmtId="0" fontId="113" fillId="40" borderId="0">
      <alignment horizontal="right"/>
    </xf>
    <xf numFmtId="0" fontId="113" fillId="40" borderId="0">
      <alignment horizontal="right"/>
    </xf>
    <xf numFmtId="0" fontId="115" fillId="13" borderId="0">
      <alignment horizontal="left"/>
    </xf>
    <xf numFmtId="0" fontId="115" fillId="13" borderId="0">
      <alignment horizontal="left"/>
    </xf>
    <xf numFmtId="0" fontId="51" fillId="0" borderId="0"/>
    <xf numFmtId="214" fontId="51" fillId="0" borderId="0"/>
    <xf numFmtId="0" fontId="7" fillId="0" borderId="0" applyNumberFormat="0" applyFont="0" applyFill="0" applyBorder="0" applyAlignment="0" applyProtection="0"/>
    <xf numFmtId="214" fontId="51" fillId="0" borderId="0"/>
    <xf numFmtId="214" fontId="51" fillId="0" borderId="0"/>
    <xf numFmtId="214" fontId="51" fillId="0" borderId="0"/>
    <xf numFmtId="214" fontId="51" fillId="0" borderId="0"/>
    <xf numFmtId="214" fontId="51" fillId="0" borderId="0"/>
    <xf numFmtId="214" fontId="51" fillId="0" borderId="0"/>
    <xf numFmtId="214" fontId="51" fillId="0" borderId="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38" fontId="7" fillId="0" borderId="0" applyFill="0" applyBorder="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79" fontId="7" fillId="0" borderId="0" applyFill="0" applyBorder="0" applyProtection="0"/>
    <xf numFmtId="216" fontId="7" fillId="0" borderId="0" applyFont="0" applyFill="0" applyBorder="0" applyAlignment="0" applyProtection="0"/>
    <xf numFmtId="216" fontId="7" fillId="0" borderId="0" applyFont="0" applyFill="0" applyBorder="0" applyAlignment="0" applyProtection="0"/>
    <xf numFmtId="217" fontId="7" fillId="0" borderId="0" applyFont="0" applyFill="0" applyBorder="0" applyAlignment="0" applyProtection="0"/>
    <xf numFmtId="40" fontId="7" fillId="0" borderId="0" applyFill="0" applyBorder="0" applyProtection="0"/>
    <xf numFmtId="217" fontId="7" fillId="0" borderId="0" applyFont="0" applyFill="0" applyBorder="0" applyAlignment="0" applyProtection="0"/>
    <xf numFmtId="217" fontId="7" fillId="0" borderId="0" applyFont="0" applyFill="0" applyBorder="0" applyAlignment="0" applyProtection="0"/>
    <xf numFmtId="218" fontId="51" fillId="0" borderId="8"/>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44" fontId="51"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0" fontId="105"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212" fontId="104" fillId="0" borderId="0" applyFont="0" applyFill="0" applyBorder="0" applyAlignment="0" applyProtection="0"/>
    <xf numFmtId="179" fontId="93" fillId="0" borderId="0"/>
    <xf numFmtId="40" fontId="31" fillId="0" borderId="0" applyFont="0" applyFill="0" applyBorder="0" applyAlignment="0" applyProtection="0"/>
    <xf numFmtId="223" fontId="116" fillId="0" borderId="0" applyFont="0" applyFill="0" applyBorder="0" applyAlignment="0" applyProtection="0">
      <alignment horizontal="right"/>
    </xf>
    <xf numFmtId="224" fontId="1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25" fontId="75" fillId="0" borderId="0"/>
    <xf numFmtId="37" fontId="74" fillId="0" borderId="0" applyFont="0" applyFill="0" applyBorder="0" applyAlignment="0" applyProtection="0"/>
    <xf numFmtId="179" fontId="74" fillId="0" borderId="0" applyFont="0" applyFill="0" applyBorder="0" applyAlignment="0" applyProtection="0"/>
    <xf numFmtId="39" fontId="74" fillId="0" borderId="0" applyFont="0" applyFill="0" applyBorder="0" applyAlignment="0" applyProtection="0"/>
    <xf numFmtId="37" fontId="7" fillId="0" borderId="0" applyFill="0" applyBorder="0" applyAlignment="0" applyProtection="0"/>
    <xf numFmtId="172" fontId="118" fillId="0" borderId="0"/>
    <xf numFmtId="172" fontId="51" fillId="0" borderId="0"/>
    <xf numFmtId="0" fontId="51" fillId="0" borderId="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7" fontId="7" fillId="0" borderId="0" applyFill="0" applyBorder="0" applyAlignment="0" applyProtection="0"/>
    <xf numFmtId="172" fontId="118" fillId="0" borderId="0"/>
    <xf numFmtId="172" fontId="51" fillId="0" borderId="0"/>
    <xf numFmtId="0" fontId="21" fillId="0" borderId="0" applyFill="0" applyBorder="0" applyAlignment="0" applyProtection="0">
      <protection locked="0"/>
    </xf>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225" fontId="121" fillId="0" borderId="0" applyBorder="0"/>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226" fontId="85" fillId="0" borderId="0">
      <alignment horizontal="center"/>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5" fillId="0" borderId="0">
      <alignment horizontal="left"/>
    </xf>
    <xf numFmtId="0" fontId="126" fillId="0" borderId="0"/>
    <xf numFmtId="0" fontId="127" fillId="0" borderId="0">
      <alignment horizontal="left"/>
    </xf>
    <xf numFmtId="225" fontId="8" fillId="0" borderId="0"/>
    <xf numFmtId="227" fontId="7" fillId="0" borderId="0" applyFont="0" applyFill="0" applyBorder="0" applyAlignment="0" applyProtection="0">
      <alignment horizontal="right"/>
    </xf>
    <xf numFmtId="6" fontId="7" fillId="0" borderId="0" applyFill="0" applyBorder="0" applyProtection="0">
      <alignment horizontal="right"/>
    </xf>
    <xf numFmtId="227" fontId="7" fillId="0" borderId="0" applyFont="0" applyFill="0" applyBorder="0" applyAlignment="0" applyProtection="0">
      <alignment horizontal="right"/>
    </xf>
    <xf numFmtId="227" fontId="7" fillId="0" borderId="0" applyFont="0" applyFill="0" applyBorder="0" applyAlignment="0" applyProtection="0">
      <alignment horizontal="right"/>
    </xf>
    <xf numFmtId="228" fontId="7" fillId="0" borderId="0" applyFont="0" applyFill="0" applyBorder="0" applyAlignment="0" applyProtection="0">
      <alignment horizontal="right"/>
    </xf>
    <xf numFmtId="229" fontId="7" fillId="0" borderId="0" applyFill="0" applyBorder="0" applyProtection="0">
      <alignment horizontal="right"/>
    </xf>
    <xf numFmtId="228" fontId="7" fillId="0" borderId="0" applyFont="0" applyFill="0" applyBorder="0" applyAlignment="0" applyProtection="0">
      <alignment horizontal="right"/>
    </xf>
    <xf numFmtId="228" fontId="7" fillId="0" borderId="0" applyFont="0" applyFill="0" applyBorder="0" applyAlignment="0" applyProtection="0">
      <alignment horizontal="right"/>
    </xf>
    <xf numFmtId="230" fontId="7" fillId="0" borderId="0" applyFont="0" applyFill="0" applyBorder="0" applyAlignment="0" applyProtection="0">
      <alignment horizontal="right"/>
    </xf>
    <xf numFmtId="7" fontId="7" fillId="0" borderId="0" applyFill="0" applyBorder="0" applyProtection="0">
      <alignment horizontal="right"/>
    </xf>
    <xf numFmtId="230" fontId="7" fillId="0" borderId="0" applyFont="0" applyFill="0" applyBorder="0" applyAlignment="0" applyProtection="0">
      <alignment horizontal="right"/>
    </xf>
    <xf numFmtId="230" fontId="7" fillId="0" borderId="0" applyFont="0" applyFill="0" applyBorder="0" applyAlignment="0" applyProtection="0">
      <alignment horizontal="right"/>
    </xf>
    <xf numFmtId="231" fontId="128" fillId="41" borderId="0" applyFont="0" applyFill="0" applyBorder="0" applyAlignment="0" applyProtection="0"/>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3" fontId="7" fillId="0" borderId="0" applyFont="0" applyFill="0" applyBorder="0" applyAlignment="0" applyProtection="0">
      <alignment horizontal="right"/>
    </xf>
    <xf numFmtId="233" fontId="7" fillId="0" borderId="0" applyFont="0" applyFill="0" applyBorder="0" applyAlignment="0" applyProtection="0">
      <alignment horizontal="right"/>
    </xf>
    <xf numFmtId="233" fontId="7" fillId="0" borderId="0" applyFont="0" applyFill="0" applyBorder="0" applyAlignment="0" applyProtection="0">
      <alignment horizontal="right"/>
    </xf>
    <xf numFmtId="233" fontId="7" fillId="0" borderId="0" applyFont="0" applyFill="0" applyBorder="0" applyAlignment="0" applyProtection="0">
      <alignment horizontal="right"/>
    </xf>
    <xf numFmtId="232" fontId="7" fillId="0" borderId="0" applyFont="0" applyFill="0" applyBorder="0" applyAlignment="0" applyProtection="0">
      <alignment horizontal="right"/>
    </xf>
    <xf numFmtId="234" fontId="7" fillId="0" borderId="0" applyFont="0" applyFill="0" applyBorder="0" applyAlignment="0" applyProtection="0">
      <alignment horizontal="right"/>
    </xf>
    <xf numFmtId="234" fontId="7" fillId="0" borderId="0" applyFont="0" applyFill="0" applyBorder="0" applyAlignment="0" applyProtection="0">
      <alignment horizontal="right"/>
    </xf>
    <xf numFmtId="234" fontId="7" fillId="0" borderId="0" applyFont="0" applyFill="0" applyBorder="0" applyAlignment="0" applyProtection="0">
      <alignment horizontal="right"/>
    </xf>
    <xf numFmtId="234" fontId="7" fillId="0" borderId="0" applyFont="0" applyFill="0" applyBorder="0" applyAlignment="0" applyProtection="0">
      <alignment horizontal="right"/>
    </xf>
    <xf numFmtId="235" fontId="7" fillId="0" borderId="0" applyFont="0" applyFill="0" applyBorder="0" applyAlignment="0" applyProtection="0">
      <alignment horizontal="right"/>
    </xf>
    <xf numFmtId="235" fontId="7" fillId="0" borderId="0" applyFont="0" applyFill="0" applyBorder="0" applyAlignment="0" applyProtection="0">
      <alignment horizontal="right"/>
    </xf>
    <xf numFmtId="235" fontId="7" fillId="0" borderId="0" applyFont="0" applyFill="0" applyBorder="0" applyAlignment="0" applyProtection="0">
      <alignment horizontal="right"/>
    </xf>
    <xf numFmtId="235" fontId="7" fillId="0" borderId="0" applyFont="0" applyFill="0" applyBorder="0" applyAlignment="0" applyProtection="0">
      <alignment horizontal="right"/>
    </xf>
    <xf numFmtId="42" fontId="7" fillId="0" borderId="0" applyFont="0" applyFill="0" applyBorder="0" applyAlignment="0" applyProtection="0"/>
    <xf numFmtId="179" fontId="51"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0" fontId="105"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202" fontId="104" fillId="0" borderId="0" applyFont="0" applyFill="0" applyBorder="0" applyAlignment="0" applyProtection="0"/>
    <xf numFmtId="236" fontId="31" fillId="0" borderId="0" applyFont="0" applyFill="0" applyBorder="0" applyAlignment="0" applyProtection="0"/>
    <xf numFmtId="8" fontId="7" fillId="0" borderId="0" applyFont="0" applyFill="0" applyBorder="0" applyAlignment="0"/>
    <xf numFmtId="237" fontId="116" fillId="0" borderId="0" applyFont="0" applyFill="0" applyBorder="0" applyAlignment="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8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238" fontId="7" fillId="0" borderId="0" applyFont="0" applyFill="0" applyBorder="0" applyAlignment="0" applyProtection="0">
      <alignment vertical="top"/>
      <protection hidden="1"/>
    </xf>
    <xf numFmtId="238" fontId="7" fillId="0" borderId="0" applyFont="0" applyFill="0" applyBorder="0" applyAlignment="0" applyProtection="0">
      <alignment vertical="top"/>
      <protection hidden="1"/>
    </xf>
    <xf numFmtId="5" fontId="74" fillId="0" borderId="0" applyFont="0" applyFill="0" applyBorder="0" applyAlignment="0" applyProtection="0"/>
    <xf numFmtId="7" fontId="74"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40" fontId="7" fillId="0" borderId="0"/>
    <xf numFmtId="241" fontId="7" fillId="0" borderId="0" applyFill="0" applyBorder="0" applyProtection="0">
      <alignment vertical="center"/>
    </xf>
    <xf numFmtId="225" fontId="129" fillId="0" borderId="0">
      <protection locked="0"/>
    </xf>
    <xf numFmtId="15" fontId="130" fillId="0" borderId="0" applyFont="0" applyFill="0" applyBorder="0" applyAlignment="0" applyProtection="0">
      <protection locked="0"/>
    </xf>
    <xf numFmtId="242" fontId="131" fillId="0" borderId="0" applyAlignment="0">
      <alignment horizontal="right"/>
    </xf>
    <xf numFmtId="0" fontId="51" fillId="0" borderId="0"/>
    <xf numFmtId="243" fontId="7" fillId="0" borderId="0" applyFill="0" applyBorder="0" applyProtection="0">
      <alignment horizontal="right"/>
    </xf>
    <xf numFmtId="14" fontId="7" fillId="0" borderId="0" applyFont="0" applyFill="0" applyBorder="0" applyProtection="0">
      <alignment horizontal="right"/>
    </xf>
    <xf numFmtId="14" fontId="7" fillId="0" borderId="0" applyFill="0" applyBorder="0" applyProtection="0">
      <alignment horizontal="right"/>
    </xf>
    <xf numFmtId="14" fontId="7" fillId="0" borderId="0" applyFont="0" applyFill="0" applyBorder="0" applyProtection="0">
      <alignment horizontal="right"/>
    </xf>
    <xf numFmtId="14" fontId="7" fillId="0" borderId="0" applyFont="0" applyFill="0" applyBorder="0" applyProtection="0">
      <alignment horizontal="right"/>
    </xf>
    <xf numFmtId="17" fontId="8" fillId="0" borderId="0" applyFill="0" applyBorder="0" applyProtection="0">
      <alignment horizontal="center"/>
    </xf>
    <xf numFmtId="15" fontId="111" fillId="0" borderId="0" applyFill="0" applyBorder="0" applyAlignment="0"/>
    <xf numFmtId="244" fontId="111" fillId="42" borderId="0" applyFont="0" applyFill="0" applyBorder="0" applyAlignment="0" applyProtection="0"/>
    <xf numFmtId="245" fontId="132" fillId="42" borderId="5" applyFont="0" applyFill="0" applyBorder="0" applyAlignment="0" applyProtection="0"/>
    <xf numFmtId="244" fontId="23" fillId="42" borderId="0" applyFont="0" applyFill="0" applyBorder="0" applyAlignment="0" applyProtection="0"/>
    <xf numFmtId="17" fontId="111" fillId="0" borderId="0" applyFill="0" applyBorder="0">
      <alignment horizontal="right"/>
    </xf>
    <xf numFmtId="246" fontId="111" fillId="0" borderId="8" applyFill="0" applyBorder="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241" fontId="116" fillId="0" borderId="0" applyFont="0" applyFill="0" applyBorder="0" applyAlignment="0" applyProtection="0"/>
    <xf numFmtId="14" fontId="6" fillId="0" borderId="0" applyFill="0" applyBorder="0" applyAlignment="0"/>
    <xf numFmtId="14" fontId="85" fillId="0" borderId="0">
      <alignment horizontal="center"/>
    </xf>
    <xf numFmtId="247" fontId="23" fillId="43" borderId="46" applyFill="0" applyBorder="0" applyProtection="0">
      <alignment horizontal="right"/>
      <protection locked="0"/>
    </xf>
    <xf numFmtId="42" fontId="133" fillId="0" borderId="0"/>
    <xf numFmtId="248" fontId="133" fillId="0" borderId="0"/>
    <xf numFmtId="0" fontId="134" fillId="0" borderId="0" applyNumberFormat="0" applyFill="0" applyBorder="0" applyAlignment="0" applyProtection="0"/>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0" fontId="51" fillId="0" borderId="0"/>
    <xf numFmtId="0" fontId="51" fillId="0" borderId="0"/>
    <xf numFmtId="249" fontId="7" fillId="0" borderId="0" applyFont="0" applyFill="0" applyBorder="0" applyAlignment="0" applyProtection="0"/>
    <xf numFmtId="250" fontId="7" fillId="0" borderId="0" applyFont="0" applyFill="0" applyBorder="0" applyAlignment="0" applyProtection="0"/>
    <xf numFmtId="172" fontId="135" fillId="0" borderId="0">
      <protection locked="0"/>
    </xf>
    <xf numFmtId="170" fontId="111" fillId="0" borderId="48">
      <alignment vertical="top"/>
    </xf>
    <xf numFmtId="170" fontId="23" fillId="0" borderId="0"/>
    <xf numFmtId="7" fontId="7" fillId="0" borderId="0" applyFont="0" applyFill="0" applyBorder="0" applyAlignment="0"/>
    <xf numFmtId="251" fontId="7" fillId="0" borderId="0"/>
    <xf numFmtId="42" fontId="75" fillId="0" borderId="0"/>
    <xf numFmtId="7" fontId="23" fillId="0" borderId="0"/>
    <xf numFmtId="0" fontId="116" fillId="0" borderId="49" applyNumberFormat="0" applyFont="0" applyFill="0" applyAlignment="0" applyProtection="0"/>
    <xf numFmtId="42" fontId="136" fillId="0" borderId="0" applyFill="0" applyBorder="0" applyAlignment="0" applyProtection="0"/>
    <xf numFmtId="0" fontId="18" fillId="0" borderId="0">
      <alignment wrapText="1"/>
    </xf>
    <xf numFmtId="225" fontId="121" fillId="0" borderId="23"/>
    <xf numFmtId="179" fontId="132" fillId="0" borderId="0" applyBorder="0"/>
    <xf numFmtId="192" fontId="132" fillId="0" borderId="0" applyBorder="0"/>
    <xf numFmtId="49" fontId="137" fillId="0" borderId="0" applyBorder="0">
      <alignment horizontal="center"/>
    </xf>
    <xf numFmtId="0" fontId="137" fillId="0" borderId="0" applyBorder="0">
      <alignment horizontal="center"/>
    </xf>
    <xf numFmtId="0" fontId="138" fillId="36" borderId="50" applyBorder="0">
      <alignment horizontal="center" vertical="center" wrapText="1"/>
    </xf>
    <xf numFmtId="0" fontId="139" fillId="0" borderId="0" applyBorder="0">
      <alignment horizontal="center"/>
    </xf>
    <xf numFmtId="0" fontId="140" fillId="36" borderId="50" applyBorder="0">
      <alignment horizontal="center" vertical="center" wrapText="1"/>
    </xf>
    <xf numFmtId="0" fontId="141" fillId="36" borderId="50" applyFill="0" applyBorder="0">
      <alignment horizontal="left" vertical="center"/>
    </xf>
    <xf numFmtId="0" fontId="75" fillId="0" borderId="22" applyBorder="0">
      <alignment horizontal="center" vertical="center" wrapText="1"/>
    </xf>
    <xf numFmtId="15" fontId="75" fillId="0" borderId="22" applyBorder="0">
      <alignment wrapText="1"/>
    </xf>
    <xf numFmtId="15" fontId="75" fillId="0" borderId="22" applyNumberFormat="0" applyBorder="0">
      <alignment vertical="center" wrapText="1"/>
    </xf>
    <xf numFmtId="0" fontId="8" fillId="44" borderId="22" applyBorder="0">
      <alignment horizontal="center" wrapText="1"/>
    </xf>
    <xf numFmtId="0" fontId="142" fillId="36" borderId="50" applyBorder="0">
      <alignment horizontal="centerContinuous"/>
    </xf>
    <xf numFmtId="172" fontId="143" fillId="0" borderId="0">
      <protection locked="0"/>
    </xf>
    <xf numFmtId="172" fontId="143" fillId="0" borderId="0">
      <protection locked="0"/>
    </xf>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92" fontId="51" fillId="0" borderId="0" applyFill="0" applyBorder="0" applyAlignment="0"/>
    <xf numFmtId="213" fontId="104" fillId="0" borderId="0" applyFill="0" applyBorder="0" applyAlignment="0"/>
    <xf numFmtId="213" fontId="104" fillId="0" borderId="0" applyFill="0" applyBorder="0" applyAlignment="0"/>
    <xf numFmtId="0" fontId="7"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252" fontId="23" fillId="45" borderId="45" applyFill="0" applyBorder="0" applyProtection="0">
      <alignment horizontal="left"/>
    </xf>
    <xf numFmtId="0" fontId="145" fillId="0" borderId="0" applyNumberFormat="0" applyFill="0" applyBorder="0" applyAlignment="0" applyProtection="0"/>
    <xf numFmtId="172" fontId="135" fillId="0" borderId="0">
      <protection locked="0"/>
    </xf>
    <xf numFmtId="172" fontId="135" fillId="0" borderId="0">
      <protection locked="0"/>
    </xf>
    <xf numFmtId="172" fontId="135" fillId="0" borderId="0">
      <protection locked="0"/>
    </xf>
    <xf numFmtId="172" fontId="135" fillId="0" borderId="0">
      <protection locked="0"/>
    </xf>
    <xf numFmtId="172" fontId="135" fillId="0" borderId="0">
      <protection locked="0"/>
    </xf>
    <xf numFmtId="172" fontId="135" fillId="0" borderId="0">
      <protection locked="0"/>
    </xf>
    <xf numFmtId="172" fontId="135" fillId="0" borderId="0">
      <protection locked="0"/>
    </xf>
    <xf numFmtId="172" fontId="135" fillId="0" borderId="0">
      <protection locked="0"/>
    </xf>
    <xf numFmtId="172" fontId="135" fillId="0" borderId="0">
      <protection locked="0"/>
    </xf>
    <xf numFmtId="2" fontId="31" fillId="0" borderId="0" applyProtection="0"/>
    <xf numFmtId="253" fontId="7" fillId="0" borderId="0" applyFill="0" applyBorder="0" applyProtection="0">
      <alignment horizontal="left"/>
    </xf>
    <xf numFmtId="254" fontId="7" fillId="42" borderId="0" applyFont="0" applyFill="0" applyBorder="0" applyAlignment="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0" fontId="146"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alignment horizontal="left"/>
    </xf>
    <xf numFmtId="0" fontId="148" fillId="0" borderId="0">
      <alignment horizontal="left"/>
    </xf>
    <xf numFmtId="0" fontId="149" fillId="0" borderId="0" applyFill="0" applyBorder="0" applyProtection="0">
      <alignment horizontal="left"/>
    </xf>
    <xf numFmtId="0" fontId="149" fillId="0" borderId="0" applyNumberFormat="0" applyFill="0" applyBorder="0" applyProtection="0">
      <alignment horizontal="left"/>
    </xf>
    <xf numFmtId="0" fontId="149" fillId="0" borderId="0" applyFill="0" applyBorder="0" applyProtection="0">
      <alignment vertical="center"/>
    </xf>
    <xf numFmtId="0" fontId="150" fillId="27" borderId="0" applyNumberFormat="0" applyBorder="0" applyAlignment="0" applyProtection="0"/>
    <xf numFmtId="38" fontId="7" fillId="0" borderId="0" applyProtection="0"/>
    <xf numFmtId="38" fontId="23" fillId="41" borderId="0" applyNumberFormat="0" applyBorder="0" applyAlignment="0" applyProtection="0"/>
    <xf numFmtId="38" fontId="55" fillId="0" borderId="45"/>
    <xf numFmtId="255" fontId="116" fillId="0" borderId="0" applyFont="0" applyFill="0" applyBorder="0" applyAlignment="0" applyProtection="0">
      <alignment horizontal="right"/>
    </xf>
    <xf numFmtId="0" fontId="151" fillId="0" borderId="0">
      <alignment horizontal="left"/>
    </xf>
    <xf numFmtId="0" fontId="152" fillId="0" borderId="0" applyNumberFormat="0" applyFill="0" applyBorder="0" applyAlignment="0" applyProtection="0"/>
    <xf numFmtId="0" fontId="151" fillId="0" borderId="0">
      <alignment horizontal="left"/>
    </xf>
    <xf numFmtId="0" fontId="151" fillId="0" borderId="0">
      <alignment horizontal="left"/>
    </xf>
    <xf numFmtId="0" fontId="151" fillId="0" borderId="0">
      <alignment horizontal="left"/>
    </xf>
    <xf numFmtId="0" fontId="151" fillId="0" borderId="0">
      <alignment horizontal="left"/>
    </xf>
    <xf numFmtId="0" fontId="151" fillId="0" borderId="0">
      <alignment horizontal="left"/>
    </xf>
    <xf numFmtId="0" fontId="151" fillId="0" borderId="0">
      <alignment horizontal="left"/>
    </xf>
    <xf numFmtId="0" fontId="153" fillId="0" borderId="0">
      <alignment horizontal="left"/>
    </xf>
    <xf numFmtId="256" fontId="111" fillId="42" borderId="27"/>
    <xf numFmtId="256" fontId="111" fillId="0" borderId="8"/>
    <xf numFmtId="0" fontId="154" fillId="0" borderId="0">
      <alignment horizontal="right"/>
    </xf>
    <xf numFmtId="0" fontId="21" fillId="0" borderId="51" applyNumberFormat="0" applyAlignment="0" applyProtection="0">
      <alignment horizontal="left" vertical="center"/>
    </xf>
    <xf numFmtId="0" fontId="21" fillId="0" borderId="51" applyNumberFormat="0" applyAlignment="0" applyProtection="0">
      <alignment horizontal="left" vertical="center"/>
    </xf>
    <xf numFmtId="0" fontId="21" fillId="0" borderId="27">
      <alignment horizontal="left" vertical="center"/>
    </xf>
    <xf numFmtId="0" fontId="21" fillId="0" borderId="27">
      <alignment horizontal="left" vertical="center"/>
    </xf>
    <xf numFmtId="14" fontId="8" fillId="46" borderId="12">
      <alignment horizontal="center" vertical="center" wrapText="1"/>
    </xf>
    <xf numFmtId="0" fontId="155" fillId="0" borderId="52" applyNumberFormat="0" applyFill="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lignment horizontal="left"/>
    </xf>
    <xf numFmtId="0" fontId="158" fillId="0" borderId="9">
      <alignment horizontal="left" vertical="top"/>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202" fontId="160" fillId="0" borderId="0" applyNumberFormat="0" applyFill="0" applyBorder="0" applyAlignment="0" applyProtection="0">
      <protection locked="0"/>
    </xf>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0" borderId="0">
      <alignment horizontal="left"/>
    </xf>
    <xf numFmtId="0" fontId="163" fillId="0" borderId="9">
      <alignment horizontal="left" vertical="top"/>
    </xf>
    <xf numFmtId="202" fontId="164" fillId="0" borderId="0" applyNumberFormat="0" applyFill="0" applyBorder="0" applyAlignment="0" applyProtection="0">
      <protection locked="0"/>
    </xf>
    <xf numFmtId="0" fontId="165" fillId="0" borderId="0">
      <alignment horizontal="left"/>
    </xf>
    <xf numFmtId="0" fontId="166" fillId="0" borderId="0" applyNumberFormat="0" applyFill="0" applyBorder="0" applyAlignment="0" applyProtection="0"/>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0" fontId="159" fillId="47" borderId="22" applyNumberFormat="0">
      <alignment horizontal="center" vertical="center"/>
    </xf>
    <xf numFmtId="179" fontId="23" fillId="0" borderId="8">
      <alignment horizontal="right" vertical="center"/>
    </xf>
    <xf numFmtId="0" fontId="8" fillId="0" borderId="0" applyFill="0" applyAlignment="0" applyProtection="0">
      <protection locked="0"/>
    </xf>
    <xf numFmtId="0" fontId="167" fillId="0" borderId="8" applyFill="0" applyAlignment="0" applyProtection="0">
      <protection locked="0"/>
    </xf>
    <xf numFmtId="0" fontId="168" fillId="0" borderId="0" applyProtection="0"/>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0" fontId="21" fillId="0" borderId="0" applyProtection="0"/>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38" fontId="170" fillId="0" borderId="0" applyNumberFormat="0" applyFill="0" applyBorder="0" applyProtection="0">
      <alignment horizontal="center"/>
    </xf>
    <xf numFmtId="0" fontId="169" fillId="0" borderId="12">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71" fillId="45" borderId="53" applyBorder="0">
      <alignment horizontal="center"/>
    </xf>
    <xf numFmtId="0" fontId="172" fillId="0" borderId="54" applyNumberFormat="0" applyFill="0" applyAlignment="0" applyProtection="0"/>
    <xf numFmtId="0" fontId="172" fillId="0" borderId="54" applyNumberFormat="0" applyFill="0" applyAlignment="0" applyProtection="0"/>
    <xf numFmtId="0" fontId="104" fillId="0" borderId="0"/>
    <xf numFmtId="0" fontId="173" fillId="0" borderId="0" applyNumberFormat="0" applyFill="0" applyBorder="0" applyAlignment="0" applyProtection="0">
      <alignment vertical="top"/>
      <protection locked="0"/>
    </xf>
    <xf numFmtId="172" fontId="174" fillId="0" borderId="0" applyNumberFormat="0" applyAlignment="0">
      <alignment horizontal="left"/>
    </xf>
    <xf numFmtId="0" fontId="174" fillId="0" borderId="0" applyNumberFormat="0" applyAlignment="0">
      <alignment horizontal="left"/>
    </xf>
    <xf numFmtId="10" fontId="23" fillId="42" borderId="22" applyNumberFormat="0" applyBorder="0" applyAlignment="0" applyProtection="0"/>
    <xf numFmtId="223" fontId="175" fillId="0" borderId="0" applyFill="0" applyBorder="0" applyProtection="0">
      <alignment horizontal="right"/>
    </xf>
    <xf numFmtId="0" fontId="176" fillId="29" borderId="36" applyNumberFormat="0" applyAlignment="0" applyProtection="0"/>
    <xf numFmtId="40" fontId="172" fillId="0" borderId="0" applyNumberFormat="0" applyFill="0" applyBorder="0" applyAlignment="0" applyProtection="0"/>
    <xf numFmtId="179" fontId="89" fillId="38" borderId="0"/>
    <xf numFmtId="179" fontId="177" fillId="38" borderId="0"/>
    <xf numFmtId="179" fontId="177" fillId="38" borderId="0"/>
    <xf numFmtId="179" fontId="89" fillId="38" borderId="0"/>
    <xf numFmtId="179" fontId="177" fillId="38" borderId="0"/>
    <xf numFmtId="179" fontId="177" fillId="38" borderId="0"/>
    <xf numFmtId="179" fontId="177" fillId="38" borderId="0"/>
    <xf numFmtId="179" fontId="177" fillId="38" borderId="0"/>
    <xf numFmtId="179" fontId="177" fillId="38" borderId="0"/>
    <xf numFmtId="179" fontId="177" fillId="38" borderId="0"/>
    <xf numFmtId="179" fontId="177" fillId="38" borderId="0"/>
    <xf numFmtId="258" fontId="175" fillId="0" borderId="0" applyFill="0" applyBorder="0" applyProtection="0">
      <alignment horizontal="right"/>
    </xf>
    <xf numFmtId="259" fontId="175" fillId="0" borderId="0" applyFill="0" applyBorder="0" applyProtection="0">
      <alignment horizontal="right"/>
    </xf>
    <xf numFmtId="260" fontId="175" fillId="0" borderId="0" applyFill="0" applyBorder="0" applyProtection="0">
      <alignment horizontal="right"/>
    </xf>
    <xf numFmtId="8" fontId="23" fillId="42" borderId="0" applyFont="0" applyBorder="0" applyAlignment="0" applyProtection="0">
      <protection locked="0"/>
    </xf>
    <xf numFmtId="245" fontId="23" fillId="42" borderId="0" applyFont="0" applyBorder="0" applyAlignment="0" applyProtection="0">
      <protection locked="0"/>
    </xf>
    <xf numFmtId="254" fontId="23" fillId="42" borderId="0" applyFont="0" applyBorder="0" applyAlignment="0">
      <protection locked="0"/>
    </xf>
    <xf numFmtId="261" fontId="175" fillId="0" borderId="0" applyFill="0" applyBorder="0" applyProtection="0">
      <alignment horizontal="right"/>
    </xf>
    <xf numFmtId="262" fontId="175" fillId="0" borderId="0" applyFill="0" applyBorder="0" applyProtection="0"/>
    <xf numFmtId="38" fontId="132" fillId="42" borderId="0">
      <protection locked="0"/>
    </xf>
    <xf numFmtId="256" fontId="23" fillId="42" borderId="0" applyBorder="0"/>
    <xf numFmtId="256" fontId="132" fillId="42" borderId="0">
      <protection locked="0"/>
    </xf>
    <xf numFmtId="263" fontId="175" fillId="0" borderId="0" applyFill="0" applyBorder="0" applyProtection="0">
      <alignment horizontal="right"/>
    </xf>
    <xf numFmtId="10" fontId="23" fillId="42" borderId="0">
      <protection locked="0"/>
    </xf>
    <xf numFmtId="264" fontId="23" fillId="42" borderId="0" applyBorder="0"/>
    <xf numFmtId="264" fontId="132" fillId="42" borderId="0" applyBorder="0" applyAlignment="0">
      <protection locked="0"/>
    </xf>
    <xf numFmtId="256" fontId="178" fillId="42" borderId="0" applyNumberFormat="0" applyBorder="0" applyAlignment="0">
      <protection locked="0"/>
    </xf>
    <xf numFmtId="256" fontId="23" fillId="42" borderId="0" applyNumberFormat="0" applyBorder="0" applyAlignment="0"/>
    <xf numFmtId="265" fontId="175" fillId="0" borderId="0" applyFill="0" applyBorder="0" applyProtection="0">
      <alignment horizontal="right"/>
    </xf>
    <xf numFmtId="265" fontId="7" fillId="0" borderId="0" applyFill="0" applyBorder="0" applyProtection="0">
      <alignment vertical="center"/>
    </xf>
    <xf numFmtId="241" fontId="7" fillId="0" borderId="0" applyFill="0" applyBorder="0" applyProtection="0">
      <alignment vertical="center"/>
    </xf>
    <xf numFmtId="266" fontId="179" fillId="0" borderId="0" applyFont="0" applyFill="0" applyBorder="0" applyAlignment="0">
      <protection locked="0"/>
    </xf>
    <xf numFmtId="267" fontId="7" fillId="0" borderId="0" applyFont="0" applyFill="0" applyBorder="0" applyAlignment="0">
      <protection locked="0"/>
    </xf>
    <xf numFmtId="268" fontId="7" fillId="0" borderId="0" applyFill="0" applyBorder="0" applyProtection="0">
      <alignment vertical="center"/>
    </xf>
    <xf numFmtId="269" fontId="7" fillId="0" borderId="0" applyFill="0" applyBorder="0" applyProtection="0">
      <alignment vertical="center"/>
    </xf>
    <xf numFmtId="270" fontId="7" fillId="0" borderId="8" applyFill="0"/>
    <xf numFmtId="271" fontId="7" fillId="0" borderId="0" applyFont="0" applyFill="0" applyBorder="0" applyProtection="0">
      <alignment horizontal="right"/>
    </xf>
    <xf numFmtId="3" fontId="7" fillId="0" borderId="0" applyFont="0" applyFill="0" applyBorder="0" applyProtection="0">
      <alignment horizontal="right"/>
    </xf>
    <xf numFmtId="38" fontId="180" fillId="48" borderId="0" applyNumberFormat="0" applyBorder="0" applyAlignment="0" applyProtection="0">
      <alignment horizontal="center"/>
    </xf>
    <xf numFmtId="38" fontId="112" fillId="48" borderId="0" applyBorder="0" applyProtection="0">
      <alignment horizontal="center"/>
    </xf>
    <xf numFmtId="179" fontId="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0" fillId="0" borderId="0"/>
    <xf numFmtId="0" fontId="181" fillId="0" borderId="0" applyNumberFormat="0" applyFill="0" applyBorder="0" applyAlignment="0" applyProtection="0">
      <alignment horizontal="centerContinuous"/>
    </xf>
    <xf numFmtId="272" fontId="7" fillId="0" borderId="0" applyFont="0" applyFill="0" applyBorder="0" applyAlignment="0" applyProtection="0"/>
    <xf numFmtId="0" fontId="72" fillId="0" borderId="0"/>
    <xf numFmtId="0" fontId="112" fillId="40" borderId="0">
      <alignment horizontal="left"/>
    </xf>
    <xf numFmtId="0" fontId="112" fillId="40" borderId="0">
      <alignment horizontal="left"/>
    </xf>
    <xf numFmtId="0" fontId="182" fillId="13" borderId="0">
      <alignment horizontal="left"/>
    </xf>
    <xf numFmtId="0" fontId="182" fillId="13" borderId="0">
      <alignment horizontal="left"/>
    </xf>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92" fontId="51" fillId="0" borderId="0" applyFill="0" applyBorder="0" applyAlignment="0"/>
    <xf numFmtId="213" fontId="104" fillId="0" borderId="0" applyFill="0" applyBorder="0" applyAlignment="0"/>
    <xf numFmtId="213" fontId="104" fillId="0" borderId="0" applyFill="0" applyBorder="0" applyAlignment="0"/>
    <xf numFmtId="0" fontId="7"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0" fontId="183" fillId="0" borderId="55" applyNumberFormat="0" applyFill="0" applyAlignment="0" applyProtection="0"/>
    <xf numFmtId="179" fontId="184" fillId="40" borderId="0"/>
    <xf numFmtId="179" fontId="185" fillId="40" borderId="0"/>
    <xf numFmtId="179" fontId="185" fillId="40" borderId="0"/>
    <xf numFmtId="179" fontId="184" fillId="40" borderId="0"/>
    <xf numFmtId="179" fontId="185" fillId="40" borderId="0"/>
    <xf numFmtId="179" fontId="185" fillId="40" borderId="0"/>
    <xf numFmtId="179" fontId="185" fillId="40" borderId="0"/>
    <xf numFmtId="179" fontId="185" fillId="40" borderId="0"/>
    <xf numFmtId="179" fontId="185" fillId="40" borderId="0"/>
    <xf numFmtId="179" fontId="185" fillId="40" borderId="0"/>
    <xf numFmtId="179" fontId="185" fillId="40" borderId="0"/>
    <xf numFmtId="0" fontId="186" fillId="0" borderId="0" applyNumberFormat="0" applyFont="0" applyBorder="0" applyAlignment="0" applyProtection="0"/>
    <xf numFmtId="0" fontId="23" fillId="49" borderId="56" applyBorder="0">
      <alignment horizontal="left"/>
    </xf>
    <xf numFmtId="214" fontId="7" fillId="0" borderId="0" applyFont="0" applyFill="0" applyBorder="0" applyAlignment="0" applyProtection="0"/>
    <xf numFmtId="43" fontId="7" fillId="0" borderId="0" applyFont="0" applyFill="0" applyBorder="0" applyAlignment="0" applyProtection="0"/>
    <xf numFmtId="273" fontId="7" fillId="0" borderId="0" applyFont="0" applyFill="0" applyBorder="0" applyAlignment="0" applyProtection="0"/>
    <xf numFmtId="274" fontId="106" fillId="0" borderId="0" applyFont="0" applyFill="0" applyBorder="0" applyAlignment="0" applyProtection="0"/>
    <xf numFmtId="275" fontId="7" fillId="0" borderId="0" applyFill="0" applyBorder="0" applyProtection="0"/>
    <xf numFmtId="276" fontId="7" fillId="0" borderId="0" applyFill="0" applyBorder="0" applyProtection="0"/>
    <xf numFmtId="0" fontId="187" fillId="0" borderId="12"/>
    <xf numFmtId="42" fontId="7" fillId="0" borderId="0" applyFont="0" applyFill="0" applyBorder="0" applyAlignment="0" applyProtection="0"/>
    <xf numFmtId="44" fontId="7" fillId="0" borderId="0" applyFont="0" applyFill="0" applyBorder="0" applyAlignment="0" applyProtection="0"/>
    <xf numFmtId="277" fontId="7" fillId="0" borderId="0" applyFont="0" applyFill="0" applyBorder="0" applyAlignment="0" applyProtection="0"/>
    <xf numFmtId="278" fontId="106" fillId="0" borderId="0" applyFont="0" applyFill="0" applyBorder="0" applyAlignment="0" applyProtection="0"/>
    <xf numFmtId="17" fontId="7" fillId="46" borderId="57" applyFill="0" applyBorder="0" applyProtection="0">
      <alignment horizontal="center"/>
    </xf>
    <xf numFmtId="279" fontId="23" fillId="45" borderId="0" applyFill="0" applyBorder="0" applyProtection="0">
      <alignment horizontal="center"/>
    </xf>
    <xf numFmtId="0" fontId="188" fillId="0" borderId="0" applyNumberFormat="0">
      <alignment horizontal="left"/>
    </xf>
    <xf numFmtId="280" fontId="18" fillId="0" borderId="0"/>
    <xf numFmtId="268" fontId="7" fillId="0" borderId="0" applyFill="0" applyBorder="0" applyProtection="0">
      <alignment vertical="center"/>
    </xf>
    <xf numFmtId="281" fontId="23" fillId="41" borderId="0" applyFont="0" applyBorder="0" applyAlignment="0" applyProtection="0">
      <alignment horizontal="right"/>
      <protection hidden="1"/>
    </xf>
    <xf numFmtId="0" fontId="189" fillId="11" borderId="0" applyNumberFormat="0" applyBorder="0" applyAlignment="0" applyProtection="0"/>
    <xf numFmtId="0" fontId="18" fillId="0" borderId="22">
      <alignment horizontal="left"/>
    </xf>
    <xf numFmtId="0" fontId="75" fillId="0" borderId="0"/>
    <xf numFmtId="0" fontId="18" fillId="0" borderId="22">
      <alignment horizontal="left"/>
    </xf>
    <xf numFmtId="0" fontId="190" fillId="0" borderId="0" applyNumberFormat="0" applyFill="0" applyBorder="0" applyAlignment="0" applyProtection="0"/>
    <xf numFmtId="37" fontId="120" fillId="0" borderId="0"/>
    <xf numFmtId="37" fontId="120" fillId="0" borderId="0"/>
    <xf numFmtId="37" fontId="120" fillId="0" borderId="0"/>
    <xf numFmtId="37" fontId="120" fillId="0" borderId="0"/>
    <xf numFmtId="37" fontId="120" fillId="0" borderId="0"/>
    <xf numFmtId="37" fontId="120" fillId="0" borderId="0"/>
    <xf numFmtId="37" fontId="120" fillId="0" borderId="0"/>
    <xf numFmtId="37" fontId="120" fillId="0" borderId="0"/>
    <xf numFmtId="282" fontId="191" fillId="0" borderId="0"/>
    <xf numFmtId="283" fontId="75" fillId="0" borderId="0"/>
    <xf numFmtId="38" fontId="23" fillId="0" borderId="0" applyFont="0" applyFill="0" applyBorder="0" applyAlignment="0"/>
    <xf numFmtId="256" fontId="7" fillId="0" borderId="0" applyFont="0" applyFill="0" applyBorder="0" applyAlignment="0"/>
    <xf numFmtId="40" fontId="23" fillId="0" borderId="0" applyFont="0" applyFill="0" applyBorder="0" applyAlignment="0"/>
    <xf numFmtId="284" fontId="23" fillId="0" borderId="0" applyFont="0" applyFill="0" applyBorder="0" applyAlignment="0"/>
    <xf numFmtId="0" fontId="7" fillId="0" borderId="0"/>
    <xf numFmtId="0" fontId="7" fillId="0" borderId="0"/>
    <xf numFmtId="0"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192"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5" fillId="0" borderId="0"/>
    <xf numFmtId="0" fontId="5" fillId="0" borderId="0"/>
    <xf numFmtId="0" fontId="5" fillId="0" borderId="0"/>
    <xf numFmtId="172" fontId="7" fillId="0" borderId="0"/>
    <xf numFmtId="0" fontId="7" fillId="0" borderId="0"/>
    <xf numFmtId="0" fontId="7" fillId="0" borderId="0"/>
    <xf numFmtId="0" fontId="4" fillId="0" borderId="0"/>
    <xf numFmtId="0" fontId="7" fillId="0" borderId="0"/>
    <xf numFmtId="0" fontId="7" fillId="0" borderId="0"/>
    <xf numFmtId="172" fontId="4" fillId="0" borderId="0"/>
    <xf numFmtId="172" fontId="4" fillId="0" borderId="0"/>
    <xf numFmtId="172" fontId="4" fillId="0" borderId="0"/>
    <xf numFmtId="0" fontId="7" fillId="0" borderId="0"/>
    <xf numFmtId="172" fontId="4" fillId="0" borderId="0"/>
    <xf numFmtId="0" fontId="82" fillId="0" borderId="0"/>
    <xf numFmtId="0" fontId="7" fillId="0" borderId="0"/>
    <xf numFmtId="172" fontId="4" fillId="0" borderId="0"/>
    <xf numFmtId="172" fontId="4" fillId="0" borderId="0"/>
    <xf numFmtId="172" fontId="4" fillId="0" borderId="0"/>
    <xf numFmtId="0" fontId="7" fillId="0" borderId="0"/>
    <xf numFmtId="0" fontId="7" fillId="0" borderId="0"/>
    <xf numFmtId="0" fontId="7" fillId="0" borderId="0"/>
    <xf numFmtId="0" fontId="4" fillId="0" borderId="0"/>
    <xf numFmtId="256" fontId="111" fillId="0" borderId="0" applyNumberForma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285" fontId="23" fillId="0" borderId="0" applyFont="0" applyFill="0" applyBorder="0" applyAlignment="0" applyProtection="0"/>
    <xf numFmtId="286" fontId="7" fillId="0" borderId="0" applyFont="0" applyFill="0" applyBorder="0" applyAlignment="0" applyProtection="0"/>
    <xf numFmtId="287" fontId="55"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59" fontId="7" fillId="0" borderId="0" applyFill="0" applyBorder="0" applyProtection="0">
      <alignment vertical="center"/>
    </xf>
    <xf numFmtId="0" fontId="162" fillId="0" borderId="0"/>
    <xf numFmtId="0" fontId="193" fillId="0" borderId="0" applyNumberFormat="0" applyFill="0" applyBorder="0" applyAlignment="0" applyProtection="0"/>
    <xf numFmtId="0" fontId="194" fillId="0" borderId="0" applyNumberFormat="0" applyFill="0" applyBorder="0" applyAlignment="0" applyProtection="0"/>
    <xf numFmtId="0" fontId="56" fillId="0" borderId="0" applyNumberFormat="0" applyFill="0" applyBorder="0" applyAlignment="0" applyProtection="0"/>
    <xf numFmtId="0" fontId="7" fillId="23" borderId="41" applyNumberFormat="0" applyFont="0" applyAlignment="0" applyProtection="0"/>
    <xf numFmtId="288" fontId="195" fillId="0" borderId="0">
      <alignment horizontal="right"/>
    </xf>
    <xf numFmtId="289" fontId="195" fillId="0" borderId="0">
      <alignment horizontal="right"/>
    </xf>
    <xf numFmtId="3" fontId="18" fillId="0" borderId="23" applyBorder="0"/>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90" fontId="7" fillId="0" borderId="0" applyFont="0" applyFill="0" applyBorder="0" applyProtection="0">
      <alignment horizontal="center"/>
    </xf>
    <xf numFmtId="290" fontId="7" fillId="0" borderId="0" applyFont="0" applyFill="0" applyBorder="0" applyProtection="0">
      <alignment horizontal="center"/>
    </xf>
    <xf numFmtId="290" fontId="7" fillId="0" borderId="0" applyFont="0" applyFill="0" applyBorder="0" applyProtection="0">
      <alignment horizontal="center"/>
    </xf>
    <xf numFmtId="290" fontId="7" fillId="0" borderId="0" applyFont="0" applyFill="0" applyBorder="0" applyProtection="0">
      <alignment horizontal="center"/>
    </xf>
    <xf numFmtId="291" fontId="7" fillId="0" borderId="0" applyFont="0" applyFill="0" applyBorder="0" applyProtection="0">
      <alignment horizontal="center"/>
    </xf>
    <xf numFmtId="291" fontId="7" fillId="0" borderId="0" applyFont="0" applyFill="0" applyBorder="0" applyProtection="0">
      <alignment horizontal="center"/>
    </xf>
    <xf numFmtId="291" fontId="7" fillId="0" borderId="0" applyFont="0" applyFill="0" applyBorder="0" applyProtection="0">
      <alignment horizontal="center"/>
    </xf>
    <xf numFmtId="291" fontId="7" fillId="0" borderId="0" applyFont="0" applyFill="0" applyBorder="0" applyProtection="0">
      <alignment horizontal="center"/>
    </xf>
    <xf numFmtId="40" fontId="196" fillId="0" borderId="0">
      <alignment horizontal="right"/>
    </xf>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5" fontId="76" fillId="0" borderId="0" applyNumberFormat="0" applyFill="0" applyBorder="0" applyAlignment="0" applyProtection="0"/>
    <xf numFmtId="0" fontId="111" fillId="0" borderId="0" applyNumberFormat="0" applyFill="0" applyBorder="0" applyAlignment="0" applyProtection="0"/>
    <xf numFmtId="173" fontId="23" fillId="0" borderId="0" applyNumberFormat="0" applyFill="0" applyBorder="0" applyAlignment="0" applyProtection="0"/>
    <xf numFmtId="40" fontId="197" fillId="0" borderId="0" applyFont="0" applyFill="0" applyBorder="0" applyAlignment="0" applyProtection="0"/>
    <xf numFmtId="38" fontId="197" fillId="0" borderId="0" applyFont="0" applyFill="0" applyBorder="0" applyAlignment="0" applyProtection="0"/>
    <xf numFmtId="172" fontId="198" fillId="0" borderId="0" applyNumberFormat="0" applyFill="0" applyBorder="0" applyAlignment="0" applyProtection="0"/>
    <xf numFmtId="172" fontId="198" fillId="0" borderId="0" applyNumberFormat="0" applyFill="0" applyBorder="0" applyAlignment="0" applyProtection="0"/>
    <xf numFmtId="0" fontId="199" fillId="24" borderId="37" applyNumberFormat="0" applyAlignment="0" applyProtection="0"/>
    <xf numFmtId="40" fontId="200" fillId="3" borderId="0">
      <alignment horizontal="right"/>
    </xf>
    <xf numFmtId="0" fontId="201" fillId="3" borderId="0">
      <alignment horizontal="right"/>
    </xf>
    <xf numFmtId="0" fontId="202" fillId="41" borderId="0">
      <alignment horizontal="right"/>
    </xf>
    <xf numFmtId="0" fontId="203" fillId="3" borderId="13"/>
    <xf numFmtId="0" fontId="112" fillId="50" borderId="13"/>
    <xf numFmtId="0" fontId="203" fillId="0" borderId="0" applyBorder="0">
      <alignment horizontal="centerContinuous"/>
    </xf>
    <xf numFmtId="0" fontId="62" fillId="0" borderId="0" applyBorder="0">
      <alignment horizontal="centerContinuous"/>
    </xf>
    <xf numFmtId="0" fontId="204" fillId="0" borderId="0" applyBorder="0">
      <alignment horizontal="centerContinuous"/>
    </xf>
    <xf numFmtId="0" fontId="205" fillId="0" borderId="0" applyBorder="0">
      <alignment horizontal="centerContinuous"/>
    </xf>
    <xf numFmtId="0" fontId="206" fillId="41" borderId="45" applyNumberFormat="0" applyFont="0" applyBorder="0" applyAlignment="0">
      <alignment horizontal="center"/>
      <protection locked="0"/>
    </xf>
    <xf numFmtId="1" fontId="207" fillId="0" borderId="0" applyProtection="0">
      <alignment horizontal="right" vertical="center"/>
    </xf>
    <xf numFmtId="0" fontId="208" fillId="0" borderId="0" applyNumberFormat="0" applyFill="0" applyBorder="0" applyAlignment="0" applyProtection="0"/>
    <xf numFmtId="0" fontId="209" fillId="40" borderId="0" applyNumberFormat="0">
      <alignment vertical="center"/>
    </xf>
    <xf numFmtId="0" fontId="7" fillId="51" borderId="56" applyNumberFormat="0" applyFont="0" applyBorder="0" applyAlignment="0">
      <alignment horizontal="centerContinuous"/>
      <protection locked="0"/>
    </xf>
    <xf numFmtId="0" fontId="111" fillId="52" borderId="0" applyNumberFormat="0" applyFont="0" applyBorder="0" applyAlignment="0">
      <alignment horizontal="centerContinuous"/>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0" fontId="51" fillId="0" borderId="0"/>
    <xf numFmtId="292" fontId="7" fillId="0" borderId="0" applyFont="0" applyFill="0" applyBorder="0" applyAlignment="0" applyProtection="0"/>
    <xf numFmtId="9" fontId="7" fillId="0" borderId="0" applyFill="0" applyBorder="0" applyProtection="0"/>
    <xf numFmtId="293" fontId="7" fillId="0" borderId="0" applyFont="0" applyFill="0" applyBorder="0" applyAlignment="0" applyProtection="0"/>
    <xf numFmtId="293" fontId="7" fillId="0" borderId="0" applyFont="0" applyFill="0" applyBorder="0" applyAlignment="0" applyProtection="0"/>
    <xf numFmtId="294" fontId="23" fillId="46" borderId="0" applyFill="0" applyBorder="0" applyProtection="0">
      <alignment horizontal="right"/>
    </xf>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166" fontId="7" fillId="0" borderId="0" applyFill="0" applyBorder="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6" fontId="7" fillId="0" borderId="0"/>
    <xf numFmtId="296" fontId="7" fillId="0" borderId="0"/>
    <xf numFmtId="296" fontId="7" fillId="0" borderId="0"/>
    <xf numFmtId="296" fontId="7" fillId="0" borderId="0"/>
    <xf numFmtId="297" fontId="7" fillId="0" borderId="0" applyFont="0" applyFill="0" applyBorder="0" applyAlignment="0" applyProtection="0"/>
    <xf numFmtId="298" fontId="7" fillId="0" borderId="0" applyFill="0" applyBorder="0" applyProtection="0"/>
    <xf numFmtId="297" fontId="7" fillId="0" borderId="0" applyFont="0" applyFill="0" applyBorder="0" applyAlignment="0" applyProtection="0"/>
    <xf numFmtId="297" fontId="7" fillId="0" borderId="0" applyFont="0" applyFill="0" applyBorder="0" applyAlignment="0" applyProtection="0"/>
    <xf numFmtId="210" fontId="106"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0" fontId="7"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99" fontId="210" fillId="0" borderId="0" applyFill="0" applyBorder="0">
      <alignment horizontal="right"/>
    </xf>
    <xf numFmtId="300" fontId="7" fillId="0" borderId="0" applyFont="0" applyFill="0" applyBorder="0" applyAlignment="0" applyProtection="0"/>
    <xf numFmtId="301" fontId="7"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303" fontId="7"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302" fontId="104" fillId="0" borderId="0" applyFont="0" applyFill="0" applyBorder="0" applyAlignment="0" applyProtection="0"/>
    <xf numFmtId="166" fontId="211"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304" fontId="7" fillId="0" borderId="0" applyFont="0" applyFill="0" applyBorder="0" applyAlignment="0" applyProtection="0"/>
    <xf numFmtId="305" fontId="55"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0" fillId="0" borderId="0" applyFont="0" applyFill="0" applyBorder="0" applyAlignment="0" applyProtection="0"/>
    <xf numFmtId="9" fontId="7" fillId="0" borderId="0" applyFont="0" applyFill="0" applyBorder="0" applyAlignment="0" applyProtection="0"/>
    <xf numFmtId="9" fontId="8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69" fontId="7" fillId="0" borderId="0" applyFill="0" applyBorder="0" applyProtection="0">
      <alignment vertical="center"/>
    </xf>
    <xf numFmtId="5" fontId="76" fillId="0" borderId="0"/>
    <xf numFmtId="306" fontId="23" fillId="0" borderId="0" applyFont="0" applyFill="0" applyBorder="0" applyAlignment="0" applyProtection="0"/>
    <xf numFmtId="0" fontId="212" fillId="13" borderId="36" applyNumberFormat="0" applyAlignment="0" applyProtection="0">
      <alignment vertical="center"/>
    </xf>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44" fontId="51" fillId="0" borderId="0" applyFill="0" applyBorder="0" applyAlignment="0"/>
    <xf numFmtId="212" fontId="104" fillId="0" borderId="0" applyFill="0" applyBorder="0" applyAlignment="0"/>
    <xf numFmtId="212" fontId="104" fillId="0" borderId="0" applyFill="0" applyBorder="0" applyAlignment="0"/>
    <xf numFmtId="0" fontId="105"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92" fontId="51" fillId="0" borderId="0" applyFill="0" applyBorder="0" applyAlignment="0"/>
    <xf numFmtId="213" fontId="104" fillId="0" borderId="0" applyFill="0" applyBorder="0" applyAlignment="0"/>
    <xf numFmtId="213" fontId="104" fillId="0" borderId="0" applyFill="0" applyBorder="0" applyAlignment="0"/>
    <xf numFmtId="0" fontId="7"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213" fontId="104" fillId="0" borderId="0" applyFill="0" applyBorder="0" applyAlignment="0"/>
    <xf numFmtId="179" fontId="51" fillId="0" borderId="0" applyFill="0" applyBorder="0" applyAlignment="0"/>
    <xf numFmtId="202" fontId="104" fillId="0" borderId="0" applyFill="0" applyBorder="0" applyAlignment="0"/>
    <xf numFmtId="202" fontId="104" fillId="0" borderId="0" applyFill="0" applyBorder="0" applyAlignment="0"/>
    <xf numFmtId="0" fontId="105"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202" fontId="104" fillId="0" borderId="0" applyFill="0" applyBorder="0" applyAlignment="0"/>
    <xf numFmtId="5" fontId="51" fillId="0" borderId="0">
      <alignment horizontal="right"/>
    </xf>
    <xf numFmtId="5" fontId="51" fillId="0" borderId="0">
      <alignment horizontal="right"/>
    </xf>
    <xf numFmtId="307" fontId="7" fillId="0" borderId="0"/>
    <xf numFmtId="203" fontId="213" fillId="0" borderId="0"/>
    <xf numFmtId="203" fontId="213" fillId="0" borderId="0"/>
    <xf numFmtId="203" fontId="214" fillId="0" borderId="0"/>
    <xf numFmtId="203" fontId="213" fillId="0" borderId="0"/>
    <xf numFmtId="203" fontId="213" fillId="0" borderId="0"/>
    <xf numFmtId="203" fontId="213" fillId="0" borderId="0"/>
    <xf numFmtId="203" fontId="213" fillId="0" borderId="0"/>
    <xf numFmtId="203" fontId="213" fillId="0" borderId="0"/>
    <xf numFmtId="203" fontId="213" fillId="0" borderId="0"/>
    <xf numFmtId="203" fontId="213" fillId="0" borderId="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0" fontId="72" fillId="53" borderId="0" applyNumberFormat="0" applyFont="0" applyBorder="0" applyAlignment="0" applyProtection="0"/>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179" fontId="75" fillId="0" borderId="0">
      <alignment vertical="top"/>
    </xf>
    <xf numFmtId="308" fontId="23" fillId="46" borderId="45" applyFill="0" applyBorder="0" applyProtection="0">
      <alignment horizontal="left"/>
    </xf>
    <xf numFmtId="256" fontId="215" fillId="0" borderId="0" applyNumberFormat="0" applyFill="0" applyBorder="0" applyAlignment="0" applyProtection="0">
      <alignment horizontal="left"/>
    </xf>
    <xf numFmtId="49" fontId="18" fillId="0" borderId="0">
      <alignment horizontal="right"/>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216" fillId="54" borderId="0" applyNumberFormat="0" applyFont="0" applyBorder="0" applyAlignment="0">
      <alignment horizontal="center"/>
    </xf>
    <xf numFmtId="0" fontId="182" fillId="11" borderId="0">
      <alignment horizontal="center"/>
    </xf>
    <xf numFmtId="0" fontId="182" fillId="11" borderId="0">
      <alignment horizontal="center"/>
    </xf>
    <xf numFmtId="49" fontId="217" fillId="13" borderId="0">
      <alignment horizontal="center"/>
    </xf>
    <xf numFmtId="273" fontId="218"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0" fontId="8" fillId="0" borderId="0" applyNumberFormat="0" applyFill="0" applyBorder="0" applyProtection="0">
      <alignment horizontal="center" vertical="top" wrapText="1"/>
    </xf>
    <xf numFmtId="0" fontId="8" fillId="0" borderId="0" applyFill="0" applyBorder="0" applyProtection="0">
      <alignment horizontal="center" vertical="top" wrapText="1"/>
    </xf>
    <xf numFmtId="0" fontId="113" fillId="40" borderId="0">
      <alignment horizontal="center"/>
    </xf>
    <xf numFmtId="0" fontId="113" fillId="40" borderId="0">
      <alignment horizontal="center"/>
    </xf>
    <xf numFmtId="0" fontId="113" fillId="40" borderId="0">
      <alignment horizontal="centerContinuous"/>
    </xf>
    <xf numFmtId="0" fontId="113" fillId="40" borderId="0">
      <alignment horizontal="centerContinuous"/>
    </xf>
    <xf numFmtId="0" fontId="219" fillId="13" borderId="0">
      <alignment horizontal="left"/>
    </xf>
    <xf numFmtId="0" fontId="219" fillId="13" borderId="0">
      <alignment horizontal="left"/>
    </xf>
    <xf numFmtId="49" fontId="219" fillId="13" borderId="0">
      <alignment horizontal="center"/>
    </xf>
    <xf numFmtId="0" fontId="112" fillId="40" borderId="0">
      <alignment horizontal="left"/>
    </xf>
    <xf numFmtId="0" fontId="112" fillId="40" borderId="0">
      <alignment horizontal="left"/>
    </xf>
    <xf numFmtId="49" fontId="219" fillId="13" borderId="0">
      <alignment horizontal="left"/>
    </xf>
    <xf numFmtId="0" fontId="112" fillId="40" borderId="0">
      <alignment horizontal="centerContinuous"/>
    </xf>
    <xf numFmtId="0" fontId="112" fillId="40" borderId="0">
      <alignment horizontal="centerContinuous"/>
    </xf>
    <xf numFmtId="0" fontId="112" fillId="40" borderId="0">
      <alignment horizontal="right"/>
    </xf>
    <xf numFmtId="0" fontId="112" fillId="40" borderId="0">
      <alignment horizontal="right"/>
    </xf>
    <xf numFmtId="49" fontId="182" fillId="13" borderId="0">
      <alignment horizontal="left"/>
    </xf>
    <xf numFmtId="0" fontId="113" fillId="40" borderId="0">
      <alignment horizontal="right"/>
    </xf>
    <xf numFmtId="0" fontId="113" fillId="40" borderId="0">
      <alignment horizontal="right"/>
    </xf>
    <xf numFmtId="172" fontId="198" fillId="0" borderId="0" applyNumberFormat="0" applyFill="0" applyBorder="0" applyAlignment="0" applyProtection="0"/>
    <xf numFmtId="0" fontId="7" fillId="0" borderId="0"/>
    <xf numFmtId="172" fontId="198" fillId="0" borderId="0" applyNumberFormat="0" applyFill="0" applyBorder="0" applyAlignment="0" applyProtection="0"/>
    <xf numFmtId="0" fontId="148" fillId="0" borderId="58">
      <alignment vertical="center"/>
    </xf>
    <xf numFmtId="0" fontId="219" fillId="29" borderId="0">
      <alignment horizontal="center"/>
    </xf>
    <xf numFmtId="0" fontId="219" fillId="29" borderId="0">
      <alignment horizontal="center"/>
    </xf>
    <xf numFmtId="0" fontId="132" fillId="29" borderId="0">
      <alignment horizontal="center"/>
    </xf>
    <xf numFmtId="0" fontId="132" fillId="29" borderId="0">
      <alignment horizontal="center"/>
    </xf>
    <xf numFmtId="4" fontId="51" fillId="0" borderId="0" applyFont="0" applyFill="0" applyBorder="0" applyAlignment="0" applyProtection="0"/>
    <xf numFmtId="38" fontId="55" fillId="24" borderId="0"/>
    <xf numFmtId="38" fontId="98" fillId="24" borderId="45"/>
    <xf numFmtId="38" fontId="55" fillId="24" borderId="45"/>
    <xf numFmtId="38" fontId="55" fillId="24" borderId="59"/>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5" fontId="91" fillId="55" borderId="0" applyNumberFormat="0" applyFont="0" applyBorder="0" applyAlignment="0" applyProtection="0"/>
    <xf numFmtId="310" fontId="23" fillId="46" borderId="60" applyFill="0" applyBorder="0" applyProtection="0">
      <alignment horizontal="center"/>
    </xf>
    <xf numFmtId="42" fontId="220" fillId="0" borderId="0" applyFill="0" applyBorder="0" applyAlignment="0" applyProtection="0"/>
    <xf numFmtId="41" fontId="221" fillId="0" borderId="0"/>
    <xf numFmtId="248" fontId="221" fillId="0" borderId="0"/>
    <xf numFmtId="3" fontId="23" fillId="0" borderId="0"/>
    <xf numFmtId="38" fontId="55" fillId="55" borderId="0"/>
    <xf numFmtId="38" fontId="55" fillId="55" borderId="45"/>
    <xf numFmtId="38" fontId="55" fillId="55" borderId="59"/>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1" fontId="75" fillId="0" borderId="0" applyBorder="0">
      <alignment horizontal="left" vertical="top" wrapText="1"/>
    </xf>
    <xf numFmtId="0" fontId="55" fillId="0" borderId="0"/>
    <xf numFmtId="0" fontId="7" fillId="0" borderId="0"/>
    <xf numFmtId="0" fontId="7" fillId="0" borderId="0"/>
    <xf numFmtId="1" fontId="4" fillId="56" borderId="22"/>
    <xf numFmtId="1" fontId="4" fillId="56" borderId="22"/>
    <xf numFmtId="0" fontId="7" fillId="0" borderId="0"/>
    <xf numFmtId="0" fontId="7" fillId="0" borderId="0"/>
    <xf numFmtId="0" fontId="7" fillId="0" borderId="0"/>
    <xf numFmtId="1" fontId="4" fillId="56" borderId="22"/>
    <xf numFmtId="1" fontId="4" fillId="56" borderId="22"/>
    <xf numFmtId="0" fontId="7" fillId="0" borderId="0"/>
    <xf numFmtId="0" fontId="7" fillId="0" borderId="0"/>
    <xf numFmtId="0" fontId="7" fillId="0" borderId="0"/>
    <xf numFmtId="1" fontId="4" fillId="56" borderId="22"/>
    <xf numFmtId="1" fontId="4" fillId="56" borderId="22"/>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42" borderId="27" applyNumberFormat="0" applyProtection="0">
      <alignment horizontal="center" vertical="center"/>
    </xf>
    <xf numFmtId="0" fontId="223" fillId="0" borderId="0" applyNumberFormat="0" applyFill="0" applyBorder="0" applyAlignment="0" applyProtection="0"/>
    <xf numFmtId="0" fontId="8" fillId="42" borderId="27" applyNumberFormat="0" applyProtection="0">
      <alignment horizontal="center" vertical="center"/>
    </xf>
    <xf numFmtId="0" fontId="8" fillId="57" borderId="0" applyNumberFormat="0" applyBorder="0" applyAlignment="0"/>
    <xf numFmtId="0" fontId="8" fillId="58" borderId="0" applyNumberFormat="0" applyBorder="0" applyAlignment="0"/>
    <xf numFmtId="0" fontId="7" fillId="0" borderId="0" applyNumberFormat="0" applyFont="0" applyFill="0" applyBorder="0" applyProtection="0">
      <alignment horizontal="left"/>
    </xf>
    <xf numFmtId="0" fontId="7" fillId="0" borderId="0" applyNumberFormat="0" applyFont="0" applyFill="0" applyBorder="0" applyProtection="0">
      <alignment horizontal="right"/>
    </xf>
    <xf numFmtId="0" fontId="7" fillId="0" borderId="0" applyNumberFormat="0" applyFont="0" applyFill="0" applyBorder="0" applyProtection="0">
      <alignment horizontal="right"/>
    </xf>
    <xf numFmtId="0" fontId="7" fillId="0" borderId="0" applyNumberFormat="0" applyFont="0" applyFill="0" applyBorder="0" applyProtection="0">
      <alignment horizontal="center"/>
    </xf>
    <xf numFmtId="0" fontId="7" fillId="0" borderId="0"/>
    <xf numFmtId="0" fontId="23" fillId="0" borderId="0" applyNumberFormat="0" applyFill="0" applyBorder="0" applyProtection="0">
      <alignment horizontal="left" vertical="top" wrapText="1"/>
    </xf>
    <xf numFmtId="0" fontId="111" fillId="0" borderId="0" applyNumberFormat="0" applyFill="0" applyBorder="0" applyProtection="0">
      <alignment horizontal="left" vertical="top" wrapText="1"/>
    </xf>
    <xf numFmtId="311" fontId="178" fillId="0" borderId="0" applyFill="0" applyBorder="0" applyProtection="0">
      <alignment horizontal="center" wrapText="1"/>
    </xf>
    <xf numFmtId="312" fontId="178" fillId="0" borderId="0" applyFill="0" applyBorder="0" applyProtection="0">
      <alignment horizontal="right" wrapText="1"/>
    </xf>
    <xf numFmtId="313" fontId="178" fillId="0" borderId="0" applyFill="0" applyBorder="0" applyProtection="0">
      <alignment horizontal="right" wrapText="1"/>
    </xf>
    <xf numFmtId="314" fontId="178" fillId="0" borderId="0" applyFill="0" applyBorder="0" applyProtection="0">
      <alignment horizontal="right" wrapText="1"/>
    </xf>
    <xf numFmtId="37" fontId="178" fillId="0" borderId="0" applyFill="0" applyBorder="0" applyProtection="0">
      <alignment horizontal="center" wrapText="1"/>
    </xf>
    <xf numFmtId="315" fontId="178" fillId="0" borderId="0" applyFill="0" applyBorder="0" applyProtection="0">
      <alignment horizontal="right"/>
    </xf>
    <xf numFmtId="316" fontId="178" fillId="0" borderId="0" applyFill="0" applyBorder="0" applyProtection="0">
      <alignment horizontal="right"/>
    </xf>
    <xf numFmtId="14" fontId="178" fillId="0" borderId="0" applyFill="0" applyBorder="0" applyProtection="0">
      <alignment horizontal="right"/>
    </xf>
    <xf numFmtId="172" fontId="7" fillId="0" borderId="0"/>
    <xf numFmtId="4" fontId="178" fillId="0" borderId="0" applyFill="0" applyBorder="0" applyProtection="0">
      <alignment wrapText="1"/>
    </xf>
    <xf numFmtId="0" fontId="111" fillId="0" borderId="61" applyNumberFormat="0" applyFill="0" applyProtection="0">
      <alignment wrapText="1"/>
    </xf>
    <xf numFmtId="0" fontId="8" fillId="0" borderId="0" applyNumberFormat="0" applyFill="0" applyBorder="0" applyProtection="0">
      <alignment wrapText="1"/>
    </xf>
    <xf numFmtId="0" fontId="111" fillId="0" borderId="61" applyNumberFormat="0" applyFill="0" applyProtection="0">
      <alignment horizontal="center" wrapText="1"/>
    </xf>
    <xf numFmtId="317" fontId="111" fillId="0" borderId="0" applyFill="0" applyBorder="0" applyProtection="0">
      <alignment horizontal="center" wrapText="1"/>
    </xf>
    <xf numFmtId="0" fontId="21" fillId="0" borderId="0" applyNumberFormat="0" applyFill="0" applyBorder="0" applyProtection="0">
      <alignment horizontal="justify" wrapText="1"/>
    </xf>
    <xf numFmtId="0" fontId="111" fillId="0" borderId="0" applyNumberFormat="0" applyFill="0" applyBorder="0" applyProtection="0">
      <alignment horizontal="centerContinuous" wrapText="1"/>
    </xf>
    <xf numFmtId="0" fontId="6"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0" fontId="6"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0" fontId="6" fillId="0" borderId="0" applyNumberFormat="0" applyBorder="0" applyAlignment="0"/>
    <xf numFmtId="4" fontId="7" fillId="0" borderId="0" applyProtection="0">
      <protection locked="0"/>
    </xf>
    <xf numFmtId="0" fontId="6" fillId="0" borderId="0" applyNumberFormat="0" applyBorder="0" applyAlignment="0"/>
    <xf numFmtId="0" fontId="6" fillId="0" borderId="0" applyNumberFormat="0" applyBorder="0" applyAlignment="0"/>
    <xf numFmtId="0" fontId="6"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182" fillId="0" borderId="0" applyNumberFormat="0" applyBorder="0" applyAlignment="0"/>
    <xf numFmtId="0" fontId="224" fillId="0" borderId="0" applyNumberFormat="0" applyBorder="0" applyAlignment="0"/>
    <xf numFmtId="0" fontId="202" fillId="0" borderId="0" applyNumberFormat="0" applyBorder="0" applyAlignment="0"/>
    <xf numFmtId="0" fontId="224" fillId="0" borderId="0" applyNumberFormat="0" applyBorder="0" applyAlignment="0"/>
    <xf numFmtId="0" fontId="187" fillId="0" borderId="0"/>
    <xf numFmtId="0" fontId="225" fillId="0" borderId="0"/>
    <xf numFmtId="0" fontId="225" fillId="0" borderId="0"/>
    <xf numFmtId="6" fontId="8" fillId="0" borderId="27" applyFill="0" applyProtection="0"/>
    <xf numFmtId="38" fontId="8" fillId="0" borderId="27" applyFill="0" applyProtection="0"/>
    <xf numFmtId="40" fontId="226"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0" fontId="227" fillId="0" borderId="0" applyBorder="0" applyProtection="0">
      <alignment vertical="center"/>
    </xf>
    <xf numFmtId="0" fontId="227" fillId="0" borderId="8" applyBorder="0" applyProtection="0">
      <alignment horizontal="right" vertical="center"/>
    </xf>
    <xf numFmtId="0" fontId="228" fillId="59" borderId="0" applyBorder="0" applyProtection="0">
      <alignment horizontal="centerContinuous" vertical="center"/>
    </xf>
    <xf numFmtId="0" fontId="228" fillId="48" borderId="8" applyBorder="0" applyProtection="0">
      <alignment horizontal="centerContinuous" vertical="center"/>
    </xf>
    <xf numFmtId="0" fontId="229" fillId="0" borderId="0" applyFill="0" applyBorder="0" applyProtection="0">
      <alignment horizontal="center" vertical="center"/>
    </xf>
    <xf numFmtId="3" fontId="167" fillId="0" borderId="0" applyNumberFormat="0"/>
    <xf numFmtId="0" fontId="149" fillId="0" borderId="0" applyNumberFormat="0" applyFill="0" applyBorder="0" applyProtection="0">
      <alignment horizontal="left"/>
    </xf>
    <xf numFmtId="0" fontId="162" fillId="0" borderId="0"/>
    <xf numFmtId="0" fontId="230" fillId="0" borderId="0" applyFill="0" applyBorder="0" applyProtection="0">
      <alignment horizontal="left"/>
    </xf>
    <xf numFmtId="0" fontId="149" fillId="0" borderId="9" applyFill="0" applyBorder="0" applyProtection="0">
      <alignment horizontal="left" vertical="top"/>
    </xf>
    <xf numFmtId="0" fontId="196" fillId="0" borderId="0">
      <alignment horizontal="centerContinuous"/>
    </xf>
    <xf numFmtId="0" fontId="231" fillId="0" borderId="0" applyNumberFormat="0" applyFill="0" applyBorder="0">
      <alignment horizontal="left"/>
    </xf>
    <xf numFmtId="179" fontId="231" fillId="0" borderId="0" applyNumberFormat="0" applyFill="0" applyBorder="0">
      <alignment horizontal="right"/>
    </xf>
    <xf numFmtId="0" fontId="232" fillId="0" borderId="0" applyNumberFormat="0" applyFill="0" applyBorder="0">
      <alignment horizontal="right"/>
    </xf>
    <xf numFmtId="318" fontId="233" fillId="0" borderId="0" applyBorder="0" applyProtection="0"/>
    <xf numFmtId="0" fontId="23" fillId="0" borderId="0" applyFill="0" applyBorder="0" applyProtection="0">
      <alignment horizontal="left"/>
    </xf>
    <xf numFmtId="0" fontId="234" fillId="0" borderId="0"/>
    <xf numFmtId="0" fontId="235" fillId="0" borderId="0" applyNumberFormat="0" applyFill="0" applyBorder="0" applyProtection="0"/>
    <xf numFmtId="0" fontId="236" fillId="0" borderId="0" applyFill="0" applyBorder="0" applyProtection="0"/>
    <xf numFmtId="0" fontId="237" fillId="0" borderId="0"/>
    <xf numFmtId="0" fontId="236" fillId="0" borderId="0" applyNumberFormat="0" applyFill="0" applyBorder="0" applyProtection="0"/>
    <xf numFmtId="0" fontId="235" fillId="0" borderId="0" applyNumberFormat="0" applyFill="0" applyBorder="0" applyProtection="0"/>
    <xf numFmtId="0" fontId="235" fillId="0" borderId="0"/>
    <xf numFmtId="49" fontId="6" fillId="0" borderId="0" applyFill="0" applyBorder="0" applyAlignment="0"/>
    <xf numFmtId="319" fontId="106" fillId="0" borderId="0" applyFill="0" applyBorder="0" applyAlignment="0"/>
    <xf numFmtId="320" fontId="104" fillId="0" borderId="0" applyFill="0" applyBorder="0" applyAlignment="0"/>
    <xf numFmtId="320" fontId="104" fillId="0" borderId="0" applyFill="0" applyBorder="0" applyAlignment="0"/>
    <xf numFmtId="0" fontId="124" fillId="0" borderId="0" applyFill="0" applyBorder="0" applyAlignment="0"/>
    <xf numFmtId="320" fontId="104" fillId="0" borderId="0" applyFill="0" applyBorder="0" applyAlignment="0"/>
    <xf numFmtId="320" fontId="104" fillId="0" borderId="0" applyFill="0" applyBorder="0" applyAlignment="0"/>
    <xf numFmtId="320" fontId="104" fillId="0" borderId="0" applyFill="0" applyBorder="0" applyAlignment="0"/>
    <xf numFmtId="320" fontId="104" fillId="0" borderId="0" applyFill="0" applyBorder="0" applyAlignment="0"/>
    <xf numFmtId="320" fontId="104" fillId="0" borderId="0" applyFill="0" applyBorder="0" applyAlignment="0"/>
    <xf numFmtId="320" fontId="104" fillId="0" borderId="0" applyFill="0" applyBorder="0" applyAlignment="0"/>
    <xf numFmtId="320" fontId="104" fillId="0" borderId="0" applyFill="0" applyBorder="0" applyAlignment="0"/>
    <xf numFmtId="321" fontId="106" fillId="0" borderId="0" applyFill="0" applyBorder="0" applyAlignment="0"/>
    <xf numFmtId="322" fontId="104" fillId="0" borderId="0" applyFill="0" applyBorder="0" applyAlignment="0"/>
    <xf numFmtId="322" fontId="104" fillId="0" borderId="0" applyFill="0" applyBorder="0" applyAlignment="0"/>
    <xf numFmtId="0" fontId="7" fillId="0" borderId="0" applyFill="0" applyBorder="0" applyAlignment="0"/>
    <xf numFmtId="322" fontId="104" fillId="0" borderId="0" applyFill="0" applyBorder="0" applyAlignment="0"/>
    <xf numFmtId="322" fontId="104" fillId="0" borderId="0" applyFill="0" applyBorder="0" applyAlignment="0"/>
    <xf numFmtId="322" fontId="104" fillId="0" borderId="0" applyFill="0" applyBorder="0" applyAlignment="0"/>
    <xf numFmtId="322" fontId="104" fillId="0" borderId="0" applyFill="0" applyBorder="0" applyAlignment="0"/>
    <xf numFmtId="322" fontId="104" fillId="0" borderId="0" applyFill="0" applyBorder="0" applyAlignment="0"/>
    <xf numFmtId="322" fontId="104" fillId="0" borderId="0" applyFill="0" applyBorder="0" applyAlignment="0"/>
    <xf numFmtId="322" fontId="104" fillId="0" borderId="0" applyFill="0" applyBorder="0" applyAlignment="0"/>
    <xf numFmtId="0" fontId="72" fillId="0" borderId="0"/>
    <xf numFmtId="172" fontId="198" fillId="0" borderId="0" applyNumberFormat="0" applyFill="0" applyBorder="0" applyAlignment="0" applyProtection="0"/>
    <xf numFmtId="172" fontId="198" fillId="0" borderId="0" applyNumberFormat="0" applyFill="0" applyBorder="0" applyAlignment="0" applyProtection="0"/>
    <xf numFmtId="0" fontId="238" fillId="0" borderId="0" applyFill="0" applyBorder="0" applyProtection="0">
      <alignment horizontal="left" vertical="top"/>
    </xf>
    <xf numFmtId="0" fontId="75" fillId="0" borderId="0" applyNumberFormat="0" applyFill="0" applyBorder="0" applyAlignment="0" applyProtection="0"/>
    <xf numFmtId="0" fontId="53" fillId="0" borderId="0" applyNumberFormat="0" applyFill="0" applyBorder="0" applyAlignment="0" applyProtection="0"/>
    <xf numFmtId="202" fontId="239" fillId="0" borderId="0"/>
    <xf numFmtId="0" fontId="240" fillId="0" borderId="0" applyNumberFormat="0" applyFill="0" applyBorder="0" applyAlignment="0" applyProtection="0"/>
    <xf numFmtId="0" fontId="241" fillId="0" borderId="0" applyNumberFormat="0" applyFill="0" applyBorder="0" applyAlignment="0" applyProtection="0"/>
    <xf numFmtId="256" fontId="167" fillId="0" borderId="0"/>
    <xf numFmtId="3" fontId="242" fillId="0" borderId="0"/>
    <xf numFmtId="256" fontId="243" fillId="0" borderId="12" applyNumberFormat="0" applyBorder="0">
      <alignment vertical="center"/>
    </xf>
    <xf numFmtId="256" fontId="244" fillId="0" borderId="10" applyNumberFormat="0" applyBorder="0"/>
    <xf numFmtId="0" fontId="167" fillId="0" borderId="0" applyNumberFormat="0" applyFill="0" applyBorder="0" applyAlignment="0" applyProtection="0"/>
    <xf numFmtId="0" fontId="236" fillId="0" borderId="0"/>
    <xf numFmtId="0" fontId="235" fillId="0" borderId="0"/>
    <xf numFmtId="0" fontId="167" fillId="0" borderId="27">
      <alignment horizontal="center" wrapText="1"/>
    </xf>
    <xf numFmtId="6" fontId="95" fillId="0" borderId="62" applyNumberFormat="0" applyFont="0" applyFill="0" applyAlignment="0" applyProtection="0"/>
    <xf numFmtId="37" fontId="172" fillId="0" borderId="23" applyNumberFormat="0" applyFont="0" applyFill="0" applyAlignment="0"/>
    <xf numFmtId="0" fontId="245" fillId="0" borderId="63" applyNumberForma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258" fontId="247" fillId="0" borderId="0" applyFill="0" applyBorder="0" applyProtection="0"/>
    <xf numFmtId="256" fontId="111" fillId="0" borderId="23"/>
    <xf numFmtId="256" fontId="111" fillId="0" borderId="0"/>
    <xf numFmtId="256" fontId="23" fillId="0" borderId="23"/>
    <xf numFmtId="323" fontId="247" fillId="0" borderId="0" applyFill="0" applyBorder="0" applyProtection="0"/>
    <xf numFmtId="38" fontId="7" fillId="0" borderId="62"/>
    <xf numFmtId="3" fontId="167" fillId="0" borderId="8" applyNumberFormat="0"/>
    <xf numFmtId="0" fontId="89" fillId="0" borderId="65"/>
    <xf numFmtId="265" fontId="7" fillId="0" borderId="49" applyFill="0" applyBorder="0" applyProtection="0">
      <alignment vertical="center"/>
    </xf>
    <xf numFmtId="0" fontId="75" fillId="51" borderId="0" applyNumberFormat="0" applyFont="0" applyBorder="0" applyAlignment="0"/>
    <xf numFmtId="202" fontId="248" fillId="0" borderId="0">
      <alignment horizontal="left"/>
      <protection locked="0"/>
    </xf>
    <xf numFmtId="0" fontId="249" fillId="0" borderId="0"/>
    <xf numFmtId="0" fontId="250" fillId="0" borderId="0">
      <alignment horizontal="fill"/>
    </xf>
    <xf numFmtId="37" fontId="251" fillId="60" borderId="0"/>
    <xf numFmtId="37" fontId="252" fillId="41" borderId="0"/>
    <xf numFmtId="0" fontId="253" fillId="13" borderId="0">
      <alignment horizontal="center"/>
    </xf>
    <xf numFmtId="0" fontId="253" fillId="13" borderId="0">
      <alignment horizontal="center"/>
    </xf>
    <xf numFmtId="324" fontId="23" fillId="43" borderId="66" applyFill="0" applyBorder="0" applyAlignment="0" applyProtection="0">
      <alignment horizontal="right"/>
      <protection locked="0"/>
    </xf>
    <xf numFmtId="325" fontId="60" fillId="0" borderId="13" applyBorder="0" applyAlignment="0">
      <alignment horizontal="center"/>
    </xf>
    <xf numFmtId="326" fontId="7" fillId="0" borderId="0" applyFont="0" applyFill="0" applyBorder="0" applyAlignment="0" applyProtection="0"/>
    <xf numFmtId="327" fontId="7" fillId="0" borderId="0" applyFont="0" applyFill="0" applyBorder="0" applyAlignment="0" applyProtection="0"/>
    <xf numFmtId="0" fontId="254" fillId="0" borderId="0" applyNumberFormat="0" applyFill="0" applyBorder="0" applyAlignment="0" applyProtection="0"/>
    <xf numFmtId="328" fontId="7" fillId="0" borderId="0"/>
    <xf numFmtId="37" fontId="181" fillId="0" borderId="0"/>
    <xf numFmtId="0" fontId="7" fillId="0" borderId="0">
      <alignment wrapText="1"/>
    </xf>
    <xf numFmtId="282" fontId="18" fillId="0" borderId="0"/>
    <xf numFmtId="329" fontId="75" fillId="0" borderId="0"/>
    <xf numFmtId="330" fontId="225" fillId="0" borderId="8" applyBorder="0" applyProtection="0">
      <alignment horizontal="right"/>
    </xf>
    <xf numFmtId="331" fontId="101" fillId="0" borderId="0" applyFont="0" applyFill="0" applyBorder="0" applyAlignment="0" applyProtection="0"/>
    <xf numFmtId="0" fontId="255" fillId="0" borderId="0" applyNumberFormat="0" applyFill="0" applyBorder="0" applyAlignment="0" applyProtection="0">
      <alignment vertical="top"/>
      <protection locked="0"/>
    </xf>
    <xf numFmtId="0" fontId="256" fillId="0" borderId="0"/>
    <xf numFmtId="0" fontId="257" fillId="0" borderId="0" applyNumberFormat="0" applyFill="0" applyBorder="0" applyAlignment="0" applyProtection="0">
      <alignment vertical="top"/>
      <protection locked="0"/>
    </xf>
    <xf numFmtId="0" fontId="7" fillId="0" borderId="0"/>
    <xf numFmtId="0" fontId="258" fillId="0" borderId="0"/>
    <xf numFmtId="0" fontId="259" fillId="11" borderId="0" applyNumberFormat="0" applyBorder="0" applyAlignment="0" applyProtection="0">
      <alignment vertical="center"/>
    </xf>
    <xf numFmtId="0" fontId="83" fillId="23" borderId="41" applyNumberFormat="0" applyFont="0" applyAlignment="0" applyProtection="0">
      <alignment vertical="center"/>
    </xf>
    <xf numFmtId="193" fontId="260" fillId="0" borderId="0" applyFont="0" applyFill="0" applyBorder="0" applyAlignment="0" applyProtection="0"/>
    <xf numFmtId="332" fontId="261" fillId="0" borderId="0" applyFont="0" applyFill="0" applyBorder="0" applyAlignment="0" applyProtection="0"/>
    <xf numFmtId="272" fontId="261" fillId="0" borderId="0" applyFont="0" applyFill="0" applyBorder="0" applyAlignment="0" applyProtection="0"/>
    <xf numFmtId="0" fontId="262" fillId="0" borderId="63" applyNumberFormat="0" applyFill="0" applyAlignment="0" applyProtection="0">
      <alignment vertical="center"/>
    </xf>
    <xf numFmtId="0" fontId="263" fillId="26" borderId="0" applyNumberFormat="0" applyBorder="0" applyAlignment="0" applyProtection="0">
      <alignment vertical="center"/>
    </xf>
    <xf numFmtId="0" fontId="264" fillId="27" borderId="0" applyNumberFormat="0" applyBorder="0" applyAlignment="0" applyProtection="0">
      <alignment vertical="center"/>
    </xf>
    <xf numFmtId="0" fontId="4" fillId="0" borderId="0"/>
    <xf numFmtId="0" fontId="7" fillId="0" borderId="0"/>
    <xf numFmtId="172" fontId="7" fillId="0" borderId="0"/>
    <xf numFmtId="43" fontId="7" fillId="0" borderId="0" applyFont="0" applyFill="0" applyBorder="0" applyAlignment="0" applyProtection="0"/>
    <xf numFmtId="332" fontId="265" fillId="0" borderId="0" applyFont="0" applyFill="0" applyBorder="0" applyAlignment="0" applyProtection="0"/>
    <xf numFmtId="0" fontId="7" fillId="0" borderId="0"/>
    <xf numFmtId="0" fontId="266" fillId="0" borderId="0" applyNumberFormat="0" applyFill="0" applyBorder="0" applyAlignment="0" applyProtection="0">
      <alignment vertical="center"/>
    </xf>
    <xf numFmtId="0" fontId="267" fillId="0" borderId="52" applyNumberFormat="0" applyFill="0" applyAlignment="0" applyProtection="0">
      <alignment vertical="center"/>
    </xf>
    <xf numFmtId="0" fontId="268" fillId="0" borderId="67" applyNumberFormat="0" applyFill="0" applyAlignment="0" applyProtection="0">
      <alignment vertical="center"/>
    </xf>
    <xf numFmtId="0" fontId="269" fillId="0" borderId="68" applyNumberFormat="0" applyFill="0" applyAlignment="0" applyProtection="0">
      <alignment vertical="center"/>
    </xf>
    <xf numFmtId="0" fontId="269" fillId="0" borderId="0" applyNumberFormat="0" applyFill="0" applyBorder="0" applyAlignment="0" applyProtection="0">
      <alignment vertical="center"/>
    </xf>
    <xf numFmtId="0" fontId="270" fillId="37" borderId="44" applyNumberFormat="0" applyAlignment="0" applyProtection="0">
      <alignment vertical="center"/>
    </xf>
    <xf numFmtId="0" fontId="271" fillId="0" borderId="0" applyNumberFormat="0" applyFill="0" applyBorder="0" applyAlignment="0" applyProtection="0">
      <alignment vertical="top"/>
      <protection locked="0"/>
    </xf>
    <xf numFmtId="0" fontId="272" fillId="24" borderId="36" applyNumberFormat="0" applyAlignment="0" applyProtection="0">
      <alignment vertical="center"/>
    </xf>
    <xf numFmtId="0" fontId="273" fillId="0" borderId="0" applyNumberFormat="0" applyFill="0" applyBorder="0" applyAlignment="0" applyProtection="0">
      <alignment vertical="center"/>
    </xf>
    <xf numFmtId="0" fontId="274" fillId="0" borderId="0" applyNumberFormat="0" applyFill="0" applyBorder="0" applyAlignment="0" applyProtection="0">
      <alignment vertical="center"/>
    </xf>
    <xf numFmtId="333" fontId="261" fillId="0" borderId="0" applyFont="0" applyFill="0" applyBorder="0" applyAlignment="0" applyProtection="0"/>
    <xf numFmtId="280" fontId="261" fillId="0" borderId="0" applyFont="0" applyFill="0" applyBorder="0" applyAlignment="0" applyProtection="0"/>
    <xf numFmtId="44" fontId="7" fillId="0" borderId="0" applyFont="0" applyFill="0" applyBorder="0" applyAlignment="0" applyProtection="0"/>
    <xf numFmtId="0" fontId="87" fillId="34" borderId="0" applyNumberFormat="0" applyBorder="0" applyAlignment="0" applyProtection="0">
      <alignment vertical="center"/>
    </xf>
    <xf numFmtId="0" fontId="87" fillId="20" borderId="0" applyNumberFormat="0" applyBorder="0" applyAlignment="0" applyProtection="0">
      <alignment vertical="center"/>
    </xf>
    <xf numFmtId="0" fontId="87" fillId="35" borderId="0" applyNumberFormat="0" applyBorder="0" applyAlignment="0" applyProtection="0">
      <alignment vertical="center"/>
    </xf>
    <xf numFmtId="0" fontId="87" fillId="32" borderId="0" applyNumberFormat="0" applyBorder="0" applyAlignment="0" applyProtection="0">
      <alignment vertical="center"/>
    </xf>
    <xf numFmtId="0" fontId="87" fillId="19" borderId="0" applyNumberFormat="0" applyBorder="0" applyAlignment="0" applyProtection="0">
      <alignment vertical="center"/>
    </xf>
    <xf numFmtId="0" fontId="87" fillId="16" borderId="0" applyNumberFormat="0" applyBorder="0" applyAlignment="0" applyProtection="0">
      <alignment vertical="center"/>
    </xf>
    <xf numFmtId="0" fontId="275" fillId="29" borderId="36" applyNumberFormat="0" applyAlignment="0" applyProtection="0">
      <alignment vertical="center"/>
    </xf>
    <xf numFmtId="0" fontId="276" fillId="24" borderId="37" applyNumberFormat="0" applyAlignment="0" applyProtection="0">
      <alignment vertical="center"/>
    </xf>
    <xf numFmtId="334" fontId="265" fillId="0" borderId="0" applyFont="0" applyFill="0" applyBorder="0" applyAlignment="0" applyProtection="0"/>
    <xf numFmtId="335" fontId="265" fillId="0" borderId="0" applyFont="0" applyFill="0" applyBorder="0" applyAlignment="0" applyProtection="0"/>
    <xf numFmtId="0" fontId="277" fillId="0" borderId="55" applyNumberFormat="0" applyFill="0" applyAlignment="0" applyProtection="0">
      <alignment vertical="center"/>
    </xf>
  </cellStyleXfs>
  <cellXfs count="590">
    <xf numFmtId="0" fontId="0" fillId="0" borderId="0" xfId="0"/>
    <xf numFmtId="0" fontId="0" fillId="4" borderId="1" xfId="0" applyFill="1" applyBorder="1" applyAlignment="1">
      <alignment horizontal="center"/>
    </xf>
    <xf numFmtId="164" fontId="0" fillId="0" borderId="0" xfId="0" applyNumberFormat="1"/>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xf>
    <xf numFmtId="9" fontId="11" fillId="0" borderId="0" xfId="9" applyFont="1"/>
    <xf numFmtId="0" fontId="0" fillId="0" borderId="0" xfId="0"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164" fontId="11" fillId="0" borderId="4" xfId="1" applyNumberFormat="1" applyFont="1" applyBorder="1"/>
    <xf numFmtId="0" fontId="7" fillId="0" borderId="1" xfId="0" applyFont="1" applyBorder="1" applyAlignment="1">
      <alignment horizontal="center" vertical="center"/>
    </xf>
    <xf numFmtId="0" fontId="0" fillId="5" borderId="0" xfId="0" applyFill="1" applyProtection="1">
      <protection locked="0"/>
    </xf>
    <xf numFmtId="0" fontId="0" fillId="5" borderId="0" xfId="0" applyFill="1" applyAlignment="1" applyProtection="1">
      <alignment wrapText="1"/>
      <protection locked="0"/>
    </xf>
    <xf numFmtId="0" fontId="8" fillId="5" borderId="0" xfId="0" applyFont="1" applyFill="1" applyProtection="1">
      <protection locked="0"/>
    </xf>
    <xf numFmtId="0" fontId="7" fillId="0" borderId="0" xfId="0" applyFont="1"/>
    <xf numFmtId="0" fontId="7" fillId="0" borderId="1" xfId="0" applyFont="1" applyBorder="1"/>
    <xf numFmtId="9" fontId="7" fillId="0" borderId="0" xfId="9" applyFont="1" applyFill="1" applyBorder="1"/>
    <xf numFmtId="9" fontId="7" fillId="0" borderId="0" xfId="9" applyFont="1" applyFill="1" applyBorder="1" applyAlignment="1">
      <alignment horizontal="center"/>
    </xf>
    <xf numFmtId="0" fontId="7" fillId="4" borderId="1" xfId="0" applyFont="1" applyFill="1" applyBorder="1"/>
    <xf numFmtId="165" fontId="7" fillId="0" borderId="2" xfId="5" applyNumberFormat="1" applyFont="1" applyBorder="1"/>
    <xf numFmtId="0" fontId="7" fillId="0" borderId="4" xfId="0" applyFont="1" applyBorder="1"/>
    <xf numFmtId="164" fontId="7" fillId="0" borderId="4" xfId="1" applyNumberFormat="1" applyFont="1" applyBorder="1"/>
    <xf numFmtId="165" fontId="7" fillId="0" borderId="4" xfId="5" applyNumberFormat="1" applyFont="1" applyBorder="1"/>
    <xf numFmtId="0" fontId="7" fillId="0" borderId="5" xfId="0" applyFont="1" applyBorder="1"/>
    <xf numFmtId="164" fontId="7" fillId="0" borderId="5" xfId="1" applyNumberFormat="1" applyFont="1" applyBorder="1"/>
    <xf numFmtId="165" fontId="7" fillId="0" borderId="5" xfId="5" applyNumberFormat="1" applyFont="1" applyBorder="1"/>
    <xf numFmtId="164" fontId="7" fillId="0" borderId="1" xfId="1" applyNumberFormat="1" applyFont="1" applyBorder="1"/>
    <xf numFmtId="164" fontId="7" fillId="0" borderId="0" xfId="1" applyNumberFormat="1" applyFont="1"/>
    <xf numFmtId="9" fontId="7" fillId="0" borderId="0" xfId="9" applyFont="1"/>
    <xf numFmtId="164" fontId="7" fillId="0" borderId="0" xfId="1" applyNumberFormat="1" applyFont="1" applyBorder="1"/>
    <xf numFmtId="167" fontId="7" fillId="0" borderId="0" xfId="5" applyNumberFormat="1" applyFont="1" applyBorder="1"/>
    <xf numFmtId="0" fontId="7" fillId="0" borderId="9" xfId="0" applyFont="1" applyBorder="1"/>
    <xf numFmtId="0" fontId="7" fillId="0" borderId="6" xfId="0" applyFont="1" applyBorder="1"/>
    <xf numFmtId="0" fontId="7" fillId="0" borderId="7" xfId="0" applyFont="1" applyBorder="1"/>
    <xf numFmtId="164" fontId="7" fillId="0" borderId="9" xfId="1" applyNumberFormat="1" applyFont="1" applyBorder="1"/>
    <xf numFmtId="0" fontId="0" fillId="5" borderId="0" xfId="0" applyFill="1"/>
    <xf numFmtId="0" fontId="13" fillId="5" borderId="0" xfId="0" applyFont="1" applyFill="1"/>
    <xf numFmtId="9" fontId="11" fillId="0" borderId="0" xfId="9" applyFont="1" applyBorder="1"/>
    <xf numFmtId="0" fontId="0" fillId="6" borderId="0" xfId="0" applyFill="1"/>
    <xf numFmtId="0" fontId="0" fillId="0" borderId="1" xfId="0" applyBorder="1" applyAlignment="1">
      <alignment horizontal="center" vertical="center"/>
    </xf>
    <xf numFmtId="9" fontId="11" fillId="0" borderId="0" xfId="9" applyFont="1" applyFill="1" applyBorder="1"/>
    <xf numFmtId="165" fontId="11" fillId="0" borderId="2" xfId="5" applyNumberFormat="1" applyFont="1" applyBorder="1"/>
    <xf numFmtId="167" fontId="7" fillId="0" borderId="0" xfId="5" applyNumberFormat="1" applyFont="1" applyFill="1" applyBorder="1"/>
    <xf numFmtId="9" fontId="7" fillId="0" borderId="0" xfId="9" applyFont="1" applyBorder="1" applyAlignment="1">
      <alignment horizontal="center"/>
    </xf>
    <xf numFmtId="9" fontId="7" fillId="0" borderId="0" xfId="9" applyFont="1" applyBorder="1"/>
    <xf numFmtId="0" fontId="13" fillId="5" borderId="0" xfId="0" applyFont="1" applyFill="1" applyProtection="1">
      <protection locked="0"/>
    </xf>
    <xf numFmtId="164" fontId="11" fillId="0" borderId="9" xfId="1" applyNumberFormat="1" applyFont="1" applyBorder="1"/>
    <xf numFmtId="0" fontId="15" fillId="0" borderId="0" xfId="0" applyFont="1"/>
    <xf numFmtId="0" fontId="16" fillId="0" borderId="0" xfId="0" applyFont="1"/>
    <xf numFmtId="9" fontId="0" fillId="0" borderId="0" xfId="9" applyFont="1"/>
    <xf numFmtId="44" fontId="0" fillId="0" borderId="0" xfId="5" applyFont="1"/>
    <xf numFmtId="9" fontId="7" fillId="0" borderId="0" xfId="9" applyFont="1" applyFill="1"/>
    <xf numFmtId="164" fontId="7" fillId="0" borderId="0" xfId="1" applyNumberFormat="1" applyFont="1" applyFill="1" applyBorder="1"/>
    <xf numFmtId="0" fontId="0" fillId="5" borderId="1" xfId="0" applyFill="1" applyBorder="1" applyAlignment="1">
      <alignment horizontal="center"/>
    </xf>
    <xf numFmtId="165" fontId="11" fillId="0" borderId="0" xfId="5" applyNumberFormat="1" applyFont="1" applyFill="1" applyBorder="1"/>
    <xf numFmtId="17" fontId="7" fillId="0" borderId="0" xfId="0" applyNumberFormat="1" applyFont="1"/>
    <xf numFmtId="0" fontId="0" fillId="0" borderId="1" xfId="0" applyBorder="1"/>
    <xf numFmtId="164" fontId="0" fillId="0" borderId="0" xfId="1" applyNumberFormat="1" applyFont="1"/>
    <xf numFmtId="165" fontId="7" fillId="0" borderId="0" xfId="5" applyNumberFormat="1" applyFont="1" applyFill="1" applyBorder="1"/>
    <xf numFmtId="3" fontId="0" fillId="0" borderId="0" xfId="0" applyNumberFormat="1"/>
    <xf numFmtId="165" fontId="0" fillId="0" borderId="9" xfId="5" applyNumberFormat="1" applyFont="1" applyBorder="1"/>
    <xf numFmtId="165" fontId="0" fillId="0" borderId="0" xfId="0" applyNumberFormat="1"/>
    <xf numFmtId="165" fontId="0" fillId="0" borderId="4" xfId="5" applyNumberFormat="1" applyFont="1" applyBorder="1"/>
    <xf numFmtId="165" fontId="0" fillId="0" borderId="5" xfId="5" applyNumberFormat="1" applyFont="1" applyBorder="1"/>
    <xf numFmtId="165" fontId="0" fillId="0" borderId="1" xfId="5" applyNumberFormat="1" applyFont="1" applyBorder="1"/>
    <xf numFmtId="1" fontId="0" fillId="0" borderId="0" xfId="0" applyNumberFormat="1"/>
    <xf numFmtId="164" fontId="0" fillId="0" borderId="5" xfId="1" applyNumberFormat="1" applyFont="1" applyBorder="1"/>
    <xf numFmtId="164" fontId="0" fillId="0" borderId="4" xfId="1" applyNumberFormat="1" applyFont="1" applyBorder="1"/>
    <xf numFmtId="0" fontId="19" fillId="0" borderId="0" xfId="0" applyFont="1"/>
    <xf numFmtId="0" fontId="7" fillId="4" borderId="1" xfId="0" applyFont="1" applyFill="1" applyBorder="1" applyAlignment="1">
      <alignment horizontal="center"/>
    </xf>
    <xf numFmtId="0" fontId="7" fillId="6" borderId="0" xfId="0" applyFont="1" applyFill="1"/>
    <xf numFmtId="164" fontId="7" fillId="6" borderId="0" xfId="1" applyNumberFormat="1" applyFont="1" applyFill="1" applyBorder="1"/>
    <xf numFmtId="9" fontId="7" fillId="6" borderId="0" xfId="9" applyFont="1" applyFill="1" applyBorder="1"/>
    <xf numFmtId="9" fontId="11" fillId="6" borderId="0" xfId="9" applyFont="1" applyFill="1" applyBorder="1"/>
    <xf numFmtId="9" fontId="7" fillId="6" borderId="0" xfId="9" applyFont="1" applyFill="1" applyBorder="1" applyAlignment="1">
      <alignment horizontal="center"/>
    </xf>
    <xf numFmtId="0" fontId="20" fillId="0" borderId="0" xfId="0" applyFont="1"/>
    <xf numFmtId="0" fontId="21" fillId="0" borderId="0" xfId="0" applyFont="1"/>
    <xf numFmtId="167" fontId="7" fillId="6" borderId="0" xfId="5" applyNumberFormat="1" applyFont="1" applyFill="1" applyBorder="1"/>
    <xf numFmtId="0" fontId="7" fillId="6" borderId="0" xfId="0" applyFont="1" applyFill="1" applyAlignment="1">
      <alignment horizontal="center"/>
    </xf>
    <xf numFmtId="0" fontId="0" fillId="0" borderId="4" xfId="0" applyBorder="1"/>
    <xf numFmtId="165" fontId="7" fillId="0" borderId="0" xfId="5" applyNumberFormat="1" applyFont="1" applyBorder="1"/>
    <xf numFmtId="0" fontId="11" fillId="4" borderId="1" xfId="9" applyNumberFormat="1" applyFont="1" applyFill="1" applyBorder="1" applyAlignment="1" applyProtection="1">
      <alignment horizontal="center" vertical="center"/>
      <protection locked="0"/>
    </xf>
    <xf numFmtId="164" fontId="0" fillId="0" borderId="0" xfId="1" applyNumberFormat="1" applyFont="1" applyFill="1" applyBorder="1"/>
    <xf numFmtId="37" fontId="0" fillId="0" borderId="0" xfId="5" applyNumberFormat="1" applyFont="1" applyFill="1" applyBorder="1"/>
    <xf numFmtId="166" fontId="7" fillId="0" borderId="5" xfId="9" applyNumberFormat="1" applyFont="1" applyBorder="1"/>
    <xf numFmtId="165" fontId="7" fillId="0" borderId="16" xfId="5" applyNumberFormat="1" applyFont="1" applyBorder="1"/>
    <xf numFmtId="166" fontId="7" fillId="0" borderId="18" xfId="9" applyNumberFormat="1" applyFont="1" applyBorder="1"/>
    <xf numFmtId="165" fontId="7" fillId="0" borderId="18" xfId="5" applyNumberFormat="1" applyFont="1" applyBorder="1"/>
    <xf numFmtId="0" fontId="7" fillId="4" borderId="1" xfId="9" applyNumberFormat="1" applyFont="1" applyFill="1" applyBorder="1" applyAlignment="1" applyProtection="1">
      <alignment horizontal="center" vertical="center" wrapText="1"/>
      <protection locked="0"/>
    </xf>
    <xf numFmtId="165" fontId="17" fillId="0" borderId="0" xfId="5" applyNumberFormat="1" applyFont="1" applyFill="1" applyBorder="1"/>
    <xf numFmtId="0" fontId="6" fillId="0" borderId="0" xfId="8" applyAlignment="1">
      <alignment horizontal="center" vertical="center"/>
    </xf>
    <xf numFmtId="165" fontId="0" fillId="0" borderId="13" xfId="5" applyNumberFormat="1" applyFont="1" applyFill="1" applyBorder="1" applyAlignment="1">
      <alignment horizontal="center"/>
    </xf>
    <xf numFmtId="0" fontId="22" fillId="0" borderId="0" xfId="0" applyFont="1"/>
    <xf numFmtId="0" fontId="0" fillId="6" borderId="0" xfId="0" applyFill="1" applyAlignment="1">
      <alignment horizontal="center"/>
    </xf>
    <xf numFmtId="0" fontId="0" fillId="0" borderId="0" xfId="0" applyProtection="1">
      <protection locked="0"/>
    </xf>
    <xf numFmtId="0" fontId="0" fillId="5" borderId="0" xfId="0" applyFill="1" applyAlignment="1">
      <alignment wrapText="1"/>
    </xf>
    <xf numFmtId="0" fontId="13" fillId="0" borderId="0" xfId="0" applyFont="1" applyAlignment="1">
      <alignment horizontal="center"/>
    </xf>
    <xf numFmtId="0" fontId="13" fillId="0" borderId="0" xfId="0" applyFont="1" applyAlignment="1">
      <alignment horizontal="center" wrapText="1"/>
    </xf>
    <xf numFmtId="0" fontId="19" fillId="5" borderId="0" xfId="0" applyFont="1" applyFill="1"/>
    <xf numFmtId="0" fontId="19" fillId="5" borderId="0" xfId="0" applyFont="1" applyFill="1" applyProtection="1">
      <protection locked="0"/>
    </xf>
    <xf numFmtId="0" fontId="0" fillId="4" borderId="22" xfId="0" applyFill="1" applyBorder="1" applyAlignment="1">
      <alignment horizontal="center" vertical="center"/>
    </xf>
    <xf numFmtId="0" fontId="0" fillId="4" borderId="22" xfId="0" applyFill="1" applyBorder="1" applyAlignment="1">
      <alignment horizontal="center"/>
    </xf>
    <xf numFmtId="165" fontId="0" fillId="0" borderId="25" xfId="5" applyNumberFormat="1" applyFont="1" applyBorder="1"/>
    <xf numFmtId="165" fontId="0" fillId="0" borderId="22" xfId="5" applyNumberFormat="1" applyFont="1" applyBorder="1"/>
    <xf numFmtId="164" fontId="0" fillId="0" borderId="22" xfId="1" applyNumberFormat="1" applyFont="1" applyBorder="1"/>
    <xf numFmtId="164" fontId="0" fillId="0" borderId="25" xfId="1" applyNumberFormat="1" applyFont="1" applyBorder="1"/>
    <xf numFmtId="0" fontId="0" fillId="4" borderId="25" xfId="0" applyFill="1" applyBorder="1" applyAlignment="1">
      <alignment horizontal="center"/>
    </xf>
    <xf numFmtId="0" fontId="0" fillId="4" borderId="24" xfId="0" applyFill="1" applyBorder="1" applyAlignment="1">
      <alignment horizontal="center"/>
    </xf>
    <xf numFmtId="164" fontId="11" fillId="0" borderId="22" xfId="1" applyNumberFormat="1" applyFont="1" applyBorder="1"/>
    <xf numFmtId="164" fontId="0" fillId="0" borderId="22" xfId="0" applyNumberFormat="1" applyBorder="1"/>
    <xf numFmtId="164" fontId="7" fillId="0" borderId="22" xfId="1" applyNumberFormat="1" applyFont="1" applyBorder="1"/>
    <xf numFmtId="0" fontId="0" fillId="0" borderId="22" xfId="0" applyBorder="1" applyAlignment="1">
      <alignment horizontal="center" vertical="center"/>
    </xf>
    <xf numFmtId="9" fontId="0" fillId="0" borderId="22" xfId="9" applyFont="1" applyBorder="1"/>
    <xf numFmtId="164" fontId="7" fillId="0" borderId="25" xfId="1" applyNumberFormat="1" applyFont="1" applyBorder="1"/>
    <xf numFmtId="43" fontId="23" fillId="0" borderId="0" xfId="1" applyFont="1" applyFill="1" applyBorder="1"/>
    <xf numFmtId="0" fontId="0" fillId="4" borderId="28" xfId="0" applyFill="1" applyBorder="1" applyAlignment="1">
      <alignment horizontal="center"/>
    </xf>
    <xf numFmtId="0" fontId="7" fillId="4" borderId="25" xfId="0" applyFont="1" applyFill="1" applyBorder="1" applyAlignment="1">
      <alignment horizontal="center"/>
    </xf>
    <xf numFmtId="166" fontId="7" fillId="0" borderId="22" xfId="9" applyNumberFormat="1" applyFont="1" applyBorder="1"/>
    <xf numFmtId="165" fontId="7" fillId="0" borderId="22" xfId="5" applyNumberFormat="1" applyFont="1" applyBorder="1"/>
    <xf numFmtId="0" fontId="7" fillId="0" borderId="20" xfId="0" applyFont="1" applyBorder="1"/>
    <xf numFmtId="0" fontId="7" fillId="0" borderId="15" xfId="0" applyFont="1" applyBorder="1"/>
    <xf numFmtId="0" fontId="7" fillId="0" borderId="21" xfId="0" applyFont="1" applyBorder="1"/>
    <xf numFmtId="0" fontId="7" fillId="0" borderId="19" xfId="0" applyFont="1" applyBorder="1"/>
    <xf numFmtId="0" fontId="7" fillId="4" borderId="17" xfId="0" applyFont="1" applyFill="1" applyBorder="1" applyAlignment="1">
      <alignment horizontal="center"/>
    </xf>
    <xf numFmtId="164" fontId="7" fillId="6" borderId="0" xfId="0" applyNumberFormat="1" applyFont="1" applyFill="1"/>
    <xf numFmtId="0" fontId="6" fillId="2" borderId="1" xfId="8" applyFill="1" applyBorder="1" applyAlignment="1">
      <alignment horizontal="center" vertical="center"/>
    </xf>
    <xf numFmtId="9" fontId="0" fillId="0" borderId="4" xfId="9" applyFont="1" applyBorder="1"/>
    <xf numFmtId="164" fontId="0" fillId="0" borderId="4" xfId="1" applyNumberFormat="1" applyFont="1" applyFill="1" applyBorder="1" applyAlignment="1">
      <alignment horizontal="center"/>
    </xf>
    <xf numFmtId="164" fontId="0" fillId="0" borderId="22" xfId="1" applyNumberFormat="1" applyFont="1" applyFill="1" applyBorder="1" applyAlignment="1">
      <alignment horizontal="center"/>
    </xf>
    <xf numFmtId="164" fontId="11" fillId="0" borderId="25" xfId="1" applyNumberFormat="1" applyFont="1" applyBorder="1"/>
    <xf numFmtId="0" fontId="7" fillId="0" borderId="22" xfId="0" applyFont="1" applyBorder="1" applyAlignment="1" applyProtection="1">
      <alignment readingOrder="1"/>
      <protection locked="0"/>
    </xf>
    <xf numFmtId="0" fontId="14" fillId="0" borderId="0" xfId="0" applyFont="1"/>
    <xf numFmtId="0" fontId="7" fillId="4" borderId="26" xfId="0" applyFont="1" applyFill="1" applyBorder="1"/>
    <xf numFmtId="0" fontId="7" fillId="4" borderId="23" xfId="0" applyFont="1" applyFill="1" applyBorder="1" applyAlignment="1">
      <alignment horizontal="center"/>
    </xf>
    <xf numFmtId="165" fontId="7" fillId="0" borderId="7" xfId="5" applyNumberFormat="1" applyFont="1" applyBorder="1"/>
    <xf numFmtId="165" fontId="7" fillId="0" borderId="9" xfId="5" applyNumberFormat="1" applyFont="1" applyBorder="1"/>
    <xf numFmtId="0" fontId="7" fillId="0" borderId="0" xfId="0" applyFont="1" applyAlignment="1">
      <alignment horizontal="center"/>
    </xf>
    <xf numFmtId="9" fontId="7" fillId="0" borderId="25" xfId="9" applyFont="1" applyFill="1" applyBorder="1" applyAlignment="1">
      <alignment horizontal="center"/>
    </xf>
    <xf numFmtId="9" fontId="7" fillId="0" borderId="4" xfId="9" applyFont="1" applyFill="1" applyBorder="1" applyAlignment="1">
      <alignment horizontal="center"/>
    </xf>
    <xf numFmtId="9" fontId="7" fillId="0" borderId="5" xfId="9" applyFont="1" applyFill="1" applyBorder="1" applyAlignment="1">
      <alignment horizontal="center"/>
    </xf>
    <xf numFmtId="165" fontId="7" fillId="0" borderId="0" xfId="5" applyNumberFormat="1" applyFont="1" applyBorder="1" applyAlignment="1">
      <alignment horizontal="center"/>
    </xf>
    <xf numFmtId="165" fontId="0" fillId="0" borderId="0" xfId="0" applyNumberFormat="1" applyAlignment="1">
      <alignment horizontal="center"/>
    </xf>
    <xf numFmtId="9" fontId="7" fillId="0" borderId="22" xfId="9" applyFont="1" applyFill="1" applyBorder="1" applyAlignment="1">
      <alignment horizontal="center"/>
    </xf>
    <xf numFmtId="9" fontId="7" fillId="0" borderId="5" xfId="9" quotePrefix="1" applyFont="1" applyFill="1" applyBorder="1" applyAlignment="1">
      <alignment horizontal="center"/>
    </xf>
    <xf numFmtId="165" fontId="7" fillId="0" borderId="5" xfId="5" applyNumberFormat="1" applyFont="1" applyFill="1" applyBorder="1"/>
    <xf numFmtId="0" fontId="7" fillId="0" borderId="22" xfId="0" applyFont="1" applyBorder="1" applyAlignment="1">
      <alignment horizontal="center" vertical="center"/>
    </xf>
    <xf numFmtId="164" fontId="7" fillId="0" borderId="25" xfId="1" applyNumberFormat="1" applyFont="1" applyFill="1" applyBorder="1"/>
    <xf numFmtId="0" fontId="0" fillId="0" borderId="0" xfId="0" applyAlignment="1">
      <alignment wrapText="1"/>
    </xf>
    <xf numFmtId="0" fontId="0" fillId="5" borderId="22" xfId="0" applyFill="1" applyBorder="1" applyAlignment="1">
      <alignment horizontal="center" vertical="center"/>
    </xf>
    <xf numFmtId="0" fontId="5" fillId="0" borderId="0" xfId="118"/>
    <xf numFmtId="0" fontId="26" fillId="0" borderId="0" xfId="118" applyFont="1"/>
    <xf numFmtId="0" fontId="27" fillId="0" borderId="22" xfId="118" applyFont="1" applyBorder="1" applyAlignment="1">
      <alignment wrapText="1"/>
    </xf>
    <xf numFmtId="0" fontId="27" fillId="0" borderId="26" xfId="118" applyFont="1" applyBorder="1"/>
    <xf numFmtId="0" fontId="5" fillId="0" borderId="27" xfId="118" applyBorder="1"/>
    <xf numFmtId="0" fontId="5" fillId="0" borderId="28" xfId="118" applyBorder="1"/>
    <xf numFmtId="0" fontId="27" fillId="0" borderId="27" xfId="118" applyFont="1" applyBorder="1"/>
    <xf numFmtId="0" fontId="7" fillId="4" borderId="22" xfId="0" applyFont="1" applyFill="1" applyBorder="1"/>
    <xf numFmtId="0" fontId="7" fillId="4" borderId="22" xfId="0" applyFont="1" applyFill="1" applyBorder="1" applyAlignment="1">
      <alignment horizontal="center"/>
    </xf>
    <xf numFmtId="0" fontId="7" fillId="0" borderId="22" xfId="0" applyFont="1" applyBorder="1"/>
    <xf numFmtId="165" fontId="7" fillId="0" borderId="25" xfId="5" applyNumberFormat="1" applyFont="1" applyBorder="1"/>
    <xf numFmtId="0" fontId="7" fillId="0" borderId="26" xfId="0" applyFont="1" applyBorder="1"/>
    <xf numFmtId="165" fontId="7" fillId="0" borderId="28" xfId="5" applyNumberFormat="1" applyFont="1" applyBorder="1"/>
    <xf numFmtId="0" fontId="7" fillId="4" borderId="25" xfId="0" applyFont="1" applyFill="1" applyBorder="1"/>
    <xf numFmtId="0" fontId="7" fillId="0" borderId="25" xfId="0" applyFont="1" applyBorder="1"/>
    <xf numFmtId="165" fontId="0" fillId="0" borderId="28" xfId="5" applyNumberFormat="1" applyFont="1" applyBorder="1"/>
    <xf numFmtId="164" fontId="11" fillId="0" borderId="26" xfId="1" applyNumberFormat="1" applyFont="1" applyBorder="1"/>
    <xf numFmtId="0" fontId="0" fillId="4" borderId="25" xfId="0" applyFill="1" applyBorder="1" applyAlignment="1">
      <alignment horizontal="left"/>
    </xf>
    <xf numFmtId="0" fontId="0" fillId="0" borderId="22" xfId="0" applyBorder="1" applyAlignment="1">
      <alignment horizontal="left"/>
    </xf>
    <xf numFmtId="165" fontId="0" fillId="0" borderId="22" xfId="5" applyNumberFormat="1" applyFont="1" applyFill="1" applyBorder="1" applyAlignment="1">
      <alignment horizontal="center"/>
    </xf>
    <xf numFmtId="0" fontId="0" fillId="4" borderId="1" xfId="0"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2" borderId="25" xfId="0" applyFill="1" applyBorder="1" applyAlignment="1">
      <alignment horizontal="center" vertical="center"/>
    </xf>
    <xf numFmtId="0" fontId="0" fillId="2" borderId="22" xfId="0" applyFill="1" applyBorder="1" applyAlignment="1">
      <alignment horizontal="center" vertical="center"/>
    </xf>
    <xf numFmtId="0" fontId="0" fillId="4" borderId="1" xfId="0" applyFill="1" applyBorder="1" applyAlignment="1">
      <alignment horizontal="center" wrapText="1"/>
    </xf>
    <xf numFmtId="0" fontId="29" fillId="5" borderId="0" xfId="0" applyFont="1" applyFill="1" applyProtection="1">
      <protection locked="0"/>
    </xf>
    <xf numFmtId="0" fontId="29" fillId="5" borderId="0" xfId="0" applyFont="1" applyFill="1"/>
    <xf numFmtId="0" fontId="19" fillId="0" borderId="0" xfId="0" applyFont="1" applyAlignment="1">
      <alignment horizontal="left" vertical="center"/>
    </xf>
    <xf numFmtId="0" fontId="32" fillId="0" borderId="0" xfId="0" applyFont="1"/>
    <xf numFmtId="0" fontId="32" fillId="0" borderId="0" xfId="0" applyFont="1" applyAlignment="1">
      <alignment horizontal="left" vertical="center"/>
    </xf>
    <xf numFmtId="0" fontId="13" fillId="0" borderId="0" xfId="0" applyFont="1"/>
    <xf numFmtId="0" fontId="7" fillId="4" borderId="22" xfId="0" applyFont="1" applyFill="1" applyBorder="1" applyAlignment="1" applyProtection="1">
      <alignment readingOrder="1"/>
      <protection locked="0"/>
    </xf>
    <xf numFmtId="0" fontId="0" fillId="4" borderId="1" xfId="0" applyFill="1" applyBorder="1"/>
    <xf numFmtId="0" fontId="13" fillId="0" borderId="0" xfId="0" applyFont="1" applyAlignment="1">
      <alignment horizontal="center" vertical="center"/>
    </xf>
    <xf numFmtId="0" fontId="13" fillId="0" borderId="0" xfId="0" applyFont="1" applyAlignment="1">
      <alignment horizontal="left" vertical="center"/>
    </xf>
    <xf numFmtId="0" fontId="0" fillId="0" borderId="26" xfId="0" applyBorder="1" applyAlignment="1">
      <alignment vertical="center"/>
    </xf>
    <xf numFmtId="0" fontId="0" fillId="0" borderId="26" xfId="0" applyBorder="1" applyAlignment="1">
      <alignment horizontal="center" vertical="center"/>
    </xf>
    <xf numFmtId="0" fontId="0" fillId="4" borderId="2" xfId="0" applyFill="1" applyBorder="1" applyAlignment="1">
      <alignment horizontal="center" wrapText="1"/>
    </xf>
    <xf numFmtId="0" fontId="0" fillId="4" borderId="25" xfId="0" applyFill="1" applyBorder="1" applyAlignment="1">
      <alignment horizontal="center" wrapText="1"/>
    </xf>
    <xf numFmtId="0" fontId="0" fillId="4" borderId="22" xfId="0" applyFill="1" applyBorder="1" applyAlignment="1">
      <alignment horizontal="center" wrapText="1"/>
    </xf>
    <xf numFmtId="165" fontId="7" fillId="0" borderId="1" xfId="5" applyNumberFormat="1" applyFont="1" applyBorder="1"/>
    <xf numFmtId="165" fontId="7" fillId="0" borderId="22" xfId="5" applyNumberFormat="1" applyFont="1" applyFill="1" applyBorder="1" applyAlignment="1" applyProtection="1">
      <alignment readingOrder="1"/>
      <protection locked="0"/>
    </xf>
    <xf numFmtId="0" fontId="7" fillId="0" borderId="0" xfId="0" applyFont="1" applyAlignment="1" applyProtection="1">
      <alignment readingOrder="1"/>
      <protection locked="0"/>
    </xf>
    <xf numFmtId="0" fontId="0" fillId="0" borderId="22" xfId="0" applyBorder="1"/>
    <xf numFmtId="165" fontId="14" fillId="0" borderId="0" xfId="5" applyNumberFormat="1" applyFont="1" applyBorder="1"/>
    <xf numFmtId="37" fontId="7" fillId="5" borderId="1" xfId="5" applyNumberFormat="1" applyFont="1" applyFill="1" applyBorder="1"/>
    <xf numFmtId="0" fontId="7" fillId="5" borderId="0" xfId="0" applyFont="1" applyFill="1" applyAlignment="1">
      <alignment horizontal="center" vertical="center" wrapText="1"/>
    </xf>
    <xf numFmtId="0" fontId="7" fillId="5" borderId="3" xfId="0" applyFont="1" applyFill="1" applyBorder="1" applyAlignment="1">
      <alignment horizontal="center" vertical="center" wrapText="1"/>
    </xf>
    <xf numFmtId="44" fontId="0" fillId="0" borderId="0" xfId="0" applyNumberFormat="1"/>
    <xf numFmtId="0" fontId="7" fillId="5" borderId="0" xfId="0" applyFont="1" applyFill="1" applyAlignment="1">
      <alignment vertical="center" wrapText="1"/>
    </xf>
    <xf numFmtId="17" fontId="33" fillId="5" borderId="0" xfId="0" quotePrefix="1" applyNumberFormat="1" applyFont="1" applyFill="1" applyAlignment="1">
      <alignment horizontal="left"/>
    </xf>
    <xf numFmtId="0" fontId="0" fillId="4" borderId="22" xfId="0" applyFill="1" applyBorder="1" applyAlignment="1">
      <alignment horizontal="left"/>
    </xf>
    <xf numFmtId="0" fontId="0" fillId="0" borderId="25" xfId="0" applyBorder="1" applyAlignment="1">
      <alignment horizontal="left"/>
    </xf>
    <xf numFmtId="164" fontId="11" fillId="0" borderId="6" xfId="1" applyNumberFormat="1" applyFont="1" applyBorder="1"/>
    <xf numFmtId="164" fontId="11" fillId="0" borderId="5" xfId="1" applyNumberFormat="1" applyFont="1" applyBorder="1"/>
    <xf numFmtId="0" fontId="7" fillId="4" borderId="22" xfId="0" applyFont="1" applyFill="1" applyBorder="1" applyAlignment="1">
      <alignment horizontal="left"/>
    </xf>
    <xf numFmtId="164" fontId="14" fillId="0" borderId="0" xfId="1" applyNumberFormat="1" applyFont="1" applyBorder="1"/>
    <xf numFmtId="9" fontId="0" fillId="0" borderId="26" xfId="9" applyFont="1" applyBorder="1"/>
    <xf numFmtId="164" fontId="7" fillId="0" borderId="1" xfId="0" applyNumberFormat="1" applyFont="1" applyBorder="1"/>
    <xf numFmtId="164" fontId="7" fillId="0" borderId="22" xfId="0" applyNumberFormat="1" applyFont="1" applyBorder="1"/>
    <xf numFmtId="0" fontId="7" fillId="0" borderId="25" xfId="0" applyFont="1" applyBorder="1" applyAlignment="1">
      <alignment horizontal="center" vertical="center"/>
    </xf>
    <xf numFmtId="0" fontId="0" fillId="0" borderId="5" xfId="0" applyBorder="1" applyAlignment="1">
      <alignment horizontal="center" vertical="center" wrapText="1"/>
    </xf>
    <xf numFmtId="164" fontId="7" fillId="0" borderId="22" xfId="1" applyNumberFormat="1" applyFont="1" applyFill="1" applyBorder="1" applyAlignment="1" applyProtection="1">
      <alignment readingOrder="1"/>
      <protection locked="0"/>
    </xf>
    <xf numFmtId="165" fontId="0" fillId="0" borderId="22" xfId="9" applyNumberFormat="1" applyFont="1" applyBorder="1"/>
    <xf numFmtId="0" fontId="0" fillId="5" borderId="9"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166" fontId="0" fillId="0" borderId="0" xfId="9" applyNumberFormat="1" applyFont="1"/>
    <xf numFmtId="0" fontId="7" fillId="5" borderId="22" xfId="0" applyFont="1" applyFill="1" applyBorder="1" applyAlignment="1">
      <alignment horizontal="center" vertical="center" wrapText="1"/>
    </xf>
    <xf numFmtId="165" fontId="7" fillId="5" borderId="1" xfId="5" applyNumberFormat="1" applyFont="1" applyFill="1" applyBorder="1"/>
    <xf numFmtId="165" fontId="7" fillId="5" borderId="25" xfId="5" applyNumberFormat="1" applyFont="1" applyFill="1" applyBorder="1" applyAlignment="1">
      <alignment horizontal="center" vertical="center"/>
    </xf>
    <xf numFmtId="165" fontId="7" fillId="5" borderId="22" xfId="5" applyNumberFormat="1" applyFont="1" applyFill="1" applyBorder="1" applyAlignment="1">
      <alignment horizontal="center" vertical="center"/>
    </xf>
    <xf numFmtId="0" fontId="7" fillId="5" borderId="26" xfId="0" applyFont="1" applyFill="1" applyBorder="1" applyAlignment="1">
      <alignment horizontal="center" vertical="center" wrapText="1"/>
    </xf>
    <xf numFmtId="0" fontId="8" fillId="0" borderId="0" xfId="0" applyFont="1"/>
    <xf numFmtId="0" fontId="7" fillId="7" borderId="22" xfId="0" applyFont="1" applyFill="1" applyBorder="1"/>
    <xf numFmtId="0" fontId="0" fillId="7" borderId="22" xfId="0" applyFill="1" applyBorder="1" applyAlignment="1">
      <alignment horizontal="center"/>
    </xf>
    <xf numFmtId="44" fontId="7" fillId="0" borderId="22" xfId="5" applyFont="1" applyBorder="1"/>
    <xf numFmtId="3" fontId="7" fillId="0" borderId="22" xfId="1" applyNumberFormat="1" applyFont="1" applyBorder="1"/>
    <xf numFmtId="3" fontId="7" fillId="0" borderId="0" xfId="1" applyNumberFormat="1" applyFont="1" applyBorder="1"/>
    <xf numFmtId="165" fontId="34" fillId="0" borderId="22" xfId="5" applyNumberFormat="1" applyFont="1" applyBorder="1"/>
    <xf numFmtId="164" fontId="34" fillId="0" borderId="22" xfId="1" applyNumberFormat="1" applyFont="1" applyBorder="1"/>
    <xf numFmtId="0" fontId="0" fillId="4" borderId="25" xfId="0" applyFill="1" applyBorder="1" applyAlignment="1">
      <alignment horizontal="center" vertical="center"/>
    </xf>
    <xf numFmtId="0" fontId="0" fillId="0" borderId="25" xfId="0" applyBorder="1"/>
    <xf numFmtId="9" fontId="7" fillId="8" borderId="1" xfId="0" applyNumberFormat="1" applyFont="1" applyFill="1" applyBorder="1" applyAlignment="1">
      <alignment horizontal="center"/>
    </xf>
    <xf numFmtId="9" fontId="7" fillId="8" borderId="1" xfId="9" applyFont="1" applyFill="1" applyBorder="1" applyAlignment="1">
      <alignment horizontal="center"/>
    </xf>
    <xf numFmtId="0" fontId="0" fillId="0" borderId="26" xfId="0" applyBorder="1" applyAlignment="1">
      <alignment horizontal="center"/>
    </xf>
    <xf numFmtId="43" fontId="7" fillId="0" borderId="0" xfId="1" applyFont="1" applyBorder="1"/>
    <xf numFmtId="0" fontId="0" fillId="0" borderId="25" xfId="0" applyBorder="1" applyAlignment="1">
      <alignment horizontal="center" vertical="center"/>
    </xf>
    <xf numFmtId="0" fontId="5" fillId="0" borderId="22" xfId="118" applyBorder="1"/>
    <xf numFmtId="165" fontId="7" fillId="0" borderId="1" xfId="5" applyNumberFormat="1" applyFont="1" applyFill="1" applyBorder="1"/>
    <xf numFmtId="0" fontId="0" fillId="0" borderId="22" xfId="0" applyBorder="1" applyAlignment="1">
      <alignment horizontal="center"/>
    </xf>
    <xf numFmtId="0" fontId="38" fillId="0" borderId="0" xfId="0" applyFont="1" applyAlignment="1">
      <alignment horizontal="center"/>
    </xf>
    <xf numFmtId="9" fontId="5" fillId="0" borderId="0" xfId="9" applyFont="1"/>
    <xf numFmtId="165" fontId="7" fillId="0" borderId="13" xfId="5" applyNumberFormat="1" applyFont="1" applyFill="1" applyBorder="1"/>
    <xf numFmtId="0" fontId="27" fillId="0" borderId="0" xfId="118" applyFont="1"/>
    <xf numFmtId="0" fontId="39" fillId="0" borderId="0" xfId="0" applyFont="1"/>
    <xf numFmtId="0" fontId="7" fillId="0" borderId="0" xfId="0" applyFont="1" applyAlignment="1">
      <alignment horizontal="left" vertical="center"/>
    </xf>
    <xf numFmtId="164" fontId="14" fillId="0" borderId="0" xfId="0" applyNumberFormat="1" applyFont="1" applyAlignment="1">
      <alignment horizontal="center" vertical="center"/>
    </xf>
    <xf numFmtId="165" fontId="0" fillId="0" borderId="0" xfId="5" applyNumberFormat="1" applyFont="1"/>
    <xf numFmtId="0" fontId="0" fillId="0" borderId="0" xfId="0" quotePrefix="1"/>
    <xf numFmtId="164" fontId="7" fillId="0" borderId="13" xfId="1" applyNumberFormat="1" applyFont="1" applyBorder="1"/>
    <xf numFmtId="0" fontId="0" fillId="5" borderId="4" xfId="0" applyFill="1" applyBorder="1" applyAlignment="1">
      <alignment horizontal="center" vertical="center"/>
    </xf>
    <xf numFmtId="44" fontId="34" fillId="0" borderId="22" xfId="5" applyFont="1" applyBorder="1"/>
    <xf numFmtId="165" fontId="7" fillId="0" borderId="4" xfId="5" applyNumberFormat="1" applyFont="1" applyFill="1" applyBorder="1"/>
    <xf numFmtId="164" fontId="7" fillId="0" borderId="5" xfId="1" applyNumberFormat="1" applyFont="1" applyFill="1" applyBorder="1"/>
    <xf numFmtId="0" fontId="0" fillId="0" borderId="25" xfId="0" applyBorder="1" applyAlignment="1">
      <alignment horizontal="center"/>
    </xf>
    <xf numFmtId="165" fontId="7" fillId="0" borderId="7" xfId="5" applyNumberFormat="1" applyFont="1" applyFill="1" applyBorder="1" applyAlignment="1">
      <alignment horizontal="center" vertical="center"/>
    </xf>
    <xf numFmtId="165" fontId="7" fillId="0" borderId="25" xfId="5" applyNumberFormat="1" applyFont="1" applyFill="1" applyBorder="1" applyAlignment="1">
      <alignment horizontal="center" vertical="center"/>
    </xf>
    <xf numFmtId="0" fontId="13" fillId="0" borderId="0" xfId="0" applyFont="1" applyAlignment="1">
      <alignment horizontal="left"/>
    </xf>
    <xf numFmtId="0" fontId="0" fillId="0" borderId="25"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0" fillId="0" borderId="25" xfId="0" quotePrefix="1" applyBorder="1" applyAlignment="1">
      <alignment horizontal="center" vertical="center"/>
    </xf>
    <xf numFmtId="0" fontId="0" fillId="0" borderId="5" xfId="0" applyBorder="1"/>
    <xf numFmtId="3" fontId="7" fillId="0" borderId="22" xfId="9" applyNumberFormat="1" applyFont="1" applyBorder="1"/>
    <xf numFmtId="0" fontId="43" fillId="0" borderId="0" xfId="0" applyFont="1"/>
    <xf numFmtId="164" fontId="7" fillId="0" borderId="2" xfId="0" applyNumberFormat="1" applyFont="1" applyBorder="1"/>
    <xf numFmtId="165" fontId="11" fillId="0" borderId="2" xfId="5" applyNumberFormat="1" applyFont="1" applyFill="1" applyBorder="1"/>
    <xf numFmtId="165" fontId="7" fillId="0" borderId="5" xfId="5" applyNumberFormat="1" applyFont="1" applyFill="1" applyBorder="1" applyAlignment="1">
      <alignment horizontal="center" vertical="center"/>
    </xf>
    <xf numFmtId="165" fontId="7" fillId="0" borderId="4" xfId="5" applyNumberFormat="1" applyFont="1" applyFill="1" applyBorder="1" applyAlignment="1">
      <alignment horizontal="center" vertical="center"/>
    </xf>
    <xf numFmtId="165" fontId="7" fillId="0" borderId="25" xfId="5" applyNumberFormat="1" applyFont="1" applyFill="1" applyBorder="1"/>
    <xf numFmtId="165" fontId="7" fillId="0" borderId="22" xfId="5" applyNumberFormat="1" applyFont="1" applyFill="1" applyBorder="1"/>
    <xf numFmtId="165" fontId="5" fillId="0" borderId="0" xfId="118" applyNumberFormat="1"/>
    <xf numFmtId="0" fontId="44" fillId="0" borderId="0" xfId="118" applyFont="1"/>
    <xf numFmtId="0" fontId="36" fillId="0" borderId="0" xfId="118" applyFont="1"/>
    <xf numFmtId="0" fontId="0" fillId="3" borderId="22" xfId="0" applyFill="1" applyBorder="1" applyAlignment="1">
      <alignment horizontal="center"/>
    </xf>
    <xf numFmtId="9" fontId="0" fillId="3" borderId="22" xfId="0" applyNumberFormat="1" applyFill="1" applyBorder="1" applyAlignment="1">
      <alignment horizontal="center"/>
    </xf>
    <xf numFmtId="0" fontId="0" fillId="3" borderId="22" xfId="0" applyFill="1" applyBorder="1" applyAlignment="1">
      <alignment horizontal="left"/>
    </xf>
    <xf numFmtId="1" fontId="0" fillId="0" borderId="22" xfId="0" applyNumberFormat="1" applyBorder="1" applyAlignment="1">
      <alignment horizontal="left"/>
    </xf>
    <xf numFmtId="1" fontId="7" fillId="0" borderId="22" xfId="0" applyNumberFormat="1" applyFont="1" applyBorder="1" applyAlignment="1">
      <alignment horizontal="left"/>
    </xf>
    <xf numFmtId="0" fontId="7" fillId="3" borderId="22" xfId="0" applyFont="1" applyFill="1" applyBorder="1" applyAlignment="1">
      <alignment horizontal="left"/>
    </xf>
    <xf numFmtId="0" fontId="0" fillId="0" borderId="5" xfId="0" applyBorder="1" applyAlignment="1">
      <alignment horizontal="center" vertical="center"/>
    </xf>
    <xf numFmtId="0" fontId="7" fillId="4" borderId="28" xfId="0" applyFont="1" applyFill="1" applyBorder="1"/>
    <xf numFmtId="0" fontId="7" fillId="0" borderId="27" xfId="0" applyFont="1" applyBorder="1"/>
    <xf numFmtId="9" fontId="5" fillId="0" borderId="22" xfId="9" applyFont="1" applyBorder="1"/>
    <xf numFmtId="9" fontId="0" fillId="0" borderId="9" xfId="9" applyFont="1" applyFill="1" applyBorder="1"/>
    <xf numFmtId="0" fontId="5" fillId="0" borderId="0" xfId="118" applyAlignment="1">
      <alignment horizontal="right"/>
    </xf>
    <xf numFmtId="0" fontId="0" fillId="0" borderId="25" xfId="0" applyBorder="1" applyAlignment="1">
      <alignment horizontal="left" vertical="center"/>
    </xf>
    <xf numFmtId="0" fontId="0" fillId="0" borderId="4" xfId="0" applyBorder="1" applyAlignment="1">
      <alignment horizontal="left" vertical="center"/>
    </xf>
    <xf numFmtId="164" fontId="7" fillId="5" borderId="22" xfId="0" applyNumberFormat="1" applyFont="1" applyFill="1" applyBorder="1" applyAlignment="1">
      <alignment horizontal="center" vertical="center"/>
    </xf>
    <xf numFmtId="0" fontId="5" fillId="0" borderId="22" xfId="118" applyBorder="1" applyAlignment="1">
      <alignment horizontal="center"/>
    </xf>
    <xf numFmtId="0" fontId="45" fillId="0" borderId="0" xfId="118" applyFont="1"/>
    <xf numFmtId="165" fontId="42" fillId="0" borderId="0" xfId="118" applyNumberFormat="1" applyFont="1"/>
    <xf numFmtId="164" fontId="0" fillId="0" borderId="9" xfId="1" applyNumberFormat="1" applyFont="1" applyBorder="1" applyAlignment="1">
      <alignment horizontal="left"/>
    </xf>
    <xf numFmtId="164" fontId="0" fillId="0" borderId="6" xfId="1" applyNumberFormat="1" applyFont="1" applyBorder="1" applyAlignment="1">
      <alignment horizontal="left"/>
    </xf>
    <xf numFmtId="164" fontId="0" fillId="0" borderId="7" xfId="1" applyNumberFormat="1" applyFont="1" applyBorder="1" applyAlignment="1">
      <alignment horizontal="left"/>
    </xf>
    <xf numFmtId="165" fontId="0" fillId="0" borderId="22" xfId="5" applyNumberFormat="1" applyFont="1" applyBorder="1" applyAlignment="1">
      <alignment horizontal="left"/>
    </xf>
    <xf numFmtId="164" fontId="11" fillId="0" borderId="0" xfId="1" applyNumberFormat="1" applyFont="1" applyFill="1" applyBorder="1" applyAlignment="1">
      <alignment horizontal="left"/>
    </xf>
    <xf numFmtId="0" fontId="0" fillId="0" borderId="0" xfId="0" applyAlignment="1">
      <alignment horizontal="left"/>
    </xf>
    <xf numFmtId="164" fontId="0" fillId="0" borderId="22" xfId="1" applyNumberFormat="1" applyFont="1" applyBorder="1" applyAlignment="1">
      <alignment horizontal="left"/>
    </xf>
    <xf numFmtId="3" fontId="7" fillId="0" borderId="28" xfId="9" applyNumberFormat="1" applyFont="1" applyFill="1" applyBorder="1"/>
    <xf numFmtId="0" fontId="0" fillId="0" borderId="25" xfId="0" applyBorder="1" applyAlignment="1">
      <alignment horizontal="center" vertical="center" wrapText="1"/>
    </xf>
    <xf numFmtId="0" fontId="0" fillId="0" borderId="4" xfId="0" applyBorder="1" applyAlignment="1">
      <alignment horizontal="center" vertical="center" wrapText="1"/>
    </xf>
    <xf numFmtId="0" fontId="0" fillId="5" borderId="25" xfId="0" applyFill="1" applyBorder="1" applyAlignment="1">
      <alignment horizontal="center" vertical="center" wrapText="1"/>
    </xf>
    <xf numFmtId="9" fontId="7" fillId="0" borderId="22" xfId="9" applyFont="1" applyBorder="1"/>
    <xf numFmtId="0" fontId="46" fillId="0" borderId="0" xfId="118" applyFont="1"/>
    <xf numFmtId="165" fontId="7" fillId="0" borderId="26" xfId="5" applyNumberFormat="1" applyFont="1" applyBorder="1"/>
    <xf numFmtId="171" fontId="30" fillId="0" borderId="0" xfId="0" applyNumberFormat="1" applyFont="1" applyAlignment="1">
      <alignment horizontal="center" vertical="center"/>
    </xf>
    <xf numFmtId="0" fontId="0" fillId="0" borderId="18" xfId="0" applyBorder="1" applyAlignment="1">
      <alignment horizontal="center" vertical="center"/>
    </xf>
    <xf numFmtId="0" fontId="7" fillId="0" borderId="18" xfId="0" applyFont="1" applyBorder="1" applyAlignment="1">
      <alignment horizontal="center" vertical="center"/>
    </xf>
    <xf numFmtId="0" fontId="0" fillId="0" borderId="16" xfId="0" applyBorder="1" applyAlignment="1">
      <alignment horizontal="center" vertical="center"/>
    </xf>
    <xf numFmtId="3" fontId="7" fillId="0" borderId="16" xfId="9" applyNumberFormat="1" applyFont="1" applyBorder="1"/>
    <xf numFmtId="3" fontId="7" fillId="0" borderId="18" xfId="9" applyNumberFormat="1" applyFont="1" applyBorder="1"/>
    <xf numFmtId="3" fontId="7" fillId="0" borderId="31" xfId="9" applyNumberFormat="1" applyFont="1" applyFill="1" applyBorder="1"/>
    <xf numFmtId="3" fontId="7" fillId="0" borderId="32" xfId="9" applyNumberFormat="1" applyFont="1" applyFill="1" applyBorder="1"/>
    <xf numFmtId="0" fontId="48" fillId="0" borderId="0" xfId="0" applyFont="1"/>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0" fillId="5" borderId="25" xfId="0" applyFill="1" applyBorder="1" applyAlignment="1">
      <alignment horizontal="center" vertical="center"/>
    </xf>
    <xf numFmtId="0" fontId="0" fillId="5" borderId="5" xfId="0" applyFill="1" applyBorder="1" applyAlignment="1">
      <alignment horizontal="center" vertical="center"/>
    </xf>
    <xf numFmtId="0" fontId="7" fillId="0" borderId="9" xfId="0" applyFont="1" applyBorder="1" applyAlignment="1">
      <alignment horizontal="center" vertical="center" wrapText="1"/>
    </xf>
    <xf numFmtId="165" fontId="7" fillId="0" borderId="9" xfId="5" applyNumberFormat="1" applyFont="1" applyFill="1" applyBorder="1" applyAlignment="1">
      <alignment horizontal="center" vertical="center"/>
    </xf>
    <xf numFmtId="0" fontId="7" fillId="0" borderId="4" xfId="0" applyFont="1" applyBorder="1" applyAlignment="1">
      <alignmen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5" borderId="1" xfId="0" applyFill="1" applyBorder="1" applyAlignment="1">
      <alignment horizontal="left" vertical="center" wrapText="1"/>
    </xf>
    <xf numFmtId="0" fontId="0" fillId="0" borderId="25"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165" fontId="0" fillId="0" borderId="25" xfId="5" applyNumberFormat="1" applyFont="1" applyFill="1" applyBorder="1" applyAlignment="1">
      <alignment vertical="center" wrapText="1"/>
    </xf>
    <xf numFmtId="165" fontId="0" fillId="5" borderId="25" xfId="5" applyNumberFormat="1" applyFont="1" applyFill="1" applyBorder="1" applyAlignment="1">
      <alignment horizontal="center" vertical="center"/>
    </xf>
    <xf numFmtId="165" fontId="0" fillId="0" borderId="25" xfId="5" applyNumberFormat="1" applyFont="1" applyFill="1" applyBorder="1" applyAlignment="1">
      <alignment horizontal="center" vertical="center" wrapText="1"/>
    </xf>
    <xf numFmtId="165" fontId="7" fillId="5" borderId="7" xfId="5" applyNumberFormat="1" applyFont="1" applyFill="1" applyBorder="1" applyAlignment="1">
      <alignment horizontal="center" vertical="center"/>
    </xf>
    <xf numFmtId="165" fontId="0" fillId="0" borderId="4" xfId="5" applyNumberFormat="1" applyFont="1" applyFill="1" applyBorder="1" applyAlignment="1">
      <alignment vertical="center" wrapText="1"/>
    </xf>
    <xf numFmtId="165" fontId="0" fillId="5" borderId="4" xfId="5" applyNumberFormat="1" applyFont="1" applyFill="1" applyBorder="1" applyAlignment="1">
      <alignment horizontal="center" vertical="center"/>
    </xf>
    <xf numFmtId="165" fontId="0" fillId="0" borderId="4" xfId="5" applyNumberFormat="1" applyFont="1" applyFill="1" applyBorder="1" applyAlignment="1">
      <alignment horizontal="center" vertical="center" wrapText="1"/>
    </xf>
    <xf numFmtId="165" fontId="7" fillId="5" borderId="4" xfId="5" applyNumberFormat="1" applyFont="1" applyFill="1" applyBorder="1" applyAlignment="1">
      <alignment horizontal="center" vertical="center"/>
    </xf>
    <xf numFmtId="165" fontId="0" fillId="0" borderId="5" xfId="5" applyNumberFormat="1" applyFont="1" applyFill="1" applyBorder="1" applyAlignment="1">
      <alignment vertical="center" wrapText="1"/>
    </xf>
    <xf numFmtId="165" fontId="0" fillId="5" borderId="5" xfId="5" applyNumberFormat="1" applyFont="1" applyFill="1" applyBorder="1" applyAlignment="1">
      <alignment horizontal="center" vertical="center"/>
    </xf>
    <xf numFmtId="165" fontId="0" fillId="0" borderId="5" xfId="5" applyNumberFormat="1" applyFont="1" applyFill="1" applyBorder="1" applyAlignment="1">
      <alignment horizontal="center" vertical="center" wrapText="1"/>
    </xf>
    <xf numFmtId="165" fontId="7" fillId="5" borderId="5" xfId="5" applyNumberFormat="1" applyFont="1" applyFill="1" applyBorder="1" applyAlignment="1">
      <alignment horizontal="center" vertical="center"/>
    </xf>
    <xf numFmtId="165" fontId="7" fillId="0" borderId="25" xfId="5" applyNumberFormat="1" applyFont="1" applyFill="1" applyBorder="1" applyAlignment="1">
      <alignment horizontal="center" vertical="center" wrapText="1"/>
    </xf>
    <xf numFmtId="165" fontId="7" fillId="0" borderId="4" xfId="5" applyNumberFormat="1" applyFont="1" applyFill="1" applyBorder="1" applyAlignment="1">
      <alignment horizontal="center" vertical="center" wrapText="1"/>
    </xf>
    <xf numFmtId="165" fontId="0" fillId="0" borderId="25" xfId="5" applyNumberFormat="1" applyFont="1" applyFill="1" applyBorder="1" applyAlignment="1">
      <alignment horizontal="left" vertical="center" wrapText="1"/>
    </xf>
    <xf numFmtId="165" fontId="0" fillId="0" borderId="25" xfId="5" quotePrefix="1" applyNumberFormat="1" applyFont="1" applyFill="1" applyBorder="1" applyAlignment="1">
      <alignment horizontal="center" vertical="center"/>
    </xf>
    <xf numFmtId="165" fontId="0" fillId="0" borderId="4" xfId="5" applyNumberFormat="1" applyFont="1" applyFill="1" applyBorder="1" applyAlignment="1">
      <alignment horizontal="left" vertical="center" wrapText="1"/>
    </xf>
    <xf numFmtId="165" fontId="0" fillId="0" borderId="4" xfId="5" applyNumberFormat="1" applyFont="1" applyFill="1" applyBorder="1" applyAlignment="1">
      <alignment horizontal="center" vertical="center"/>
    </xf>
    <xf numFmtId="165" fontId="7" fillId="0" borderId="4" xfId="5" applyNumberFormat="1" applyFont="1" applyFill="1" applyBorder="1" applyAlignment="1">
      <alignment vertical="center" wrapText="1"/>
    </xf>
    <xf numFmtId="165" fontId="7" fillId="0" borderId="9" xfId="5" applyNumberFormat="1" applyFont="1" applyFill="1" applyBorder="1" applyAlignment="1">
      <alignment horizontal="center" vertical="center" wrapText="1"/>
    </xf>
    <xf numFmtId="165" fontId="0" fillId="0" borderId="5" xfId="5" applyNumberFormat="1" applyFont="1" applyFill="1" applyBorder="1" applyAlignment="1">
      <alignment horizontal="center" vertical="center"/>
    </xf>
    <xf numFmtId="165" fontId="0" fillId="0" borderId="25" xfId="5" applyNumberFormat="1" applyFont="1" applyFill="1" applyBorder="1" applyAlignment="1">
      <alignment horizontal="center" vertical="center"/>
    </xf>
    <xf numFmtId="165" fontId="0" fillId="0" borderId="7" xfId="5" applyNumberFormat="1" applyFont="1" applyFill="1" applyBorder="1" applyAlignment="1">
      <alignment horizontal="left" vertical="center" wrapText="1"/>
    </xf>
    <xf numFmtId="165" fontId="0" fillId="0" borderId="24" xfId="5" applyNumberFormat="1" applyFont="1" applyFill="1" applyBorder="1" applyAlignment="1">
      <alignment horizontal="center" vertical="center" wrapText="1"/>
    </xf>
    <xf numFmtId="165" fontId="0" fillId="0" borderId="9" xfId="5" applyNumberFormat="1" applyFont="1" applyFill="1" applyBorder="1" applyAlignment="1">
      <alignment horizontal="left" vertical="center" wrapText="1"/>
    </xf>
    <xf numFmtId="165" fontId="0" fillId="0" borderId="13" xfId="5" applyNumberFormat="1" applyFont="1" applyFill="1" applyBorder="1" applyAlignment="1">
      <alignment horizontal="center" vertical="center" wrapText="1"/>
    </xf>
    <xf numFmtId="165" fontId="0" fillId="0" borderId="6" xfId="5" applyNumberFormat="1" applyFont="1" applyFill="1" applyBorder="1" applyAlignment="1">
      <alignment horizontal="left" vertical="center" wrapText="1"/>
    </xf>
    <xf numFmtId="165" fontId="0" fillId="0" borderId="14" xfId="5" applyNumberFormat="1" applyFont="1" applyFill="1" applyBorder="1" applyAlignment="1">
      <alignment horizontal="center" vertical="center" wrapText="1"/>
    </xf>
    <xf numFmtId="165" fontId="0" fillId="0" borderId="5" xfId="5" applyNumberFormat="1" applyFont="1" applyFill="1" applyBorder="1" applyAlignment="1">
      <alignment horizontal="left" vertical="center" wrapText="1"/>
    </xf>
    <xf numFmtId="165" fontId="0" fillId="0" borderId="22" xfId="5" applyNumberFormat="1" applyFont="1" applyFill="1" applyBorder="1" applyAlignment="1">
      <alignment horizontal="center" vertical="center" wrapText="1"/>
    </xf>
    <xf numFmtId="165" fontId="0" fillId="5" borderId="1" xfId="5" applyNumberFormat="1" applyFont="1" applyFill="1" applyBorder="1" applyAlignment="1">
      <alignment horizontal="left" vertical="center" wrapText="1"/>
    </xf>
    <xf numFmtId="165" fontId="7" fillId="5" borderId="1" xfId="5"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0" borderId="4" xfId="0" applyFont="1" applyBorder="1" applyAlignment="1">
      <alignment horizontal="center" vertical="center"/>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5" xfId="0" applyFont="1" applyBorder="1" applyAlignment="1">
      <alignment horizontal="center" vertical="center"/>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22" xfId="0" applyFill="1" applyBorder="1" applyAlignment="1">
      <alignment horizontal="center" vertical="center" wrapText="1"/>
    </xf>
    <xf numFmtId="37" fontId="0" fillId="5" borderId="4" xfId="5" applyNumberFormat="1" applyFont="1" applyFill="1" applyBorder="1"/>
    <xf numFmtId="37" fontId="7" fillId="5" borderId="22" xfId="5" applyNumberFormat="1" applyFont="1" applyFill="1" applyBorder="1"/>
    <xf numFmtId="0" fontId="7" fillId="0" borderId="0" xfId="0" applyFont="1" applyAlignment="1">
      <alignment horizontal="center" vertical="center"/>
    </xf>
    <xf numFmtId="165" fontId="7" fillId="5" borderId="0" xfId="5" applyNumberFormat="1" applyFont="1" applyFill="1" applyBorder="1" applyAlignment="1">
      <alignment horizontal="center" vertical="center"/>
    </xf>
    <xf numFmtId="165" fontId="7" fillId="5" borderId="22" xfId="5" applyNumberFormat="1" applyFont="1" applyFill="1" applyBorder="1"/>
    <xf numFmtId="0" fontId="278" fillId="0" borderId="0" xfId="118" applyFont="1"/>
    <xf numFmtId="0" fontId="0" fillId="0" borderId="22" xfId="0" applyBorder="1" applyAlignment="1" applyProtection="1">
      <alignment readingOrder="1"/>
      <protection locked="0"/>
    </xf>
    <xf numFmtId="169" fontId="0" fillId="0" borderId="4" xfId="1" applyNumberFormat="1" applyFont="1" applyBorder="1"/>
    <xf numFmtId="169" fontId="0" fillId="0" borderId="25" xfId="1" applyNumberFormat="1" applyFont="1" applyBorder="1"/>
    <xf numFmtId="169" fontId="0" fillId="0" borderId="5" xfId="1" applyNumberFormat="1" applyFont="1" applyBorder="1"/>
    <xf numFmtId="164" fontId="7" fillId="0" borderId="26" xfId="1" applyNumberFormat="1" applyFont="1" applyBorder="1"/>
    <xf numFmtId="44" fontId="7" fillId="0" borderId="0" xfId="5" applyFont="1" applyBorder="1"/>
    <xf numFmtId="0" fontId="5" fillId="4" borderId="22" xfId="0" applyFont="1" applyFill="1" applyBorder="1"/>
    <xf numFmtId="167" fontId="0" fillId="0" borderId="0" xfId="5" applyNumberFormat="1" applyFont="1"/>
    <xf numFmtId="9" fontId="0" fillId="0" borderId="0" xfId="0" applyNumberFormat="1"/>
    <xf numFmtId="164" fontId="7" fillId="0" borderId="28" xfId="1" applyNumberFormat="1" applyFont="1" applyBorder="1"/>
    <xf numFmtId="0" fontId="279" fillId="6" borderId="0" xfId="0" applyFont="1" applyFill="1"/>
    <xf numFmtId="0" fontId="279" fillId="0" borderId="0" xfId="0" applyFont="1"/>
    <xf numFmtId="165" fontId="0" fillId="5" borderId="4" xfId="5" applyNumberFormat="1" applyFont="1" applyFill="1" applyBorder="1"/>
    <xf numFmtId="37" fontId="0" fillId="5" borderId="5" xfId="5" applyNumberFormat="1" applyFont="1" applyFill="1" applyBorder="1"/>
    <xf numFmtId="165" fontId="0" fillId="5" borderId="5" xfId="5" applyNumberFormat="1" applyFont="1" applyFill="1" applyBorder="1"/>
    <xf numFmtId="0" fontId="0" fillId="61" borderId="0" xfId="0" applyFill="1"/>
    <xf numFmtId="164" fontId="0" fillId="61" borderId="0" xfId="1" applyNumberFormat="1" applyFont="1" applyFill="1" applyBorder="1" applyAlignment="1">
      <alignment horizontal="center"/>
    </xf>
    <xf numFmtId="164" fontId="0" fillId="61" borderId="0" xfId="1" applyNumberFormat="1" applyFont="1" applyFill="1"/>
    <xf numFmtId="0" fontId="0" fillId="61" borderId="0" xfId="0" applyFill="1" applyAlignment="1">
      <alignment horizontal="center"/>
    </xf>
    <xf numFmtId="165" fontId="0" fillId="61" borderId="0" xfId="0" applyNumberFormat="1" applyFill="1"/>
    <xf numFmtId="165" fontId="0" fillId="61" borderId="0" xfId="5" applyNumberFormat="1" applyFont="1" applyFill="1"/>
    <xf numFmtId="0" fontId="27" fillId="61" borderId="0" xfId="0" applyFont="1" applyFill="1"/>
    <xf numFmtId="0" fontId="0" fillId="61" borderId="0" xfId="0" applyFill="1" applyAlignment="1">
      <alignment wrapText="1"/>
    </xf>
    <xf numFmtId="164" fontId="7" fillId="61" borderId="0" xfId="1" applyNumberFormat="1" applyFont="1" applyFill="1"/>
    <xf numFmtId="0" fontId="280" fillId="0" borderId="0" xfId="0" applyFont="1" applyAlignment="1">
      <alignment horizontal="center"/>
    </xf>
    <xf numFmtId="0" fontId="280" fillId="0" borderId="0" xfId="0" applyFont="1"/>
    <xf numFmtId="167" fontId="7" fillId="0" borderId="22" xfId="5" applyNumberFormat="1" applyFont="1" applyBorder="1"/>
    <xf numFmtId="0" fontId="278" fillId="0" borderId="0" xfId="118" applyFont="1" applyAlignment="1">
      <alignment horizontal="left"/>
    </xf>
    <xf numFmtId="9" fontId="5" fillId="0" borderId="0" xfId="118" applyNumberFormat="1"/>
    <xf numFmtId="9" fontId="0" fillId="0" borderId="25" xfId="9" applyFont="1" applyBorder="1"/>
    <xf numFmtId="9" fontId="0" fillId="0" borderId="7" xfId="9" applyFont="1" applyBorder="1"/>
    <xf numFmtId="0" fontId="0" fillId="0" borderId="23" xfId="0" applyBorder="1"/>
    <xf numFmtId="9" fontId="0" fillId="0" borderId="23" xfId="9" applyFont="1" applyFill="1" applyBorder="1"/>
    <xf numFmtId="0" fontId="281" fillId="0" borderId="0" xfId="0" applyFont="1" applyAlignment="1">
      <alignment horizontal="center"/>
    </xf>
    <xf numFmtId="0" fontId="0" fillId="4" borderId="2" xfId="0" applyFill="1" applyBorder="1"/>
    <xf numFmtId="0" fontId="282" fillId="0" borderId="22" xfId="0" applyFont="1" applyBorder="1"/>
    <xf numFmtId="164" fontId="0" fillId="0" borderId="4" xfId="0" applyNumberFormat="1" applyBorder="1"/>
    <xf numFmtId="164" fontId="0" fillId="0" borderId="3" xfId="0" applyNumberFormat="1" applyBorder="1"/>
    <xf numFmtId="164" fontId="7" fillId="0" borderId="4" xfId="1" applyNumberFormat="1" applyFont="1" applyFill="1" applyBorder="1"/>
    <xf numFmtId="9" fontId="25" fillId="0" borderId="22" xfId="9" applyFont="1" applyBorder="1"/>
    <xf numFmtId="0" fontId="5" fillId="0" borderId="22" xfId="118" applyBorder="1" applyAlignment="1">
      <alignment horizontal="right"/>
    </xf>
    <xf numFmtId="0" fontId="282" fillId="0" borderId="5" xfId="0" applyFont="1" applyBorder="1"/>
    <xf numFmtId="0" fontId="282" fillId="0" borderId="25" xfId="0" applyFont="1" applyBorder="1"/>
    <xf numFmtId="164" fontId="0" fillId="0" borderId="25" xfId="0" applyNumberFormat="1" applyBorder="1"/>
    <xf numFmtId="0" fontId="282" fillId="0" borderId="4" xfId="0" applyFont="1" applyBorder="1"/>
    <xf numFmtId="165" fontId="14" fillId="0" borderId="0" xfId="5" applyNumberFormat="1" applyFont="1"/>
    <xf numFmtId="167" fontId="7" fillId="61" borderId="0" xfId="0" applyNumberFormat="1" applyFont="1" applyFill="1" applyAlignment="1">
      <alignment wrapText="1"/>
    </xf>
    <xf numFmtId="164" fontId="7" fillId="0" borderId="2" xfId="0" applyNumberFormat="1" applyFont="1" applyBorder="1" applyAlignment="1">
      <alignment horizontal="center"/>
    </xf>
    <xf numFmtId="0" fontId="0" fillId="0" borderId="28" xfId="0" applyBorder="1" applyAlignment="1">
      <alignment horizontal="center"/>
    </xf>
    <xf numFmtId="164" fontId="7" fillId="0" borderId="22" xfId="0" applyNumberFormat="1" applyFont="1" applyBorder="1" applyAlignment="1">
      <alignment horizontal="center"/>
    </xf>
    <xf numFmtId="164" fontId="7" fillId="0" borderId="0" xfId="0" applyNumberFormat="1" applyFont="1" applyAlignment="1">
      <alignment horizontal="center"/>
    </xf>
    <xf numFmtId="44" fontId="0" fillId="61" borderId="0" xfId="5" applyFont="1" applyFill="1"/>
    <xf numFmtId="164" fontId="18" fillId="0" borderId="22" xfId="0" applyNumberFormat="1" applyFont="1" applyBorder="1" applyAlignment="1">
      <alignment horizontal="center"/>
    </xf>
    <xf numFmtId="9" fontId="7" fillId="0" borderId="25" xfId="9" applyFont="1" applyBorder="1"/>
    <xf numFmtId="9" fontId="7" fillId="0" borderId="4" xfId="9" applyFont="1" applyBorder="1"/>
    <xf numFmtId="9" fontId="7" fillId="0" borderId="5" xfId="9" applyFont="1" applyBorder="1"/>
    <xf numFmtId="0" fontId="0" fillId="0" borderId="4" xfId="0" applyBorder="1" applyAlignment="1">
      <alignment horizontal="left"/>
    </xf>
    <xf numFmtId="9" fontId="7" fillId="0" borderId="18" xfId="9" applyFont="1" applyFill="1" applyBorder="1" applyAlignment="1">
      <alignment horizontal="center"/>
    </xf>
    <xf numFmtId="9" fontId="5" fillId="0" borderId="22" xfId="9" applyFont="1" applyFill="1" applyBorder="1"/>
    <xf numFmtId="0" fontId="5" fillId="0" borderId="25" xfId="118" applyBorder="1" applyAlignment="1">
      <alignment horizontal="left"/>
    </xf>
    <xf numFmtId="0" fontId="5" fillId="0" borderId="4" xfId="118" applyBorder="1" applyAlignment="1">
      <alignment horizontal="left"/>
    </xf>
    <xf numFmtId="0" fontId="5" fillId="0" borderId="5" xfId="118" applyBorder="1" applyAlignment="1">
      <alignment horizontal="left"/>
    </xf>
    <xf numFmtId="164" fontId="283" fillId="9" borderId="4" xfId="1" applyNumberFormat="1" applyFont="1" applyFill="1" applyBorder="1"/>
    <xf numFmtId="164" fontId="283" fillId="9" borderId="5" xfId="1" applyNumberFormat="1" applyFont="1" applyFill="1" applyBorder="1"/>
    <xf numFmtId="169" fontId="283" fillId="9" borderId="25" xfId="1" applyNumberFormat="1" applyFont="1" applyFill="1" applyBorder="1"/>
    <xf numFmtId="169" fontId="283" fillId="9" borderId="4" xfId="1" applyNumberFormat="1" applyFont="1" applyFill="1" applyBorder="1"/>
    <xf numFmtId="169" fontId="283" fillId="9" borderId="5" xfId="1" applyNumberFormat="1" applyFont="1" applyFill="1" applyBorder="1"/>
    <xf numFmtId="0" fontId="0" fillId="0" borderId="24" xfId="0" applyBorder="1" applyAlignment="1">
      <alignment horizontal="center" vertical="center"/>
    </xf>
    <xf numFmtId="0" fontId="0" fillId="0" borderId="13" xfId="0" applyBorder="1" applyAlignment="1">
      <alignment horizontal="center" vertical="center"/>
    </xf>
    <xf numFmtId="165" fontId="5" fillId="0" borderId="22" xfId="5" applyNumberFormat="1" applyFont="1" applyFill="1" applyBorder="1"/>
    <xf numFmtId="165" fontId="11" fillId="0" borderId="22" xfId="5" applyNumberFormat="1" applyFont="1" applyFill="1" applyBorder="1"/>
    <xf numFmtId="0" fontId="5" fillId="0" borderId="22" xfId="118" applyBorder="1" applyAlignment="1">
      <alignment horizontal="right" indent="1"/>
    </xf>
    <xf numFmtId="0" fontId="41" fillId="0" borderId="0" xfId="118" applyFont="1"/>
    <xf numFmtId="164" fontId="5" fillId="0" borderId="22" xfId="1" applyNumberFormat="1" applyFont="1" applyFill="1" applyBorder="1"/>
    <xf numFmtId="0" fontId="0" fillId="5" borderId="22" xfId="0" applyFill="1" applyBorder="1" applyAlignment="1">
      <alignment horizontal="center"/>
    </xf>
    <xf numFmtId="0" fontId="0" fillId="5" borderId="22" xfId="0" applyFill="1" applyBorder="1"/>
    <xf numFmtId="0" fontId="0" fillId="0" borderId="5" xfId="0" applyBorder="1" applyAlignment="1">
      <alignment vertical="center"/>
    </xf>
    <xf numFmtId="164" fontId="34" fillId="0" borderId="25" xfId="1" applyNumberFormat="1" applyFont="1" applyFill="1" applyBorder="1"/>
    <xf numFmtId="164" fontId="34" fillId="0" borderId="25" xfId="0" applyNumberFormat="1" applyFont="1" applyBorder="1" applyAlignment="1">
      <alignment horizontal="center" vertical="center"/>
    </xf>
    <xf numFmtId="164" fontId="34" fillId="0" borderId="4" xfId="0" applyNumberFormat="1" applyFont="1" applyBorder="1" applyAlignment="1">
      <alignment horizontal="center" vertical="center"/>
    </xf>
    <xf numFmtId="164" fontId="34" fillId="0" borderId="5" xfId="0" applyNumberFormat="1" applyFont="1" applyBorder="1" applyAlignment="1">
      <alignment horizontal="center" vertical="center"/>
    </xf>
    <xf numFmtId="165" fontId="34" fillId="0" borderId="25" xfId="5" applyNumberFormat="1" applyFont="1" applyFill="1" applyBorder="1"/>
    <xf numFmtId="167" fontId="34" fillId="0" borderId="25" xfId="5" applyNumberFormat="1" applyFont="1" applyFill="1" applyBorder="1"/>
    <xf numFmtId="167" fontId="34" fillId="0" borderId="25" xfId="5" applyNumberFormat="1" applyFont="1" applyFill="1" applyBorder="1" applyAlignment="1">
      <alignment horizontal="center" vertical="center"/>
    </xf>
    <xf numFmtId="165" fontId="34" fillId="0" borderId="25" xfId="5" applyNumberFormat="1" applyFont="1" applyFill="1" applyBorder="1" applyAlignment="1">
      <alignment horizontal="center" vertical="center"/>
    </xf>
    <xf numFmtId="165" fontId="34" fillId="0" borderId="4" xfId="5" applyNumberFormat="1" applyFont="1" applyFill="1" applyBorder="1"/>
    <xf numFmtId="165" fontId="34" fillId="0" borderId="4" xfId="5" applyNumberFormat="1" applyFont="1" applyFill="1" applyBorder="1" applyAlignment="1">
      <alignment horizontal="center" vertical="center"/>
    </xf>
    <xf numFmtId="167" fontId="34" fillId="0" borderId="4" xfId="5" applyNumberFormat="1" applyFont="1" applyFill="1" applyBorder="1" applyAlignment="1">
      <alignment horizontal="center" vertical="center"/>
    </xf>
    <xf numFmtId="165" fontId="34" fillId="0" borderId="5" xfId="5" applyNumberFormat="1" applyFont="1" applyFill="1" applyBorder="1"/>
    <xf numFmtId="165" fontId="34" fillId="0" borderId="5" xfId="5" applyNumberFormat="1" applyFont="1" applyFill="1" applyBorder="1" applyAlignment="1">
      <alignment horizontal="center" vertical="center"/>
    </xf>
    <xf numFmtId="9" fontId="5" fillId="0" borderId="0" xfId="9" applyFont="1" applyFill="1"/>
    <xf numFmtId="0" fontId="0" fillId="0" borderId="22" xfId="0" applyBorder="1" applyAlignment="1">
      <alignment horizontal="left" vertical="center"/>
    </xf>
    <xf numFmtId="0" fontId="14" fillId="0" borderId="0" xfId="0" applyFont="1" applyAlignment="1">
      <alignment horizontal="center"/>
    </xf>
    <xf numFmtId="0" fontId="0" fillId="62" borderId="0" xfId="0" applyFill="1"/>
    <xf numFmtId="1" fontId="0" fillId="62" borderId="0" xfId="0" applyNumberFormat="1" applyFill="1"/>
    <xf numFmtId="9" fontId="0" fillId="62" borderId="0" xfId="9" applyFont="1" applyFill="1"/>
    <xf numFmtId="0" fontId="27" fillId="62" borderId="0" xfId="0" applyFont="1" applyFill="1" applyAlignment="1">
      <alignment horizontal="left"/>
    </xf>
    <xf numFmtId="1" fontId="283" fillId="9" borderId="0" xfId="0" applyNumberFormat="1" applyFont="1" applyFill="1"/>
    <xf numFmtId="0" fontId="283" fillId="9" borderId="0" xfId="0" applyFont="1" applyFill="1"/>
    <xf numFmtId="3" fontId="34" fillId="0" borderId="1" xfId="9" applyNumberFormat="1" applyFont="1" applyFill="1" applyBorder="1"/>
    <xf numFmtId="3" fontId="34" fillId="0" borderId="22" xfId="9" applyNumberFormat="1" applyFont="1" applyFill="1" applyBorder="1"/>
    <xf numFmtId="0" fontId="37" fillId="0" borderId="0" xfId="118" applyFont="1"/>
    <xf numFmtId="165" fontId="42" fillId="0" borderId="0" xfId="9" applyNumberFormat="1" applyFont="1"/>
    <xf numFmtId="164" fontId="0" fillId="0" borderId="25" xfId="1" applyNumberFormat="1" applyFont="1" applyFill="1" applyBorder="1"/>
    <xf numFmtId="164" fontId="0" fillId="0" borderId="5" xfId="1" applyNumberFormat="1" applyFont="1" applyFill="1" applyBorder="1"/>
    <xf numFmtId="164" fontId="0" fillId="0" borderId="4" xfId="1" applyNumberFormat="1" applyFont="1" applyFill="1" applyBorder="1"/>
    <xf numFmtId="0" fontId="278" fillId="0" borderId="0" xfId="118" applyFont="1" applyAlignment="1">
      <alignment horizontal="right"/>
    </xf>
    <xf numFmtId="165" fontId="7" fillId="10" borderId="5" xfId="5" applyNumberFormat="1" applyFont="1" applyFill="1" applyBorder="1"/>
    <xf numFmtId="165" fontId="0" fillId="0" borderId="22" xfId="5" applyNumberFormat="1" applyFont="1" applyFill="1" applyBorder="1"/>
    <xf numFmtId="0" fontId="0" fillId="10" borderId="4" xfId="0" applyFill="1" applyBorder="1"/>
    <xf numFmtId="164" fontId="7" fillId="10" borderId="9" xfId="1" applyNumberFormat="1" applyFont="1" applyFill="1" applyBorder="1"/>
    <xf numFmtId="0" fontId="0" fillId="10" borderId="5" xfId="0" applyFill="1" applyBorder="1" applyAlignment="1">
      <alignment horizontal="left" vertical="center"/>
    </xf>
    <xf numFmtId="0" fontId="5" fillId="0" borderId="22" xfId="118" applyBorder="1" applyAlignment="1">
      <alignment horizontal="left"/>
    </xf>
    <xf numFmtId="164" fontId="0" fillId="0" borderId="28" xfId="1" applyNumberFormat="1" applyFont="1" applyFill="1" applyBorder="1" applyAlignment="1">
      <alignment horizontal="center"/>
    </xf>
    <xf numFmtId="165" fontId="0" fillId="0" borderId="28" xfId="5" applyNumberFormat="1" applyFont="1" applyFill="1" applyBorder="1" applyAlignment="1">
      <alignment horizontal="center"/>
    </xf>
    <xf numFmtId="165" fontId="11" fillId="0" borderId="0" xfId="9" applyNumberFormat="1" applyFont="1" applyFill="1" applyBorder="1"/>
    <xf numFmtId="0" fontId="40" fillId="0" borderId="0" xfId="0" applyFont="1" applyAlignment="1">
      <alignment horizontal="center"/>
    </xf>
    <xf numFmtId="165" fontId="283" fillId="0" borderId="1" xfId="5" applyNumberFormat="1" applyFont="1" applyFill="1" applyBorder="1"/>
    <xf numFmtId="165" fontId="283" fillId="0" borderId="22" xfId="5" applyNumberFormat="1" applyFont="1" applyFill="1" applyBorder="1"/>
    <xf numFmtId="164" fontId="283" fillId="0" borderId="1" xfId="1" applyNumberFormat="1" applyFont="1" applyFill="1" applyBorder="1"/>
    <xf numFmtId="164" fontId="283" fillId="0" borderId="22" xfId="1" applyNumberFormat="1" applyFont="1" applyFill="1" applyBorder="1"/>
    <xf numFmtId="0" fontId="284" fillId="0" borderId="0" xfId="0" applyFont="1" applyAlignment="1">
      <alignment horizontal="center"/>
    </xf>
    <xf numFmtId="37" fontId="283" fillId="5" borderId="1" xfId="5" applyNumberFormat="1" applyFont="1" applyFill="1" applyBorder="1"/>
    <xf numFmtId="37" fontId="283" fillId="5" borderId="25" xfId="5" applyNumberFormat="1" applyFont="1" applyFill="1" applyBorder="1"/>
    <xf numFmtId="37" fontId="283" fillId="5" borderId="4" xfId="5" applyNumberFormat="1" applyFont="1" applyFill="1" applyBorder="1"/>
    <xf numFmtId="37" fontId="283" fillId="5" borderId="5" xfId="5" applyNumberFormat="1" applyFont="1" applyFill="1" applyBorder="1"/>
    <xf numFmtId="165" fontId="283" fillId="5" borderId="25" xfId="5" applyNumberFormat="1" applyFont="1" applyFill="1" applyBorder="1" applyAlignment="1">
      <alignment horizontal="center" vertical="center"/>
    </xf>
    <xf numFmtId="165" fontId="283" fillId="5" borderId="4" xfId="5" applyNumberFormat="1" applyFont="1" applyFill="1" applyBorder="1" applyAlignment="1">
      <alignment horizontal="center" vertical="center"/>
    </xf>
    <xf numFmtId="37" fontId="283" fillId="5" borderId="22" xfId="5" applyNumberFormat="1" applyFont="1" applyFill="1" applyBorder="1"/>
    <xf numFmtId="164" fontId="285" fillId="0" borderId="22" xfId="0" applyNumberFormat="1" applyFont="1" applyBorder="1"/>
    <xf numFmtId="165" fontId="283" fillId="0" borderId="25" xfId="5" applyNumberFormat="1" applyFont="1" applyFill="1" applyBorder="1"/>
    <xf numFmtId="165" fontId="283" fillId="0" borderId="25" xfId="5" applyNumberFormat="1" applyFont="1" applyFill="1" applyBorder="1" applyAlignment="1">
      <alignment horizontal="center" vertical="center"/>
    </xf>
    <xf numFmtId="165" fontId="283" fillId="0" borderId="4" xfId="5" applyNumberFormat="1" applyFont="1" applyFill="1" applyBorder="1"/>
    <xf numFmtId="165" fontId="283" fillId="0" borderId="4" xfId="5" applyNumberFormat="1" applyFont="1" applyFill="1" applyBorder="1" applyAlignment="1">
      <alignment horizontal="center" vertical="center"/>
    </xf>
    <xf numFmtId="165" fontId="283" fillId="0" borderId="5" xfId="5" applyNumberFormat="1" applyFont="1" applyFill="1" applyBorder="1"/>
    <xf numFmtId="165" fontId="283" fillId="0" borderId="5" xfId="5" applyNumberFormat="1" applyFont="1" applyFill="1" applyBorder="1" applyAlignment="1">
      <alignment horizontal="center" vertical="center"/>
    </xf>
    <xf numFmtId="167" fontId="283" fillId="0" borderId="25" xfId="5" applyNumberFormat="1" applyFont="1" applyFill="1" applyBorder="1" applyAlignment="1">
      <alignment horizontal="center" vertical="center"/>
    </xf>
    <xf numFmtId="167" fontId="283" fillId="0" borderId="5" xfId="5" applyNumberFormat="1" applyFont="1" applyFill="1" applyBorder="1" applyAlignment="1">
      <alignment horizontal="center" vertical="center"/>
    </xf>
    <xf numFmtId="164" fontId="283" fillId="0" borderId="1" xfId="1" applyNumberFormat="1" applyFont="1" applyBorder="1" applyAlignment="1">
      <alignment horizontal="right"/>
    </xf>
    <xf numFmtId="164" fontId="283" fillId="0" borderId="25" xfId="1" applyNumberFormat="1" applyFont="1" applyBorder="1" applyAlignment="1">
      <alignment horizontal="right"/>
    </xf>
    <xf numFmtId="164" fontId="283" fillId="0" borderId="4" xfId="1" applyNumberFormat="1" applyFont="1" applyBorder="1" applyAlignment="1">
      <alignment horizontal="right"/>
    </xf>
    <xf numFmtId="164" fontId="283" fillId="0" borderId="5" xfId="1" applyNumberFormat="1" applyFont="1" applyBorder="1" applyAlignment="1">
      <alignment horizontal="right"/>
    </xf>
    <xf numFmtId="164" fontId="283" fillId="0" borderId="22" xfId="1" applyNumberFormat="1" applyFont="1" applyBorder="1" applyAlignment="1">
      <alignment horizontal="right"/>
    </xf>
    <xf numFmtId="165" fontId="283" fillId="0" borderId="2" xfId="5" applyNumberFormat="1" applyFont="1" applyFill="1" applyBorder="1"/>
    <xf numFmtId="165" fontId="283" fillId="0" borderId="25" xfId="5" applyNumberFormat="1" applyFont="1" applyBorder="1"/>
    <xf numFmtId="165" fontId="283" fillId="0" borderId="4" xfId="5" applyNumberFormat="1" applyFont="1" applyBorder="1"/>
    <xf numFmtId="165" fontId="283" fillId="0" borderId="5" xfId="5" applyNumberFormat="1" applyFont="1" applyBorder="1"/>
    <xf numFmtId="0" fontId="7" fillId="0" borderId="25" xfId="0" applyFont="1" applyBorder="1" applyAlignment="1">
      <alignment vertical="center" wrapText="1"/>
    </xf>
    <xf numFmtId="0" fontId="7" fillId="0" borderId="5" xfId="0" applyFont="1" applyBorder="1" applyAlignment="1">
      <alignment vertical="center" wrapText="1"/>
    </xf>
    <xf numFmtId="165" fontId="7" fillId="0" borderId="25" xfId="5" applyNumberFormat="1" applyFont="1" applyFill="1" applyBorder="1" applyAlignment="1">
      <alignment vertical="center" wrapText="1"/>
    </xf>
    <xf numFmtId="165" fontId="7" fillId="0" borderId="5" xfId="5" applyNumberFormat="1" applyFont="1" applyFill="1" applyBorder="1" applyAlignment="1">
      <alignment horizontal="center" vertical="center" wrapText="1"/>
    </xf>
    <xf numFmtId="165" fontId="11" fillId="0" borderId="25" xfId="5" applyNumberFormat="1" applyFont="1" applyBorder="1" applyAlignment="1">
      <alignment horizontal="center"/>
    </xf>
    <xf numFmtId="165" fontId="11" fillId="0" borderId="4" xfId="5" applyNumberFormat="1" applyFont="1" applyBorder="1" applyAlignment="1">
      <alignment horizontal="center"/>
    </xf>
    <xf numFmtId="165" fontId="11" fillId="0" borderId="5" xfId="5" applyNumberFormat="1" applyFont="1" applyBorder="1" applyAlignment="1">
      <alignment horizontal="center"/>
    </xf>
    <xf numFmtId="165" fontId="7" fillId="0" borderId="5" xfId="5" applyNumberFormat="1" applyFont="1" applyFill="1" applyBorder="1" applyAlignment="1">
      <alignment vertical="center" wrapText="1"/>
    </xf>
    <xf numFmtId="164" fontId="283" fillId="0" borderId="5" xfId="0" applyNumberFormat="1" applyFont="1" applyBorder="1" applyAlignment="1">
      <alignment horizontal="center" vertical="center"/>
    </xf>
    <xf numFmtId="164" fontId="283" fillId="0" borderId="4" xfId="0" applyNumberFormat="1" applyFont="1" applyBorder="1" applyAlignment="1">
      <alignment horizontal="center" vertical="center"/>
    </xf>
    <xf numFmtId="164" fontId="283" fillId="0" borderId="25" xfId="0" applyNumberFormat="1" applyFont="1" applyBorder="1" applyAlignment="1">
      <alignment horizontal="center" vertical="center"/>
    </xf>
    <xf numFmtId="164" fontId="283" fillId="0" borderId="9" xfId="0" applyNumberFormat="1" applyFont="1" applyBorder="1" applyAlignment="1">
      <alignment horizontal="center" vertical="center"/>
    </xf>
    <xf numFmtId="165" fontId="283" fillId="5" borderId="7" xfId="5" applyNumberFormat="1" applyFont="1" applyFill="1" applyBorder="1" applyAlignment="1">
      <alignment horizontal="center" vertical="center"/>
    </xf>
    <xf numFmtId="165" fontId="283" fillId="0" borderId="7" xfId="5" applyNumberFormat="1" applyFont="1" applyFill="1" applyBorder="1" applyAlignment="1">
      <alignment horizontal="center" vertical="center"/>
    </xf>
    <xf numFmtId="165" fontId="283" fillId="0" borderId="9" xfId="5" applyNumberFormat="1" applyFont="1" applyFill="1" applyBorder="1" applyAlignment="1">
      <alignment horizontal="center" vertical="center"/>
    </xf>
    <xf numFmtId="165" fontId="0" fillId="0" borderId="7" xfId="5" applyNumberFormat="1" applyFont="1" applyFill="1" applyBorder="1" applyAlignment="1">
      <alignment horizontal="center" vertical="center" wrapText="1"/>
    </xf>
    <xf numFmtId="165" fontId="0" fillId="0" borderId="6" xfId="5" applyNumberFormat="1" applyFont="1" applyFill="1" applyBorder="1" applyAlignment="1">
      <alignment horizontal="center" vertical="center" wrapText="1"/>
    </xf>
    <xf numFmtId="164" fontId="283" fillId="5" borderId="26" xfId="0" applyNumberFormat="1" applyFont="1" applyFill="1" applyBorder="1" applyAlignment="1">
      <alignment horizontal="center" vertical="center"/>
    </xf>
    <xf numFmtId="165" fontId="14" fillId="0" borderId="0" xfId="9" applyNumberFormat="1" applyFont="1"/>
    <xf numFmtId="164" fontId="0" fillId="0" borderId="25" xfId="1" applyNumberFormat="1" applyFont="1" applyBorder="1" applyAlignment="1">
      <alignment horizontal="left"/>
    </xf>
    <xf numFmtId="164" fontId="0" fillId="0" borderId="5" xfId="1" applyNumberFormat="1" applyFont="1" applyBorder="1" applyAlignment="1">
      <alignment horizontal="left"/>
    </xf>
    <xf numFmtId="37" fontId="0" fillId="0" borderId="0" xfId="0" applyNumberFormat="1"/>
    <xf numFmtId="0" fontId="286" fillId="0" borderId="0" xfId="0" applyFont="1"/>
    <xf numFmtId="164" fontId="285" fillId="9" borderId="9" xfId="1" applyNumberFormat="1" applyFont="1" applyFill="1" applyBorder="1"/>
    <xf numFmtId="0" fontId="7" fillId="0" borderId="22" xfId="0" applyFont="1" applyBorder="1" applyAlignment="1">
      <alignment horizontal="left"/>
    </xf>
    <xf numFmtId="164" fontId="11" fillId="0" borderId="22" xfId="1" applyNumberFormat="1" applyFont="1" applyFill="1" applyBorder="1"/>
    <xf numFmtId="0" fontId="0" fillId="0" borderId="22" xfId="0" applyBorder="1" applyAlignment="1">
      <alignment vertical="center"/>
    </xf>
    <xf numFmtId="164" fontId="7" fillId="0" borderId="25" xfId="0" applyNumberFormat="1" applyFont="1" applyBorder="1" applyAlignment="1">
      <alignment horizontal="center"/>
    </xf>
    <xf numFmtId="0" fontId="4" fillId="0" borderId="0" xfId="118" applyFont="1"/>
    <xf numFmtId="0" fontId="0" fillId="5" borderId="0" xfId="0" applyFill="1" applyAlignment="1">
      <alignment horizontal="left" vertical="center" wrapText="1"/>
    </xf>
    <xf numFmtId="0" fontId="7"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7"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8" fillId="0" borderId="26" xfId="118" applyFont="1" applyBorder="1" applyAlignment="1">
      <alignment horizontal="left" wrapText="1"/>
    </xf>
    <xf numFmtId="0" fontId="28" fillId="0" borderId="27" xfId="118" applyFont="1" applyBorder="1" applyAlignment="1">
      <alignment horizontal="left" wrapText="1"/>
    </xf>
    <xf numFmtId="0" fontId="28" fillId="0" borderId="28" xfId="118" applyFont="1" applyBorder="1" applyAlignment="1">
      <alignment horizontal="left" wrapText="1"/>
    </xf>
    <xf numFmtId="0" fontId="3" fillId="0" borderId="26" xfId="118" applyFont="1" applyBorder="1" applyAlignment="1">
      <alignment horizontal="left" wrapText="1"/>
    </xf>
    <xf numFmtId="0" fontId="7" fillId="0" borderId="0" xfId="0" applyFont="1" applyAlignment="1">
      <alignment horizontal="center"/>
    </xf>
    <xf numFmtId="165" fontId="0" fillId="0" borderId="4" xfId="5" applyNumberFormat="1" applyFont="1" applyFill="1"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69"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17" fontId="43" fillId="5" borderId="0" xfId="0" applyNumberFormat="1" applyFont="1" applyFill="1"/>
    <xf numFmtId="0" fontId="0" fillId="0" borderId="0" xfId="0" applyFill="1"/>
    <xf numFmtId="168" fontId="43" fillId="0" borderId="0" xfId="0" applyNumberFormat="1" applyFont="1"/>
    <xf numFmtId="17" fontId="43" fillId="0" borderId="0" xfId="0" applyNumberFormat="1" applyFont="1"/>
    <xf numFmtId="17" fontId="43" fillId="0" borderId="0" xfId="0" applyNumberFormat="1" applyFont="1" applyAlignment="1">
      <alignment horizontal="left" vertical="center"/>
    </xf>
  </cellXfs>
  <cellStyles count="4599">
    <cellStyle name="_x0010_" xfId="276" xr:uid="{00000000-0005-0000-0000-000000000000}"/>
    <cellStyle name="_x000a_386grabber=M" xfId="277" xr:uid="{00000000-0005-0000-0000-000001000000}"/>
    <cellStyle name="_x000d__x000a_JournalTemplate=C:\COMFO\CTALK\JOURSTD.TPL_x000d__x000a_LbStateAddress=3 3 0 251 1 89 2 311_x000d__x000a_LbStateJou" xfId="278" xr:uid="{00000000-0005-0000-0000-000002000000}"/>
    <cellStyle name="_x000d__x000a_JournalTemplate=C:\COMFO\CTALK\JOURSTD.TPL_x000d__x000a_LbStateAddress=3 3 0 251 1 89 2 311_x000d__x000a_LbStateJou 2" xfId="279" xr:uid="{00000000-0005-0000-0000-000003000000}"/>
    <cellStyle name="_x000d__x000a_JournalTemplate=C:\COMFO\CTALK\JOURSTD.TPL_x000d__x000a_LbStateAddress=3 3 0 251 1 89 2 311_x000d__x000a_LbStateJou 3" xfId="280" xr:uid="{00000000-0005-0000-0000-000004000000}"/>
    <cellStyle name="$" xfId="281" xr:uid="{00000000-0005-0000-0000-000005000000}"/>
    <cellStyle name="$$K" xfId="282" xr:uid="{00000000-0005-0000-0000-000006000000}"/>
    <cellStyle name="$$Mil" xfId="283" xr:uid="{00000000-0005-0000-0000-000007000000}"/>
    <cellStyle name="%" xfId="284" xr:uid="{00000000-0005-0000-0000-000008000000}"/>
    <cellStyle name="% 2" xfId="285" xr:uid="{00000000-0005-0000-0000-000009000000}"/>
    <cellStyle name="% 3" xfId="286" xr:uid="{00000000-0005-0000-0000-00000A000000}"/>
    <cellStyle name="% 4" xfId="287" xr:uid="{00000000-0005-0000-0000-00000B000000}"/>
    <cellStyle name="% 5" xfId="288" xr:uid="{00000000-0005-0000-0000-00000C000000}"/>
    <cellStyle name="% 6" xfId="289" xr:uid="{00000000-0005-0000-0000-00000D000000}"/>
    <cellStyle name="% 7" xfId="290" xr:uid="{00000000-0005-0000-0000-00000E000000}"/>
    <cellStyle name="% 8" xfId="291" xr:uid="{00000000-0005-0000-0000-00000F000000}"/>
    <cellStyle name="******************************************" xfId="292" xr:uid="{00000000-0005-0000-0000-000010000000}"/>
    <cellStyle name="?? [0.00]_PERSONAL" xfId="293" xr:uid="{00000000-0005-0000-0000-000011000000}"/>
    <cellStyle name="?? [0]_??" xfId="294" xr:uid="{00000000-0005-0000-0000-000012000000}"/>
    <cellStyle name="???? [0.00]_PERSONAL" xfId="295" xr:uid="{00000000-0005-0000-0000-000013000000}"/>
    <cellStyle name="????_PERSONAL" xfId="296" xr:uid="{00000000-0005-0000-0000-000014000000}"/>
    <cellStyle name="??_?.????" xfId="297" xr:uid="{00000000-0005-0000-0000-000015000000}"/>
    <cellStyle name="_%(SignOnly)" xfId="298" xr:uid="{00000000-0005-0000-0000-000016000000}"/>
    <cellStyle name="_%(SignSpaceOnly)" xfId="299" xr:uid="{00000000-0005-0000-0000-000017000000}"/>
    <cellStyle name="_02.12 Bookings details" xfId="300" xr:uid="{00000000-0005-0000-0000-000018000000}"/>
    <cellStyle name="_02.12 Bookings details_Acquisition Schedules" xfId="301" xr:uid="{00000000-0005-0000-0000-000019000000}"/>
    <cellStyle name="_05 SA Key Trend Data" xfId="302" xr:uid="{00000000-0005-0000-0000-00001A000000}"/>
    <cellStyle name="_07.10" xfId="303" xr:uid="{00000000-0005-0000-0000-00001B000000}"/>
    <cellStyle name="_0706_CISCO Q4 FCST_CISCO VIEW_062107_V1A_CHQ PLNG" xfId="304" xr:uid="{00000000-0005-0000-0000-00001C000000}"/>
    <cellStyle name="_0706_CISCO_Cisco WebEx - Proforma PL_6-23-07_HYPERION" xfId="305" xr:uid="{00000000-0005-0000-0000-00001D000000}"/>
    <cellStyle name="_0707_CISCO_FOR CORP_ FY 08 PLAN MODEL_WEBEX_FINAL_CHQ PLNG" xfId="306" xr:uid="{00000000-0005-0000-0000-00001E000000}"/>
    <cellStyle name="_0707_CISCO_FOR CORP_ FY 08 PLAN MODEL_WEBEX_FINAL_CHQ PLNG_Acquisition Schedules" xfId="307" xr:uid="{00000000-0005-0000-0000-00001F000000}"/>
    <cellStyle name="_0707_CISCO_FY 08 PLAN MODEL_WEBEX_V3A_071607_CHQ PLNG" xfId="308" xr:uid="{00000000-0005-0000-0000-000020000000}"/>
    <cellStyle name="_0707_CISCO_FY 08 PLAN MODEL_WEBEX_V3A_071607_CHQ PLNG_Acquisition Schedules" xfId="309" xr:uid="{00000000-0005-0000-0000-000021000000}"/>
    <cellStyle name="_0707_CISCO_FY 08 PLAN MODEL_WEBEX_V4C_072507_CHQ PLNG" xfId="310" xr:uid="{00000000-0005-0000-0000-000022000000}"/>
    <cellStyle name="_0707_CISCO_FY 08 PLAN MODEL_WEBEX_V4C_072507_CHQ PLNG_Acquisition Schedules" xfId="311" xr:uid="{00000000-0005-0000-0000-000023000000}"/>
    <cellStyle name="_0708_WEBEXCONNECT PLAN CONTING- Q108 v9_APPROVED_CHQ PLNG" xfId="312" xr:uid="{00000000-0005-0000-0000-000024000000}"/>
    <cellStyle name="_0708_WEBEXCONNECT PLAN CONTING- Q108 v9_APPROVED_CHQ PLNG_Acquisition Schedules" xfId="313" xr:uid="{00000000-0005-0000-0000-000025000000}"/>
    <cellStyle name="_0708_WEBEXCONNECT PLAN CONTING- Q108 v9_APPROVED_CHQ PLNG_Acquisition Schedules_1" xfId="314" xr:uid="{00000000-0005-0000-0000-000026000000}"/>
    <cellStyle name="_0709_Q1 FCST_RANGE_09_24_07_V1_CHQ PLNG" xfId="315" xr:uid="{00000000-0005-0000-0000-000027000000}"/>
    <cellStyle name="_1.3.07 SA Closing Package DEC" xfId="316" xr:uid="{00000000-0005-0000-0000-000028000000}"/>
    <cellStyle name="_1.3.07 SA Closing Package DEC 2" xfId="317" xr:uid="{00000000-0005-0000-0000-000029000000}"/>
    <cellStyle name="_1.3.07 SA Closing Package DEC 3" xfId="318" xr:uid="{00000000-0005-0000-0000-00002A000000}"/>
    <cellStyle name="_1.3.07 SA Closing Package DEC 4" xfId="319" xr:uid="{00000000-0005-0000-0000-00002B000000}"/>
    <cellStyle name="_1.3.07 SA Closing Package DEC 5" xfId="320" xr:uid="{00000000-0005-0000-0000-00002C000000}"/>
    <cellStyle name="_1.3.07 SA Closing Package DEC 6" xfId="321" xr:uid="{00000000-0005-0000-0000-00002D000000}"/>
    <cellStyle name="_1.3.07 SA Closing Package DEC 7" xfId="322" xr:uid="{00000000-0005-0000-0000-00002E000000}"/>
    <cellStyle name="_1.3.07 SA Closing Package DEC 8" xfId="323" xr:uid="{00000000-0005-0000-0000-00002F000000}"/>
    <cellStyle name="_10 29 08 Demantra Upload" xfId="324" xr:uid="{00000000-0005-0000-0000-000030000000}"/>
    <cellStyle name="_10 29 08 Demantra Upload 2" xfId="325" xr:uid="{00000000-0005-0000-0000-000031000000}"/>
    <cellStyle name="_10 30 08 Demantra Upload" xfId="326" xr:uid="{00000000-0005-0000-0000-000032000000}"/>
    <cellStyle name="_10 30 08 Demantra Upload 2" xfId="327" xr:uid="{00000000-0005-0000-0000-000033000000}"/>
    <cellStyle name="_11 Bookings by Theater" xfId="328" xr:uid="{00000000-0005-0000-0000-000034000000}"/>
    <cellStyle name="_11 Bookings by Theater_Acquisition Schedules" xfId="329" xr:uid="{00000000-0005-0000-0000-000035000000}"/>
    <cellStyle name="_11.29.06 Closing Pack SA November" xfId="330" xr:uid="{00000000-0005-0000-0000-000036000000}"/>
    <cellStyle name="_11.29.06 Closing Pack SA November 2" xfId="331" xr:uid="{00000000-0005-0000-0000-000037000000}"/>
    <cellStyle name="_11.29.06 Closing Pack SA November 3" xfId="332" xr:uid="{00000000-0005-0000-0000-000038000000}"/>
    <cellStyle name="_11.29.06 Closing Pack SA November 4" xfId="333" xr:uid="{00000000-0005-0000-0000-000039000000}"/>
    <cellStyle name="_11.29.06 Closing Pack SA November 5" xfId="334" xr:uid="{00000000-0005-0000-0000-00003A000000}"/>
    <cellStyle name="_11.29.06 Closing Pack SA November 6" xfId="335" xr:uid="{00000000-0005-0000-0000-00003B000000}"/>
    <cellStyle name="_11.29.06 Closing Pack SA November 7" xfId="336" xr:uid="{00000000-0005-0000-0000-00003C000000}"/>
    <cellStyle name="_11.29.06 Closing Pack SA November 8" xfId="337" xr:uid="{00000000-0005-0000-0000-00003D000000}"/>
    <cellStyle name="_117492.xls Chart 31" xfId="338" xr:uid="{00000000-0005-0000-0000-00003E000000}"/>
    <cellStyle name="_117492.xls Chart 31_Acquisition Schedules" xfId="339" xr:uid="{00000000-0005-0000-0000-00003F000000}"/>
    <cellStyle name="_117492.xls Chart 31_Financial Model v6-03-26-2004" xfId="340" xr:uid="{00000000-0005-0000-0000-000040000000}"/>
    <cellStyle name="_117492.xls Chart 31_Financial Model v6-03-26-2004_Acquisition Schedules" xfId="341" xr:uid="{00000000-0005-0000-0000-000041000000}"/>
    <cellStyle name="_117492.xls Chart 32" xfId="342" xr:uid="{00000000-0005-0000-0000-000042000000}"/>
    <cellStyle name="_117492.xls Chart 32_Acquisition Schedules" xfId="343" xr:uid="{00000000-0005-0000-0000-000043000000}"/>
    <cellStyle name="_117492.xls Chart 32_Financial Model v6-03-26-2004" xfId="344" xr:uid="{00000000-0005-0000-0000-000044000000}"/>
    <cellStyle name="_117492.xls Chart 32_Financial Model v6-03-26-2004_Acquisition Schedules" xfId="345" xr:uid="{00000000-0005-0000-0000-000045000000}"/>
    <cellStyle name="_117492.xls Chart 33" xfId="346" xr:uid="{00000000-0005-0000-0000-000046000000}"/>
    <cellStyle name="_117492.xls Chart 33_Acquisition Schedules" xfId="347" xr:uid="{00000000-0005-0000-0000-000047000000}"/>
    <cellStyle name="_117492.xls Chart 33_Financial Model v6-03-26-2004" xfId="348" xr:uid="{00000000-0005-0000-0000-000048000000}"/>
    <cellStyle name="_117492.xls Chart 33_Financial Model v6-03-26-2004_Acquisition Schedules" xfId="349" xr:uid="{00000000-0005-0000-0000-000049000000}"/>
    <cellStyle name="_117492.xls Chart 34" xfId="350" xr:uid="{00000000-0005-0000-0000-00004A000000}"/>
    <cellStyle name="_117492.xls Chart 34_Acquisition Schedules" xfId="351" xr:uid="{00000000-0005-0000-0000-00004B000000}"/>
    <cellStyle name="_117492.xls Chart 34_Financial Model v6-03-26-2004" xfId="352" xr:uid="{00000000-0005-0000-0000-00004C000000}"/>
    <cellStyle name="_117492.xls Chart 34_Financial Model v6-03-26-2004_Acquisition Schedules" xfId="353" xr:uid="{00000000-0005-0000-0000-00004D000000}"/>
    <cellStyle name="_117492.xls Chart 35" xfId="354" xr:uid="{00000000-0005-0000-0000-00004E000000}"/>
    <cellStyle name="_117492.xls Chart 35_Acquisition Schedules" xfId="355" xr:uid="{00000000-0005-0000-0000-00004F000000}"/>
    <cellStyle name="_117492.xls Chart 35_Financial Model v6-03-26-2004" xfId="356" xr:uid="{00000000-0005-0000-0000-000050000000}"/>
    <cellStyle name="_117492.xls Chart 35_Financial Model v6-03-26-2004_Acquisition Schedules" xfId="357" xr:uid="{00000000-0005-0000-0000-000051000000}"/>
    <cellStyle name="_12 Bookings by area, cms ranking and discount" xfId="358" xr:uid="{00000000-0005-0000-0000-000052000000}"/>
    <cellStyle name="_12 Bookings by area, cms ranking and discount_Acquisition Schedules" xfId="359" xr:uid="{00000000-0005-0000-0000-000053000000}"/>
    <cellStyle name="_13 Bookings cheat sheet summary and details and Top 20" xfId="360" xr:uid="{00000000-0005-0000-0000-000054000000}"/>
    <cellStyle name="_13 Bookings cheat sheet summary and details and Top 20_Acquisition Schedules" xfId="361" xr:uid="{00000000-0005-0000-0000-000055000000}"/>
    <cellStyle name="_14 AT Bookings Expense" xfId="362" xr:uid="{00000000-0005-0000-0000-000056000000}"/>
    <cellStyle name="_14 AT Bookings Expense_Acquisition Schedules" xfId="363" xr:uid="{00000000-0005-0000-0000-000057000000}"/>
    <cellStyle name="_15600 Template for Customer Deals1" xfId="364" xr:uid="{00000000-0005-0000-0000-000058000000}"/>
    <cellStyle name="_15600 Template for Customer Deals1 2" xfId="365" xr:uid="{00000000-0005-0000-0000-000059000000}"/>
    <cellStyle name="_16 Revenue by Theatre" xfId="366" xr:uid="{00000000-0005-0000-0000-00005A000000}"/>
    <cellStyle name="_16 Revenue by Theatre_Acquisition Schedules" xfId="367" xr:uid="{00000000-0005-0000-0000-00005B000000}"/>
    <cellStyle name="_19 Revenue Top 20" xfId="368" xr:uid="{00000000-0005-0000-0000-00005C000000}"/>
    <cellStyle name="_19 Revenue Top 20_Acquisition Schedules" xfId="369" xr:uid="{00000000-0005-0000-0000-00005D000000}"/>
    <cellStyle name="_2.28.07 Closing Package Feb" xfId="370" xr:uid="{00000000-0005-0000-0000-00005E000000}"/>
    <cellStyle name="_2.28.07 Closing Package Feb 2" xfId="371" xr:uid="{00000000-0005-0000-0000-00005F000000}"/>
    <cellStyle name="_2.28.07 Closing Package Feb 3" xfId="372" xr:uid="{00000000-0005-0000-0000-000060000000}"/>
    <cellStyle name="_2.28.07 Closing Package Feb 4" xfId="373" xr:uid="{00000000-0005-0000-0000-000061000000}"/>
    <cellStyle name="_2.28.07 Closing Package Feb 5" xfId="374" xr:uid="{00000000-0005-0000-0000-000062000000}"/>
    <cellStyle name="_2.28.07 Closing Package Feb 6" xfId="375" xr:uid="{00000000-0005-0000-0000-000063000000}"/>
    <cellStyle name="_2.28.07 Closing Package Feb 7" xfId="376" xr:uid="{00000000-0005-0000-0000-000064000000}"/>
    <cellStyle name="_2.28.07 Closing Package Feb 8" xfId="377" xr:uid="{00000000-0005-0000-0000-000065000000}"/>
    <cellStyle name="_2005 Business Plan - EEMESA V5" xfId="378" xr:uid="{00000000-0005-0000-0000-000066000000}"/>
    <cellStyle name="_2006 EMEA BMT 121605" xfId="379" xr:uid="{00000000-0005-0000-0000-000067000000}"/>
    <cellStyle name="_2006 EMEA BMT 121605_Book1 (3)" xfId="380" xr:uid="{00000000-0005-0000-0000-000068000000}"/>
    <cellStyle name="_2006 Plan EUR by BMT 010506" xfId="381" xr:uid="{00000000-0005-0000-0000-000069000000}"/>
    <cellStyle name="_2006 Plan EUR by BMT 010506_Book1 (3)" xfId="382" xr:uid="{00000000-0005-0000-0000-00006A000000}"/>
    <cellStyle name="_2006 quarterly phasing by country" xfId="383" xr:uid="{00000000-0005-0000-0000-00006B000000}"/>
    <cellStyle name="_2007 07 16 XS CISCO GDL PCBA" xfId="384" xr:uid="{00000000-0005-0000-0000-00006C000000}"/>
    <cellStyle name="_2007 09 10 Staffing Report" xfId="385" xr:uid="{00000000-0005-0000-0000-00006D000000}"/>
    <cellStyle name="_2007 09 30 Staffing Report" xfId="386" xr:uid="{00000000-0005-0000-0000-00006E000000}"/>
    <cellStyle name="_2008 initial scenarios Jan v2" xfId="387" xr:uid="{00000000-0005-0000-0000-00006F000000}"/>
    <cellStyle name="_3.24.07 Final SA PL and PF Items" xfId="388" xr:uid="{00000000-0005-0000-0000-000070000000}"/>
    <cellStyle name="_3.24.07 Final SA PL and PF Items 2" xfId="389" xr:uid="{00000000-0005-0000-0000-000071000000}"/>
    <cellStyle name="_3.24.07 Final SA PL and PF Items 3" xfId="390" xr:uid="{00000000-0005-0000-0000-000072000000}"/>
    <cellStyle name="_3.24.07 Final SA PL and PF Items 4" xfId="391" xr:uid="{00000000-0005-0000-0000-000073000000}"/>
    <cellStyle name="_3.24.07 Final SA PL and PF Items 5" xfId="392" xr:uid="{00000000-0005-0000-0000-000074000000}"/>
    <cellStyle name="_3.24.07 Final SA PL and PF Items 6" xfId="393" xr:uid="{00000000-0005-0000-0000-000075000000}"/>
    <cellStyle name="_3.24.07 Final SA PL and PF Items 7" xfId="394" xr:uid="{00000000-0005-0000-0000-000076000000}"/>
    <cellStyle name="_3.24.07 Final SA PL and PF Items 8" xfId="395" xr:uid="{00000000-0005-0000-0000-000077000000}"/>
    <cellStyle name="_3-WW 2nd Pass With Bridge Recd 20-Apr $3.557Bn" xfId="396" xr:uid="{00000000-0005-0000-0000-000078000000}"/>
    <cellStyle name="_5Qtr forecast_28FEB07 (2)" xfId="397" xr:uid="{00000000-0005-0000-0000-000079000000}"/>
    <cellStyle name="_5Qtr forecast_28FEB07 (2) 2" xfId="398" xr:uid="{00000000-0005-0000-0000-00007A000000}"/>
    <cellStyle name="_5Qtr forecast_28FEB07 (2) 3" xfId="399" xr:uid="{00000000-0005-0000-0000-00007B000000}"/>
    <cellStyle name="_5Qtr forecast_28FEB07 (2) 4" xfId="400" xr:uid="{00000000-0005-0000-0000-00007C000000}"/>
    <cellStyle name="_5Qtr forecast_28FEB07 (2) 5" xfId="401" xr:uid="{00000000-0005-0000-0000-00007D000000}"/>
    <cellStyle name="_5Qtr forecast_28FEB07 (2) 6" xfId="402" xr:uid="{00000000-0005-0000-0000-00007E000000}"/>
    <cellStyle name="_5Qtr forecast_28FEB07 (2) 7" xfId="403" xr:uid="{00000000-0005-0000-0000-00007F000000}"/>
    <cellStyle name="_6th Mar 2006 Inside Sales Weekly Report" xfId="404" xr:uid="{00000000-0005-0000-0000-000080000000}"/>
    <cellStyle name="_6th Mar 2006 Inside Sales Weekly Report_Book1 (3)" xfId="405" xr:uid="{00000000-0005-0000-0000-000081000000}"/>
    <cellStyle name="_7 Deferred Revenue" xfId="406" xr:uid="{00000000-0005-0000-0000-000082000000}"/>
    <cellStyle name="_7 Deferred Revenue_Acquisition Schedules" xfId="407" xr:uid="{00000000-0005-0000-0000-000083000000}"/>
    <cellStyle name="_7-28-08 Book  Rev PL detail for Video TMS" xfId="408" xr:uid="{00000000-0005-0000-0000-000084000000}"/>
    <cellStyle name="_8 Inventory Summary, Turns &amp; SEC View" xfId="409" xr:uid="{00000000-0005-0000-0000-000085000000}"/>
    <cellStyle name="_Access Market Estimates - Telecom" xfId="410" xr:uid="{00000000-0005-0000-0000-000086000000}"/>
    <cellStyle name="_x0010__Acquisition Schedules" xfId="411" xr:uid="{00000000-0005-0000-0000-000087000000}"/>
    <cellStyle name="_x0010__Acquisition Schedules_1" xfId="412" xr:uid="{00000000-0005-0000-0000-000088000000}"/>
    <cellStyle name="_aes_May04_us" xfId="413" xr:uid="{00000000-0005-0000-0000-000089000000}"/>
    <cellStyle name="_aes_May04_us_Acquisition Schedules" xfId="414" xr:uid="{00000000-0005-0000-0000-00008A000000}"/>
    <cellStyle name="_aes_ww_Jan06_theater" xfId="415" xr:uid="{00000000-0005-0000-0000-00008B000000}"/>
    <cellStyle name="_aes_ww_Jan06_theater_Acquisition Schedules" xfId="416" xr:uid="{00000000-0005-0000-0000-00008C000000}"/>
    <cellStyle name="_aes_ww_jv_jan05" xfId="417" xr:uid="{00000000-0005-0000-0000-00008D000000}"/>
    <cellStyle name="_aes_ww_jv_jan05_Acquisition Schedules" xfId="418" xr:uid="{00000000-0005-0000-0000-00008E000000}"/>
    <cellStyle name="_AI-FY06_Q1-W10" xfId="419" xr:uid="{00000000-0005-0000-0000-00008F000000}"/>
    <cellStyle name="_AI-FY06_Q2-W7" xfId="420" xr:uid="{00000000-0005-0000-0000-000090000000}"/>
    <cellStyle name="_ANZ FY04 Goaling" xfId="421" xr:uid="{00000000-0005-0000-0000-000091000000}"/>
    <cellStyle name="_ANZ FY04 Goaling_Acquisition Schedules" xfId="422" xr:uid="{00000000-0005-0000-0000-000092000000}"/>
    <cellStyle name="_ANZ_S.Asia Q3 Commit" xfId="423" xr:uid="{00000000-0005-0000-0000-000093000000}"/>
    <cellStyle name="_APAC  Bookings Feb'02 Fcst" xfId="424" xr:uid="{00000000-0005-0000-0000-000094000000}"/>
    <cellStyle name="_APAC  Bookings Mar'02 Fcst" xfId="425" xr:uid="{00000000-0005-0000-0000-000095000000}"/>
    <cellStyle name="_APAC FY03 Plan_+Global (FinalRevised)" xfId="426" xr:uid="{00000000-0005-0000-0000-000096000000}"/>
    <cellStyle name="_APAC Support Bookings - July02" xfId="427" xr:uid="{00000000-0005-0000-0000-000097000000}"/>
    <cellStyle name="_APAC Support Bookings - July02_Acquisition Schedules" xfId="428" xr:uid="{00000000-0005-0000-0000-000098000000}"/>
    <cellStyle name="_APAC Support Bookings - July02_APAC AS Aug'05 WD3 Flash" xfId="429" xr:uid="{00000000-0005-0000-0000-000099000000}"/>
    <cellStyle name="_APAC Support Bookings - July02_APAC AS Aug'05 WD3 Flash_Acquisition Schedules" xfId="430" xr:uid="{00000000-0005-0000-0000-00009A000000}"/>
    <cellStyle name="_APAC Support Bookings - July02_AS WD1 Flash Charts - Apr'05" xfId="431" xr:uid="{00000000-0005-0000-0000-00009B000000}"/>
    <cellStyle name="_APAC Support Bookings - July02_AS WD1 Flash Charts - Apr'05_Acquisition Schedules" xfId="432" xr:uid="{00000000-0005-0000-0000-00009C000000}"/>
    <cellStyle name="_APAC Support Bookings - July02_AS WD1 Flash Charts - May'05" xfId="433" xr:uid="{00000000-0005-0000-0000-00009D000000}"/>
    <cellStyle name="_APAC Support Bookings - July02_AS WD1 Flash Charts - May'05_Acquisition Schedules" xfId="434" xr:uid="{00000000-0005-0000-0000-00009E000000}"/>
    <cellStyle name="_APAC Support Bookings - July02_AS WD3 Flash Charts - Apr'05" xfId="435" xr:uid="{00000000-0005-0000-0000-00009F000000}"/>
    <cellStyle name="_APAC Support Bookings - July02_AS WD3 Flash Charts - Apr'05_Acquisition Schedules" xfId="436" xr:uid="{00000000-0005-0000-0000-0000A0000000}"/>
    <cellStyle name="_APAC Support Bookings - July02_AS WD3 Flash Charts - Mar'05v1" xfId="437" xr:uid="{00000000-0005-0000-0000-0000A1000000}"/>
    <cellStyle name="_APAC Support Bookings - July02_AS WD3 Flash Charts - Mar'05v1_Acquisition Schedules" xfId="438" xr:uid="{00000000-0005-0000-0000-0000A2000000}"/>
    <cellStyle name="_APAC Support Bookings - July02_CA WD1 Flash Charts - Sep'05" xfId="439" xr:uid="{00000000-0005-0000-0000-0000A3000000}"/>
    <cellStyle name="_APAC Support Bookings - July02_CA WD1 Flash Charts - Sep'05_Acquisition Schedules" xfId="440" xr:uid="{00000000-0005-0000-0000-0000A4000000}"/>
    <cellStyle name="_APAC Support Bookings - Mar03" xfId="441" xr:uid="{00000000-0005-0000-0000-0000A5000000}"/>
    <cellStyle name="_APAC Support Bookings - Mar03_Acquisition Schedules" xfId="442" xr:uid="{00000000-0005-0000-0000-0000A6000000}"/>
    <cellStyle name="_APAC Support Bookings - Mar03_APAC AS Aug'05 WD3 Flash" xfId="443" xr:uid="{00000000-0005-0000-0000-0000A7000000}"/>
    <cellStyle name="_APAC Support Bookings - Mar03_APAC AS Aug'05 WD3 Flash_Acquisition Schedules" xfId="444" xr:uid="{00000000-0005-0000-0000-0000A8000000}"/>
    <cellStyle name="_APAC Support Bookings - Mar03_AS WD1 Flash Charts - Apr'05" xfId="445" xr:uid="{00000000-0005-0000-0000-0000A9000000}"/>
    <cellStyle name="_APAC Support Bookings - Mar03_AS WD1 Flash Charts - Apr'05_Acquisition Schedules" xfId="446" xr:uid="{00000000-0005-0000-0000-0000AA000000}"/>
    <cellStyle name="_APAC Support Bookings - Mar03_AS WD1 Flash Charts - May'05" xfId="447" xr:uid="{00000000-0005-0000-0000-0000AB000000}"/>
    <cellStyle name="_APAC Support Bookings - Mar03_AS WD1 Flash Charts - May'05_Acquisition Schedules" xfId="448" xr:uid="{00000000-0005-0000-0000-0000AC000000}"/>
    <cellStyle name="_APAC Support Bookings - Mar03_AS WD3 Flash Charts - Apr'05" xfId="449" xr:uid="{00000000-0005-0000-0000-0000AD000000}"/>
    <cellStyle name="_APAC Support Bookings - Mar03_AS WD3 Flash Charts - Apr'05_Acquisition Schedules" xfId="450" xr:uid="{00000000-0005-0000-0000-0000AE000000}"/>
    <cellStyle name="_APAC Support Bookings - Mar03_AS WD3 Flash Charts - Mar'05v1" xfId="451" xr:uid="{00000000-0005-0000-0000-0000AF000000}"/>
    <cellStyle name="_APAC Support Bookings - Mar03_AS WD3 Flash Charts - Mar'05v1_Acquisition Schedules" xfId="452" xr:uid="{00000000-0005-0000-0000-0000B0000000}"/>
    <cellStyle name="_APAC Support Bookings - Mar03_CA WD1 Flash Charts - Sep'05" xfId="453" xr:uid="{00000000-0005-0000-0000-0000B1000000}"/>
    <cellStyle name="_APAC Support Bookings - Mar03_CA WD1 Flash Charts - Sep'05_Acquisition Schedules" xfId="454" xr:uid="{00000000-0005-0000-0000-0000B2000000}"/>
    <cellStyle name="_APAC Support Bookings - Mar03_FY04 Korea Goaling" xfId="455" xr:uid="{00000000-0005-0000-0000-0000B3000000}"/>
    <cellStyle name="_APAC Support Bookings - Mar03_FY04 Korea Goaling_Acquisition Schedules" xfId="456" xr:uid="{00000000-0005-0000-0000-0000B4000000}"/>
    <cellStyle name="_APAC Support Bookings - May03" xfId="457" xr:uid="{00000000-0005-0000-0000-0000B5000000}"/>
    <cellStyle name="_APAC Support Bookings - May03_Acquisition Schedules" xfId="458" xr:uid="{00000000-0005-0000-0000-0000B6000000}"/>
    <cellStyle name="_APAC Support Bookings (Oct'02)" xfId="459" xr:uid="{00000000-0005-0000-0000-0000B7000000}"/>
    <cellStyle name="_APAC Support Bookings (Oct'02)_Acquisition Schedules" xfId="460" xr:uid="{00000000-0005-0000-0000-0000B8000000}"/>
    <cellStyle name="_APAC Support Bookings (Oct'02)_APAC AS Aug'05 WD3 Flash" xfId="461" xr:uid="{00000000-0005-0000-0000-0000B9000000}"/>
    <cellStyle name="_APAC Support Bookings (Oct'02)_APAC AS Aug'05 WD3 Flash_Acquisition Schedules" xfId="462" xr:uid="{00000000-0005-0000-0000-0000BA000000}"/>
    <cellStyle name="_APAC Support Bookings (Oct'02)_APAC AS Oct'06 WD3 Flash" xfId="463" xr:uid="{00000000-0005-0000-0000-0000BB000000}"/>
    <cellStyle name="_APAC Support Bookings (Oct'02)_APAC AS Oct'06 WD3 Flash_Acquisition Schedules" xfId="464" xr:uid="{00000000-0005-0000-0000-0000BC000000}"/>
    <cellStyle name="_APAC Support Bookings (Oct'02)_APAC Support Bookings - Jun03" xfId="465" xr:uid="{00000000-0005-0000-0000-0000BD000000}"/>
    <cellStyle name="_APAC Support Bookings (Oct'02)_APAC Support Bookings - Jun03_Acquisition Schedules" xfId="466" xr:uid="{00000000-0005-0000-0000-0000BE000000}"/>
    <cellStyle name="_APAC Support Bookings (Oct'02)_APAC Support Bookings - Jun03_APAC AS Aug'05 WD3 Flash" xfId="467" xr:uid="{00000000-0005-0000-0000-0000BF000000}"/>
    <cellStyle name="_APAC Support Bookings (Oct'02)_APAC Support Bookings - Jun03_APAC AS Aug'05 WD3 Flash_Acquisition Schedules" xfId="468" xr:uid="{00000000-0005-0000-0000-0000C0000000}"/>
    <cellStyle name="_APAC Support Bookings (Oct'02)_APAC Support Bookings - Jun03_AS Variance Analysis_Aug07" xfId="469" xr:uid="{00000000-0005-0000-0000-0000C1000000}"/>
    <cellStyle name="_APAC Support Bookings (Oct'02)_APAC Support Bookings - Jun03_AS Variance Analysis_Aug07_Acquisition Schedules" xfId="470" xr:uid="{00000000-0005-0000-0000-0000C2000000}"/>
    <cellStyle name="_APAC Support Bookings (Oct'02)_APAC Support Bookings - Jun03_AS WD1 Flash Charts - Apr'05" xfId="471" xr:uid="{00000000-0005-0000-0000-0000C3000000}"/>
    <cellStyle name="_APAC Support Bookings (Oct'02)_APAC Support Bookings - Jun03_AS WD1 Flash Charts - Apr'05_Acquisition Schedules" xfId="472" xr:uid="{00000000-0005-0000-0000-0000C4000000}"/>
    <cellStyle name="_APAC Support Bookings (Oct'02)_APAC Support Bookings - Jun03_AS WD1 Flash Charts - May'05" xfId="473" xr:uid="{00000000-0005-0000-0000-0000C5000000}"/>
    <cellStyle name="_APAC Support Bookings (Oct'02)_APAC Support Bookings - Jun03_AS WD1 Flash Charts - May'05_Acquisition Schedules" xfId="474" xr:uid="{00000000-0005-0000-0000-0000C6000000}"/>
    <cellStyle name="_APAC Support Bookings (Oct'02)_APAC Support Bookings - Jun03_AS WD3 Flash Charts - Apr'05" xfId="475" xr:uid="{00000000-0005-0000-0000-0000C7000000}"/>
    <cellStyle name="_APAC Support Bookings (Oct'02)_APAC Support Bookings - Jun03_AS WD3 Flash Charts - Apr'05_Acquisition Schedules" xfId="476" xr:uid="{00000000-0005-0000-0000-0000C8000000}"/>
    <cellStyle name="_APAC Support Bookings (Oct'02)_APAC Support Bookings - Jun03_AS WD3 Flash Charts - Mar'05v1" xfId="477" xr:uid="{00000000-0005-0000-0000-0000C9000000}"/>
    <cellStyle name="_APAC Support Bookings (Oct'02)_APAC Support Bookings - Jun03_AS WD3 Flash Charts - Mar'05v1_Acquisition Schedules" xfId="478" xr:uid="{00000000-0005-0000-0000-0000CA000000}"/>
    <cellStyle name="_APAC Support Bookings (Oct'02)_APAC Support Bookings - Jun03_CA WD1 Flash Charts - Sep'05" xfId="479" xr:uid="{00000000-0005-0000-0000-0000CB000000}"/>
    <cellStyle name="_APAC Support Bookings (Oct'02)_APAC Support Bookings - Jun03_CA WD1 Flash Charts - Sep'05_Acquisition Schedules" xfId="480" xr:uid="{00000000-0005-0000-0000-0000CC000000}"/>
    <cellStyle name="_APAC Support Bookings (Oct'02)_APAC Support Bookings - Jun03_Target Template" xfId="481" xr:uid="{00000000-0005-0000-0000-0000CD000000}"/>
    <cellStyle name="_APAC Support Bookings (Oct'02)_APAC Support Bookings - Jun03_Target Template_Acquisition Schedules" xfId="482" xr:uid="{00000000-0005-0000-0000-0000CE000000}"/>
    <cellStyle name="_APAC Support Bookings (Oct'02)_APAC Weekly Commit - FY04Q2W01" xfId="483" xr:uid="{00000000-0005-0000-0000-0000CF000000}"/>
    <cellStyle name="_APAC Support Bookings (Oct'02)_APAC Weekly Commit - FY04Q2W01_Acquisition Schedules" xfId="484" xr:uid="{00000000-0005-0000-0000-0000D0000000}"/>
    <cellStyle name="_APAC Support Bookings (Oct'02)_AS Variance Analysis_Aug07" xfId="485" xr:uid="{00000000-0005-0000-0000-0000D1000000}"/>
    <cellStyle name="_APAC Support Bookings (Oct'02)_AS Variance Analysis_Aug07_Acquisition Schedules" xfId="486" xr:uid="{00000000-0005-0000-0000-0000D2000000}"/>
    <cellStyle name="_APAC Support Bookings (Oct'02)_AS WD1 Flash Charts - Apr'05" xfId="487" xr:uid="{00000000-0005-0000-0000-0000D3000000}"/>
    <cellStyle name="_APAC Support Bookings (Oct'02)_AS WD1 Flash Charts - Apr'05_Acquisition Schedules" xfId="488" xr:uid="{00000000-0005-0000-0000-0000D4000000}"/>
    <cellStyle name="_APAC Support Bookings (Oct'02)_AS WD1 Flash Charts - May'05" xfId="489" xr:uid="{00000000-0005-0000-0000-0000D5000000}"/>
    <cellStyle name="_APAC Support Bookings (Oct'02)_AS WD1 Flash Charts - May'05_Acquisition Schedules" xfId="490" xr:uid="{00000000-0005-0000-0000-0000D6000000}"/>
    <cellStyle name="_APAC Support Bookings (Oct'02)_AS WD3 Flash Charts - Apr'05" xfId="491" xr:uid="{00000000-0005-0000-0000-0000D7000000}"/>
    <cellStyle name="_APAC Support Bookings (Oct'02)_AS WD3 Flash Charts - Apr'05_Acquisition Schedules" xfId="492" xr:uid="{00000000-0005-0000-0000-0000D8000000}"/>
    <cellStyle name="_APAC Support Bookings (Oct'02)_AS WD3 Flash Charts - Mar'05v1" xfId="493" xr:uid="{00000000-0005-0000-0000-0000D9000000}"/>
    <cellStyle name="_APAC Support Bookings (Oct'02)_AS WD3 Flash Charts - Mar'05v1_Acquisition Schedules" xfId="494" xr:uid="{00000000-0005-0000-0000-0000DA000000}"/>
    <cellStyle name="_APAC Support Bookings (Oct'02)_CA WD1 Flash Charts - Sep'05" xfId="495" xr:uid="{00000000-0005-0000-0000-0000DB000000}"/>
    <cellStyle name="_APAC Support Bookings (Oct'02)_CA WD1 Flash Charts - Sep'05_Acquisition Schedules" xfId="496" xr:uid="{00000000-0005-0000-0000-0000DC000000}"/>
    <cellStyle name="_APAC Support Bookings (Oct'02)_Forecast Accuracy &amp; Linearity" xfId="497" xr:uid="{00000000-0005-0000-0000-0000DD000000}"/>
    <cellStyle name="_APAC Support Bookings (Oct'02)_Forecast Accuracy &amp; Linearity_Acquisition Schedules" xfId="498" xr:uid="{00000000-0005-0000-0000-0000DE000000}"/>
    <cellStyle name="_APAC Support Bookings (Oct'02)_FY04 Korea Goaling" xfId="499" xr:uid="{00000000-0005-0000-0000-0000DF000000}"/>
    <cellStyle name="_APAC Support Bookings (Oct'02)_FY04 Korea Goaling_Acquisition Schedules" xfId="500" xr:uid="{00000000-0005-0000-0000-0000E0000000}"/>
    <cellStyle name="_APAC Support Bookings (Oct'02)_Q3'02 Ops Call_Feb'021  Korea" xfId="501" xr:uid="{00000000-0005-0000-0000-0000E1000000}"/>
    <cellStyle name="_APAC Support Bookings (Oct'02)_Q3'02 Ops Call_Feb'021  Korea_Acquisition Schedules" xfId="502" xr:uid="{00000000-0005-0000-0000-0000E2000000}"/>
    <cellStyle name="_APAC Support Bookings (Oct'02)_Q3'02 Ops Call_Feb'021  Korea_ANZ FY04 Goaling" xfId="503" xr:uid="{00000000-0005-0000-0000-0000E3000000}"/>
    <cellStyle name="_APAC Support Bookings (Oct'02)_Q3'02 Ops Call_Feb'021  Korea_ANZ FY04 Goaling_Acquisition Schedules" xfId="504" xr:uid="{00000000-0005-0000-0000-0000E4000000}"/>
    <cellStyle name="_APAC Support Bookings (Oct'02)_Q3'02 Ops Call_Feb'021  Korea_APAC AS Aug'05 WD3 Flash" xfId="505" xr:uid="{00000000-0005-0000-0000-0000E5000000}"/>
    <cellStyle name="_APAC Support Bookings (Oct'02)_Q3'02 Ops Call_Feb'021  Korea_APAC AS Aug'05 WD3 Flash_Acquisition Schedules" xfId="506" xr:uid="{00000000-0005-0000-0000-0000E6000000}"/>
    <cellStyle name="_APAC Support Bookings (Oct'02)_Q3'02 Ops Call_Feb'021  Korea_APAC Weekly Commit - FY04Q2W01" xfId="507" xr:uid="{00000000-0005-0000-0000-0000E7000000}"/>
    <cellStyle name="_APAC Support Bookings (Oct'02)_Q3'02 Ops Call_Feb'021  Korea_APAC Weekly Commit - FY04Q2W01_Acquisition Schedules" xfId="508" xr:uid="{00000000-0005-0000-0000-0000E8000000}"/>
    <cellStyle name="_APAC Support Bookings (Oct'02)_Q3'02 Ops Call_Feb'021  Korea_AS WD1 Flash Charts - Apr'05" xfId="509" xr:uid="{00000000-0005-0000-0000-0000E9000000}"/>
    <cellStyle name="_APAC Support Bookings (Oct'02)_Q3'02 Ops Call_Feb'021  Korea_AS WD1 Flash Charts - Apr'05_Acquisition Schedules" xfId="510" xr:uid="{00000000-0005-0000-0000-0000EA000000}"/>
    <cellStyle name="_APAC Support Bookings (Oct'02)_Q3'02 Ops Call_Feb'021  Korea_AS WD1 Flash Charts - May'05" xfId="511" xr:uid="{00000000-0005-0000-0000-0000EB000000}"/>
    <cellStyle name="_APAC Support Bookings (Oct'02)_Q3'02 Ops Call_Feb'021  Korea_AS WD1 Flash Charts - May'05_Acquisition Schedules" xfId="512" xr:uid="{00000000-0005-0000-0000-0000EC000000}"/>
    <cellStyle name="_APAC Support Bookings (Oct'02)_Q3'02 Ops Call_Feb'021  Korea_AS WD3 Flash Charts - Apr'05" xfId="513" xr:uid="{00000000-0005-0000-0000-0000ED000000}"/>
    <cellStyle name="_APAC Support Bookings (Oct'02)_Q3'02 Ops Call_Feb'021  Korea_AS WD3 Flash Charts - Apr'05_Acquisition Schedules" xfId="514" xr:uid="{00000000-0005-0000-0000-0000EE000000}"/>
    <cellStyle name="_APAC Support Bookings (Oct'02)_Q3'02 Ops Call_Feb'021  Korea_AS WD3 Flash Charts - Mar'05v1" xfId="515" xr:uid="{00000000-0005-0000-0000-0000EF000000}"/>
    <cellStyle name="_APAC Support Bookings (Oct'02)_Q3'02 Ops Call_Feb'021  Korea_AS WD3 Flash Charts - Mar'05v1_Acquisition Schedules" xfId="516" xr:uid="{00000000-0005-0000-0000-0000F0000000}"/>
    <cellStyle name="_APAC Support Bookings (Oct'02)_Q3'02 Ops Call_Feb'021  Korea_CA WD1 Flash Charts - Sep'05" xfId="517" xr:uid="{00000000-0005-0000-0000-0000F1000000}"/>
    <cellStyle name="_APAC Support Bookings (Oct'02)_Q3'02 Ops Call_Feb'021  Korea_CA WD1 Flash Charts - Sep'05_Acquisition Schedules" xfId="518" xr:uid="{00000000-0005-0000-0000-0000F2000000}"/>
    <cellStyle name="_APAC Support Bookings (Oct'02)_Q3'02 Ops Call_Feb'021  Korea_Forecast Accuracy &amp; Linearity" xfId="519" xr:uid="{00000000-0005-0000-0000-0000F3000000}"/>
    <cellStyle name="_APAC Support Bookings (Oct'02)_Q3'02 Ops Call_Feb'021  Korea_Forecast Accuracy &amp; Linearity_Acquisition Schedules" xfId="520" xr:uid="{00000000-0005-0000-0000-0000F4000000}"/>
    <cellStyle name="_APAC Support Bookings (Oct'02)_Q3'02 Ops Call_Feb'021  Korea_FY04 Korea Goaling" xfId="521" xr:uid="{00000000-0005-0000-0000-0000F5000000}"/>
    <cellStyle name="_APAC Support Bookings (Oct'02)_Q3'02 Ops Call_Feb'021  Korea_FY04 Korea Goaling_Acquisition Schedules" xfId="522" xr:uid="{00000000-0005-0000-0000-0000F6000000}"/>
    <cellStyle name="_APAC Support Bookings (Oct'02)_Q3'02 Ops Call_Feb'021  Korea_WD1APAC Summary-26-04-05 FY05 ------1" xfId="523" xr:uid="{00000000-0005-0000-0000-0000F7000000}"/>
    <cellStyle name="_APAC Support Bookings (Oct'02)_Q3'02 Ops Call_Feb'021  Korea_WD1APAC Summary-26-04-05 FY05 ------1_Acquisition Schedules" xfId="524" xr:uid="{00000000-0005-0000-0000-0000F8000000}"/>
    <cellStyle name="_APAC Support Bookings (Oct'02)_Target Template" xfId="525" xr:uid="{00000000-0005-0000-0000-0000F9000000}"/>
    <cellStyle name="_APAC Support Bookings (Oct'02)_Target Template_Acquisition Schedules" xfId="526" xr:uid="{00000000-0005-0000-0000-0000FA000000}"/>
    <cellStyle name="_APAC Support Bookings (Oct'02)_WD1APAC Summary-26-04-05 FY05 ------1" xfId="527" xr:uid="{00000000-0005-0000-0000-0000FB000000}"/>
    <cellStyle name="_APAC Support Bookings (Oct'02)_WD1APAC Summary-26-04-05 FY05 ------1_Acquisition Schedules" xfId="528" xr:uid="{00000000-0005-0000-0000-0000FC000000}"/>
    <cellStyle name="_APAC Support Bookings (Sep'02)" xfId="529" xr:uid="{00000000-0005-0000-0000-0000FD000000}"/>
    <cellStyle name="_APAC Support Bookings (Sep'02)_Acquisition Schedules" xfId="530" xr:uid="{00000000-0005-0000-0000-0000FE000000}"/>
    <cellStyle name="_APAC Support Bookings (Sep'02)_APAC AS Aug'05 WD3 Flash" xfId="531" xr:uid="{00000000-0005-0000-0000-0000FF000000}"/>
    <cellStyle name="_APAC Support Bookings (Sep'02)_APAC AS Aug'05 WD3 Flash_Acquisition Schedules" xfId="532" xr:uid="{00000000-0005-0000-0000-000000010000}"/>
    <cellStyle name="_APAC Support Bookings (Sep'02)_APAC AS Oct'06 WD3 Flash" xfId="533" xr:uid="{00000000-0005-0000-0000-000001010000}"/>
    <cellStyle name="_APAC Support Bookings (Sep'02)_APAC AS Oct'06 WD3 Flash_Acquisition Schedules" xfId="534" xr:uid="{00000000-0005-0000-0000-000002010000}"/>
    <cellStyle name="_APAC Support Bookings (Sep'02)_APAC Support Bookings - Jun03" xfId="535" xr:uid="{00000000-0005-0000-0000-000003010000}"/>
    <cellStyle name="_APAC Support Bookings (Sep'02)_APAC Support Bookings - Jun03_Acquisition Schedules" xfId="536" xr:uid="{00000000-0005-0000-0000-000004010000}"/>
    <cellStyle name="_APAC Support Bookings (Sep'02)_APAC Support Bookings - Jun03_APAC AS Aug'05 WD3 Flash" xfId="537" xr:uid="{00000000-0005-0000-0000-000005010000}"/>
    <cellStyle name="_APAC Support Bookings (Sep'02)_APAC Support Bookings - Jun03_APAC AS Aug'05 WD3 Flash_Acquisition Schedules" xfId="538" xr:uid="{00000000-0005-0000-0000-000006010000}"/>
    <cellStyle name="_APAC Support Bookings (Sep'02)_APAC Support Bookings - Jun03_AS Variance Analysis_Aug07" xfId="539" xr:uid="{00000000-0005-0000-0000-000007010000}"/>
    <cellStyle name="_APAC Support Bookings (Sep'02)_APAC Support Bookings - Jun03_AS Variance Analysis_Aug07_Acquisition Schedules" xfId="540" xr:uid="{00000000-0005-0000-0000-000008010000}"/>
    <cellStyle name="_APAC Support Bookings (Sep'02)_APAC Support Bookings - Jun03_AS WD1 Flash Charts - Apr'05" xfId="541" xr:uid="{00000000-0005-0000-0000-000009010000}"/>
    <cellStyle name="_APAC Support Bookings (Sep'02)_APAC Support Bookings - Jun03_AS WD1 Flash Charts - Apr'05_Acquisition Schedules" xfId="542" xr:uid="{00000000-0005-0000-0000-00000A010000}"/>
    <cellStyle name="_APAC Support Bookings (Sep'02)_APAC Support Bookings - Jun03_AS WD1 Flash Charts - May'05" xfId="543" xr:uid="{00000000-0005-0000-0000-00000B010000}"/>
    <cellStyle name="_APAC Support Bookings (Sep'02)_APAC Support Bookings - Jun03_AS WD1 Flash Charts - May'05_Acquisition Schedules" xfId="544" xr:uid="{00000000-0005-0000-0000-00000C010000}"/>
    <cellStyle name="_APAC Support Bookings (Sep'02)_APAC Support Bookings - Jun03_AS WD3 Flash Charts - Apr'05" xfId="545" xr:uid="{00000000-0005-0000-0000-00000D010000}"/>
    <cellStyle name="_APAC Support Bookings (Sep'02)_APAC Support Bookings - Jun03_AS WD3 Flash Charts - Apr'05_Acquisition Schedules" xfId="546" xr:uid="{00000000-0005-0000-0000-00000E010000}"/>
    <cellStyle name="_APAC Support Bookings (Sep'02)_APAC Support Bookings - Jun03_AS WD3 Flash Charts - Mar'05v1" xfId="547" xr:uid="{00000000-0005-0000-0000-00000F010000}"/>
    <cellStyle name="_APAC Support Bookings (Sep'02)_APAC Support Bookings - Jun03_AS WD3 Flash Charts - Mar'05v1_Acquisition Schedules" xfId="548" xr:uid="{00000000-0005-0000-0000-000010010000}"/>
    <cellStyle name="_APAC Support Bookings (Sep'02)_APAC Support Bookings - Jun03_CA WD1 Flash Charts - Sep'05" xfId="549" xr:uid="{00000000-0005-0000-0000-000011010000}"/>
    <cellStyle name="_APAC Support Bookings (Sep'02)_APAC Support Bookings - Jun03_CA WD1 Flash Charts - Sep'05_Acquisition Schedules" xfId="550" xr:uid="{00000000-0005-0000-0000-000012010000}"/>
    <cellStyle name="_APAC Support Bookings (Sep'02)_APAC Support Bookings - Jun03_Target Template" xfId="551" xr:uid="{00000000-0005-0000-0000-000013010000}"/>
    <cellStyle name="_APAC Support Bookings (Sep'02)_APAC Support Bookings - Jun03_Target Template_Acquisition Schedules" xfId="552" xr:uid="{00000000-0005-0000-0000-000014010000}"/>
    <cellStyle name="_APAC Support Bookings (Sep'02)_APAC Weekly Commit - FY04Q2W01" xfId="553" xr:uid="{00000000-0005-0000-0000-000015010000}"/>
    <cellStyle name="_APAC Support Bookings (Sep'02)_APAC Weekly Commit - FY04Q2W01_Acquisition Schedules" xfId="554" xr:uid="{00000000-0005-0000-0000-000016010000}"/>
    <cellStyle name="_APAC Support Bookings (Sep'02)_AS Variance Analysis_Aug07" xfId="555" xr:uid="{00000000-0005-0000-0000-000017010000}"/>
    <cellStyle name="_APAC Support Bookings (Sep'02)_AS Variance Analysis_Aug07_Acquisition Schedules" xfId="556" xr:uid="{00000000-0005-0000-0000-000018010000}"/>
    <cellStyle name="_APAC Support Bookings (Sep'02)_AS WD1 Flash Charts - Apr'05" xfId="557" xr:uid="{00000000-0005-0000-0000-000019010000}"/>
    <cellStyle name="_APAC Support Bookings (Sep'02)_AS WD1 Flash Charts - Apr'05_Acquisition Schedules" xfId="558" xr:uid="{00000000-0005-0000-0000-00001A010000}"/>
    <cellStyle name="_APAC Support Bookings (Sep'02)_AS WD1 Flash Charts - May'05" xfId="559" xr:uid="{00000000-0005-0000-0000-00001B010000}"/>
    <cellStyle name="_APAC Support Bookings (Sep'02)_AS WD1 Flash Charts - May'05_Acquisition Schedules" xfId="560" xr:uid="{00000000-0005-0000-0000-00001C010000}"/>
    <cellStyle name="_APAC Support Bookings (Sep'02)_AS WD3 Flash Charts - Apr'05" xfId="561" xr:uid="{00000000-0005-0000-0000-00001D010000}"/>
    <cellStyle name="_APAC Support Bookings (Sep'02)_AS WD3 Flash Charts - Apr'05_Acquisition Schedules" xfId="562" xr:uid="{00000000-0005-0000-0000-00001E010000}"/>
    <cellStyle name="_APAC Support Bookings (Sep'02)_AS WD3 Flash Charts - Mar'05v1" xfId="563" xr:uid="{00000000-0005-0000-0000-00001F010000}"/>
    <cellStyle name="_APAC Support Bookings (Sep'02)_AS WD3 Flash Charts - Mar'05v1_Acquisition Schedules" xfId="564" xr:uid="{00000000-0005-0000-0000-000020010000}"/>
    <cellStyle name="_APAC Support Bookings (Sep'02)_CA WD1 Flash Charts - Sep'05" xfId="565" xr:uid="{00000000-0005-0000-0000-000021010000}"/>
    <cellStyle name="_APAC Support Bookings (Sep'02)_CA WD1 Flash Charts - Sep'05_Acquisition Schedules" xfId="566" xr:uid="{00000000-0005-0000-0000-000022010000}"/>
    <cellStyle name="_APAC Support Bookings (Sep'02)_Forecast Accuracy &amp; Linearity" xfId="567" xr:uid="{00000000-0005-0000-0000-000023010000}"/>
    <cellStyle name="_APAC Support Bookings (Sep'02)_Forecast Accuracy &amp; Linearity_Acquisition Schedules" xfId="568" xr:uid="{00000000-0005-0000-0000-000024010000}"/>
    <cellStyle name="_APAC Support Bookings (Sep'02)_FY04 Korea Goaling" xfId="569" xr:uid="{00000000-0005-0000-0000-000025010000}"/>
    <cellStyle name="_APAC Support Bookings (Sep'02)_FY04 Korea Goaling_Acquisition Schedules" xfId="570" xr:uid="{00000000-0005-0000-0000-000026010000}"/>
    <cellStyle name="_APAC Support Bookings (Sep'02)_Q3'02 Ops Call_Feb'021  Korea" xfId="571" xr:uid="{00000000-0005-0000-0000-000027010000}"/>
    <cellStyle name="_APAC Support Bookings (Sep'02)_Q3'02 Ops Call_Feb'021  Korea_Acquisition Schedules" xfId="572" xr:uid="{00000000-0005-0000-0000-000028010000}"/>
    <cellStyle name="_APAC Support Bookings (Sep'02)_Q3'02 Ops Call_Feb'021  Korea_ANZ FY04 Goaling" xfId="573" xr:uid="{00000000-0005-0000-0000-000029010000}"/>
    <cellStyle name="_APAC Support Bookings (Sep'02)_Q3'02 Ops Call_Feb'021  Korea_ANZ FY04 Goaling_Acquisition Schedules" xfId="574" xr:uid="{00000000-0005-0000-0000-00002A010000}"/>
    <cellStyle name="_APAC Support Bookings (Sep'02)_Q3'02 Ops Call_Feb'021  Korea_APAC AS Aug'05 WD3 Flash" xfId="575" xr:uid="{00000000-0005-0000-0000-00002B010000}"/>
    <cellStyle name="_APAC Support Bookings (Sep'02)_Q3'02 Ops Call_Feb'021  Korea_APAC AS Aug'05 WD3 Flash_Acquisition Schedules" xfId="576" xr:uid="{00000000-0005-0000-0000-00002C010000}"/>
    <cellStyle name="_APAC Support Bookings (Sep'02)_Q3'02 Ops Call_Feb'021  Korea_APAC Weekly Commit - FY04Q2W01" xfId="577" xr:uid="{00000000-0005-0000-0000-00002D010000}"/>
    <cellStyle name="_APAC Support Bookings (Sep'02)_Q3'02 Ops Call_Feb'021  Korea_APAC Weekly Commit - FY04Q2W01_Acquisition Schedules" xfId="578" xr:uid="{00000000-0005-0000-0000-00002E010000}"/>
    <cellStyle name="_APAC Support Bookings (Sep'02)_Q3'02 Ops Call_Feb'021  Korea_AS WD1 Flash Charts - Apr'05" xfId="579" xr:uid="{00000000-0005-0000-0000-00002F010000}"/>
    <cellStyle name="_APAC Support Bookings (Sep'02)_Q3'02 Ops Call_Feb'021  Korea_AS WD1 Flash Charts - Apr'05_Acquisition Schedules" xfId="580" xr:uid="{00000000-0005-0000-0000-000030010000}"/>
    <cellStyle name="_APAC Support Bookings (Sep'02)_Q3'02 Ops Call_Feb'021  Korea_AS WD1 Flash Charts - May'05" xfId="581" xr:uid="{00000000-0005-0000-0000-000031010000}"/>
    <cellStyle name="_APAC Support Bookings (Sep'02)_Q3'02 Ops Call_Feb'021  Korea_AS WD1 Flash Charts - May'05_Acquisition Schedules" xfId="582" xr:uid="{00000000-0005-0000-0000-000032010000}"/>
    <cellStyle name="_APAC Support Bookings (Sep'02)_Q3'02 Ops Call_Feb'021  Korea_AS WD3 Flash Charts - Apr'05" xfId="583" xr:uid="{00000000-0005-0000-0000-000033010000}"/>
    <cellStyle name="_APAC Support Bookings (Sep'02)_Q3'02 Ops Call_Feb'021  Korea_AS WD3 Flash Charts - Apr'05_Acquisition Schedules" xfId="584" xr:uid="{00000000-0005-0000-0000-000034010000}"/>
    <cellStyle name="_APAC Support Bookings (Sep'02)_Q3'02 Ops Call_Feb'021  Korea_AS WD3 Flash Charts - Mar'05v1" xfId="585" xr:uid="{00000000-0005-0000-0000-000035010000}"/>
    <cellStyle name="_APAC Support Bookings (Sep'02)_Q3'02 Ops Call_Feb'021  Korea_AS WD3 Flash Charts - Mar'05v1_Acquisition Schedules" xfId="586" xr:uid="{00000000-0005-0000-0000-000036010000}"/>
    <cellStyle name="_APAC Support Bookings (Sep'02)_Q3'02 Ops Call_Feb'021  Korea_CA WD1 Flash Charts - Sep'05" xfId="587" xr:uid="{00000000-0005-0000-0000-000037010000}"/>
    <cellStyle name="_APAC Support Bookings (Sep'02)_Q3'02 Ops Call_Feb'021  Korea_CA WD1 Flash Charts - Sep'05_Acquisition Schedules" xfId="588" xr:uid="{00000000-0005-0000-0000-000038010000}"/>
    <cellStyle name="_APAC Support Bookings (Sep'02)_Q3'02 Ops Call_Feb'021  Korea_Forecast Accuracy &amp; Linearity" xfId="589" xr:uid="{00000000-0005-0000-0000-000039010000}"/>
    <cellStyle name="_APAC Support Bookings (Sep'02)_Q3'02 Ops Call_Feb'021  Korea_Forecast Accuracy &amp; Linearity_Acquisition Schedules" xfId="590" xr:uid="{00000000-0005-0000-0000-00003A010000}"/>
    <cellStyle name="_APAC Support Bookings (Sep'02)_Q3'02 Ops Call_Feb'021  Korea_FY04 Korea Goaling" xfId="591" xr:uid="{00000000-0005-0000-0000-00003B010000}"/>
    <cellStyle name="_APAC Support Bookings (Sep'02)_Q3'02 Ops Call_Feb'021  Korea_FY04 Korea Goaling_Acquisition Schedules" xfId="592" xr:uid="{00000000-0005-0000-0000-00003C010000}"/>
    <cellStyle name="_APAC Support Bookings (Sep'02)_Q3'02 Ops Call_Feb'021  Korea_WD1APAC Summary-26-04-05 FY05 ------1" xfId="593" xr:uid="{00000000-0005-0000-0000-00003D010000}"/>
    <cellStyle name="_APAC Support Bookings (Sep'02)_Q3'02 Ops Call_Feb'021  Korea_WD1APAC Summary-26-04-05 FY05 ------1_Acquisition Schedules" xfId="594" xr:uid="{00000000-0005-0000-0000-00003E010000}"/>
    <cellStyle name="_APAC Support Bookings (Sep'02)_Target Template" xfId="595" xr:uid="{00000000-0005-0000-0000-00003F010000}"/>
    <cellStyle name="_APAC Support Bookings (Sep'02)_Target Template_Acquisition Schedules" xfId="596" xr:uid="{00000000-0005-0000-0000-000040010000}"/>
    <cellStyle name="_APAC Support Bookings (Sep'02)_WD1APAC Summary-26-04-05 FY05 ------1" xfId="597" xr:uid="{00000000-0005-0000-0000-000041010000}"/>
    <cellStyle name="_APAC Support Bookings (Sep'02)_WD1APAC Summary-26-04-05 FY05 ------1_Acquisition Schedules" xfId="598" xr:uid="{00000000-0005-0000-0000-000042010000}"/>
    <cellStyle name="_APAC Support Bookings Dec02" xfId="599" xr:uid="{00000000-0005-0000-0000-000043010000}"/>
    <cellStyle name="_APAC Support Bookings Dec02_Acquisition Schedules" xfId="600" xr:uid="{00000000-0005-0000-0000-000044010000}"/>
    <cellStyle name="_APAC Support Bookings Dec02_APAC AS Aug'05 WD3 Flash" xfId="601" xr:uid="{00000000-0005-0000-0000-000045010000}"/>
    <cellStyle name="_APAC Support Bookings Dec02_APAC AS Aug'05 WD3 Flash_Acquisition Schedules" xfId="602" xr:uid="{00000000-0005-0000-0000-000046010000}"/>
    <cellStyle name="_APAC Support Bookings Dec02_APAC AS Oct'06 WD3 Flash" xfId="603" xr:uid="{00000000-0005-0000-0000-000047010000}"/>
    <cellStyle name="_APAC Support Bookings Dec02_APAC AS Oct'06 WD3 Flash_Acquisition Schedules" xfId="604" xr:uid="{00000000-0005-0000-0000-000048010000}"/>
    <cellStyle name="_APAC Support Bookings Dec02_APAC Support Bookings - Jun03" xfId="605" xr:uid="{00000000-0005-0000-0000-000049010000}"/>
    <cellStyle name="_APAC Support Bookings Dec02_APAC Support Bookings - Jun03_Acquisition Schedules" xfId="606" xr:uid="{00000000-0005-0000-0000-00004A010000}"/>
    <cellStyle name="_APAC Support Bookings Dec02_APAC Support Bookings - Jun03_APAC AS Aug'05 WD3 Flash" xfId="607" xr:uid="{00000000-0005-0000-0000-00004B010000}"/>
    <cellStyle name="_APAC Support Bookings Dec02_APAC Support Bookings - Jun03_APAC AS Aug'05 WD3 Flash_Acquisition Schedules" xfId="608" xr:uid="{00000000-0005-0000-0000-00004C010000}"/>
    <cellStyle name="_APAC Support Bookings Dec02_APAC Support Bookings - Jun03_AS Variance Analysis_Aug07" xfId="609" xr:uid="{00000000-0005-0000-0000-00004D010000}"/>
    <cellStyle name="_APAC Support Bookings Dec02_APAC Support Bookings - Jun03_AS Variance Analysis_Aug07_Acquisition Schedules" xfId="610" xr:uid="{00000000-0005-0000-0000-00004E010000}"/>
    <cellStyle name="_APAC Support Bookings Dec02_APAC Support Bookings - Jun03_AS WD1 Flash Charts - Apr'05" xfId="611" xr:uid="{00000000-0005-0000-0000-00004F010000}"/>
    <cellStyle name="_APAC Support Bookings Dec02_APAC Support Bookings - Jun03_AS WD1 Flash Charts - Apr'05_Acquisition Schedules" xfId="612" xr:uid="{00000000-0005-0000-0000-000050010000}"/>
    <cellStyle name="_APAC Support Bookings Dec02_APAC Support Bookings - Jun03_AS WD1 Flash Charts - May'05" xfId="613" xr:uid="{00000000-0005-0000-0000-000051010000}"/>
    <cellStyle name="_APAC Support Bookings Dec02_APAC Support Bookings - Jun03_AS WD1 Flash Charts - May'05_Acquisition Schedules" xfId="614" xr:uid="{00000000-0005-0000-0000-000052010000}"/>
    <cellStyle name="_APAC Support Bookings Dec02_APAC Support Bookings - Jun03_AS WD3 Flash Charts - Apr'05" xfId="615" xr:uid="{00000000-0005-0000-0000-000053010000}"/>
    <cellStyle name="_APAC Support Bookings Dec02_APAC Support Bookings - Jun03_AS WD3 Flash Charts - Apr'05_Acquisition Schedules" xfId="616" xr:uid="{00000000-0005-0000-0000-000054010000}"/>
    <cellStyle name="_APAC Support Bookings Dec02_APAC Support Bookings - Jun03_AS WD3 Flash Charts - Mar'05v1" xfId="617" xr:uid="{00000000-0005-0000-0000-000055010000}"/>
    <cellStyle name="_APAC Support Bookings Dec02_APAC Support Bookings - Jun03_AS WD3 Flash Charts - Mar'05v1_Acquisition Schedules" xfId="618" xr:uid="{00000000-0005-0000-0000-000056010000}"/>
    <cellStyle name="_APAC Support Bookings Dec02_APAC Support Bookings - Jun03_CA WD1 Flash Charts - Sep'05" xfId="619" xr:uid="{00000000-0005-0000-0000-000057010000}"/>
    <cellStyle name="_APAC Support Bookings Dec02_APAC Support Bookings - Jun03_CA WD1 Flash Charts - Sep'05_Acquisition Schedules" xfId="620" xr:uid="{00000000-0005-0000-0000-000058010000}"/>
    <cellStyle name="_APAC Support Bookings Dec02_APAC Support Bookings - Jun03_Target Template" xfId="621" xr:uid="{00000000-0005-0000-0000-000059010000}"/>
    <cellStyle name="_APAC Support Bookings Dec02_APAC Support Bookings - Jun03_Target Template_Acquisition Schedules" xfId="622" xr:uid="{00000000-0005-0000-0000-00005A010000}"/>
    <cellStyle name="_APAC Support Bookings Dec02_APAC Weekly Commit - FY04Q2W01" xfId="623" xr:uid="{00000000-0005-0000-0000-00005B010000}"/>
    <cellStyle name="_APAC Support Bookings Dec02_APAC Weekly Commit - FY04Q2W01_Acquisition Schedules" xfId="624" xr:uid="{00000000-0005-0000-0000-00005C010000}"/>
    <cellStyle name="_APAC Support Bookings Dec02_AS Variance Analysis_Aug07" xfId="625" xr:uid="{00000000-0005-0000-0000-00005D010000}"/>
    <cellStyle name="_APAC Support Bookings Dec02_AS Variance Analysis_Aug07_Acquisition Schedules" xfId="626" xr:uid="{00000000-0005-0000-0000-00005E010000}"/>
    <cellStyle name="_APAC Support Bookings Dec02_AS WD1 Flash Charts - Apr'05" xfId="627" xr:uid="{00000000-0005-0000-0000-00005F010000}"/>
    <cellStyle name="_APAC Support Bookings Dec02_AS WD1 Flash Charts - Apr'05_Acquisition Schedules" xfId="628" xr:uid="{00000000-0005-0000-0000-000060010000}"/>
    <cellStyle name="_APAC Support Bookings Dec02_AS WD1 Flash Charts - May'05" xfId="629" xr:uid="{00000000-0005-0000-0000-000061010000}"/>
    <cellStyle name="_APAC Support Bookings Dec02_AS WD1 Flash Charts - May'05_Acquisition Schedules" xfId="630" xr:uid="{00000000-0005-0000-0000-000062010000}"/>
    <cellStyle name="_APAC Support Bookings Dec02_AS WD3 Flash Charts - Apr'05" xfId="631" xr:uid="{00000000-0005-0000-0000-000063010000}"/>
    <cellStyle name="_APAC Support Bookings Dec02_AS WD3 Flash Charts - Apr'05_Acquisition Schedules" xfId="632" xr:uid="{00000000-0005-0000-0000-000064010000}"/>
    <cellStyle name="_APAC Support Bookings Dec02_AS WD3 Flash Charts - Mar'05v1" xfId="633" xr:uid="{00000000-0005-0000-0000-000065010000}"/>
    <cellStyle name="_APAC Support Bookings Dec02_AS WD3 Flash Charts - Mar'05v1_Acquisition Schedules" xfId="634" xr:uid="{00000000-0005-0000-0000-000066010000}"/>
    <cellStyle name="_APAC Support Bookings Dec02_CA WD1 Flash Charts - Sep'05" xfId="635" xr:uid="{00000000-0005-0000-0000-000067010000}"/>
    <cellStyle name="_APAC Support Bookings Dec02_CA WD1 Flash Charts - Sep'05_Acquisition Schedules" xfId="636" xr:uid="{00000000-0005-0000-0000-000068010000}"/>
    <cellStyle name="_APAC Support Bookings Dec02_Forecast Accuracy &amp; Linearity" xfId="637" xr:uid="{00000000-0005-0000-0000-000069010000}"/>
    <cellStyle name="_APAC Support Bookings Dec02_Forecast Accuracy &amp; Linearity_Acquisition Schedules" xfId="638" xr:uid="{00000000-0005-0000-0000-00006A010000}"/>
    <cellStyle name="_APAC Support Bookings Dec02_FY04 Korea Goaling" xfId="639" xr:uid="{00000000-0005-0000-0000-00006B010000}"/>
    <cellStyle name="_APAC Support Bookings Dec02_FY04 Korea Goaling_Acquisition Schedules" xfId="640" xr:uid="{00000000-0005-0000-0000-00006C010000}"/>
    <cellStyle name="_APAC Support Bookings Dec02_Q3'02 Ops Call_Feb'021  Korea" xfId="641" xr:uid="{00000000-0005-0000-0000-00006D010000}"/>
    <cellStyle name="_APAC Support Bookings Dec02_Q3'02 Ops Call_Feb'021  Korea_Acquisition Schedules" xfId="642" xr:uid="{00000000-0005-0000-0000-00006E010000}"/>
    <cellStyle name="_APAC Support Bookings Dec02_Q3'02 Ops Call_Feb'021  Korea_ANZ FY04 Goaling" xfId="643" xr:uid="{00000000-0005-0000-0000-00006F010000}"/>
    <cellStyle name="_APAC Support Bookings Dec02_Q3'02 Ops Call_Feb'021  Korea_ANZ FY04 Goaling_Acquisition Schedules" xfId="644" xr:uid="{00000000-0005-0000-0000-000070010000}"/>
    <cellStyle name="_APAC Support Bookings Dec02_Q3'02 Ops Call_Feb'021  Korea_APAC AS Aug'05 WD3 Flash" xfId="645" xr:uid="{00000000-0005-0000-0000-000071010000}"/>
    <cellStyle name="_APAC Support Bookings Dec02_Q3'02 Ops Call_Feb'021  Korea_APAC AS Aug'05 WD3 Flash_Acquisition Schedules" xfId="646" xr:uid="{00000000-0005-0000-0000-000072010000}"/>
    <cellStyle name="_APAC Support Bookings Dec02_Q3'02 Ops Call_Feb'021  Korea_APAC Weekly Commit - FY04Q2W01" xfId="647" xr:uid="{00000000-0005-0000-0000-000073010000}"/>
    <cellStyle name="_APAC Support Bookings Dec02_Q3'02 Ops Call_Feb'021  Korea_APAC Weekly Commit - FY04Q2W01_Acquisition Schedules" xfId="648" xr:uid="{00000000-0005-0000-0000-000074010000}"/>
    <cellStyle name="_APAC Support Bookings Dec02_Q3'02 Ops Call_Feb'021  Korea_AS WD1 Flash Charts - Apr'05" xfId="649" xr:uid="{00000000-0005-0000-0000-000075010000}"/>
    <cellStyle name="_APAC Support Bookings Dec02_Q3'02 Ops Call_Feb'021  Korea_AS WD1 Flash Charts - Apr'05_Acquisition Schedules" xfId="650" xr:uid="{00000000-0005-0000-0000-000076010000}"/>
    <cellStyle name="_APAC Support Bookings Dec02_Q3'02 Ops Call_Feb'021  Korea_AS WD1 Flash Charts - May'05" xfId="651" xr:uid="{00000000-0005-0000-0000-000077010000}"/>
    <cellStyle name="_APAC Support Bookings Dec02_Q3'02 Ops Call_Feb'021  Korea_AS WD1 Flash Charts - May'05_Acquisition Schedules" xfId="652" xr:uid="{00000000-0005-0000-0000-000078010000}"/>
    <cellStyle name="_APAC Support Bookings Dec02_Q3'02 Ops Call_Feb'021  Korea_AS WD3 Flash Charts - Apr'05" xfId="653" xr:uid="{00000000-0005-0000-0000-000079010000}"/>
    <cellStyle name="_APAC Support Bookings Dec02_Q3'02 Ops Call_Feb'021  Korea_AS WD3 Flash Charts - Apr'05_Acquisition Schedules" xfId="654" xr:uid="{00000000-0005-0000-0000-00007A010000}"/>
    <cellStyle name="_APAC Support Bookings Dec02_Q3'02 Ops Call_Feb'021  Korea_AS WD3 Flash Charts - Mar'05v1" xfId="655" xr:uid="{00000000-0005-0000-0000-00007B010000}"/>
    <cellStyle name="_APAC Support Bookings Dec02_Q3'02 Ops Call_Feb'021  Korea_AS WD3 Flash Charts - Mar'05v1_Acquisition Schedules" xfId="656" xr:uid="{00000000-0005-0000-0000-00007C010000}"/>
    <cellStyle name="_APAC Support Bookings Dec02_Q3'02 Ops Call_Feb'021  Korea_CA WD1 Flash Charts - Sep'05" xfId="657" xr:uid="{00000000-0005-0000-0000-00007D010000}"/>
    <cellStyle name="_APAC Support Bookings Dec02_Q3'02 Ops Call_Feb'021  Korea_CA WD1 Flash Charts - Sep'05_Acquisition Schedules" xfId="658" xr:uid="{00000000-0005-0000-0000-00007E010000}"/>
    <cellStyle name="_APAC Support Bookings Dec02_Q3'02 Ops Call_Feb'021  Korea_Forecast Accuracy &amp; Linearity" xfId="659" xr:uid="{00000000-0005-0000-0000-00007F010000}"/>
    <cellStyle name="_APAC Support Bookings Dec02_Q3'02 Ops Call_Feb'021  Korea_Forecast Accuracy &amp; Linearity_Acquisition Schedules" xfId="660" xr:uid="{00000000-0005-0000-0000-000080010000}"/>
    <cellStyle name="_APAC Support Bookings Dec02_Q3'02 Ops Call_Feb'021  Korea_FY04 Korea Goaling" xfId="661" xr:uid="{00000000-0005-0000-0000-000081010000}"/>
    <cellStyle name="_APAC Support Bookings Dec02_Q3'02 Ops Call_Feb'021  Korea_FY04 Korea Goaling_Acquisition Schedules" xfId="662" xr:uid="{00000000-0005-0000-0000-000082010000}"/>
    <cellStyle name="_APAC Support Bookings Dec02_Q3'02 Ops Call_Feb'021  Korea_WD1APAC Summary-26-04-05 FY05 ------1" xfId="663" xr:uid="{00000000-0005-0000-0000-000083010000}"/>
    <cellStyle name="_APAC Support Bookings Dec02_Q3'02 Ops Call_Feb'021  Korea_WD1APAC Summary-26-04-05 FY05 ------1_Acquisition Schedules" xfId="664" xr:uid="{00000000-0005-0000-0000-000084010000}"/>
    <cellStyle name="_APAC Support Bookings Dec02_Target Template" xfId="665" xr:uid="{00000000-0005-0000-0000-000085010000}"/>
    <cellStyle name="_APAC Support Bookings Dec02_Target Template_Acquisition Schedules" xfId="666" xr:uid="{00000000-0005-0000-0000-000086010000}"/>
    <cellStyle name="_APAC Support Bookings Dec02_WD1APAC Summary-26-04-05 FY05 ------1" xfId="667" xr:uid="{00000000-0005-0000-0000-000087010000}"/>
    <cellStyle name="_APAC Support Bookings Dec02_WD1APAC Summary-26-04-05 FY05 ------1_Acquisition Schedules" xfId="668" xr:uid="{00000000-0005-0000-0000-000088010000}"/>
    <cellStyle name="_APAC Support Bookings Nov02" xfId="669" xr:uid="{00000000-0005-0000-0000-000089010000}"/>
    <cellStyle name="_APAC Support Bookings Nov02_Acquisition Schedules" xfId="670" xr:uid="{00000000-0005-0000-0000-00008A010000}"/>
    <cellStyle name="_APAC Support Bookings Nov02_APAC AS Aug'05 WD3 Flash" xfId="671" xr:uid="{00000000-0005-0000-0000-00008B010000}"/>
    <cellStyle name="_APAC Support Bookings Nov02_APAC AS Aug'05 WD3 Flash_Acquisition Schedules" xfId="672" xr:uid="{00000000-0005-0000-0000-00008C010000}"/>
    <cellStyle name="_APAC Support Bookings Nov02_APAC AS Oct'06 WD3 Flash" xfId="673" xr:uid="{00000000-0005-0000-0000-00008D010000}"/>
    <cellStyle name="_APAC Support Bookings Nov02_APAC AS Oct'06 WD3 Flash_Acquisition Schedules" xfId="674" xr:uid="{00000000-0005-0000-0000-00008E010000}"/>
    <cellStyle name="_APAC Support Bookings Nov02_APAC Support Bookings - Jun03" xfId="675" xr:uid="{00000000-0005-0000-0000-00008F010000}"/>
    <cellStyle name="_APAC Support Bookings Nov02_APAC Support Bookings - Jun03_Acquisition Schedules" xfId="676" xr:uid="{00000000-0005-0000-0000-000090010000}"/>
    <cellStyle name="_APAC Support Bookings Nov02_APAC Support Bookings - Jun03_APAC AS Aug'05 WD3 Flash" xfId="677" xr:uid="{00000000-0005-0000-0000-000091010000}"/>
    <cellStyle name="_APAC Support Bookings Nov02_APAC Support Bookings - Jun03_APAC AS Aug'05 WD3 Flash_Acquisition Schedules" xfId="678" xr:uid="{00000000-0005-0000-0000-000092010000}"/>
    <cellStyle name="_APAC Support Bookings Nov02_APAC Support Bookings - Jun03_AS Variance Analysis_Aug07" xfId="679" xr:uid="{00000000-0005-0000-0000-000093010000}"/>
    <cellStyle name="_APAC Support Bookings Nov02_APAC Support Bookings - Jun03_AS Variance Analysis_Aug07_Acquisition Schedules" xfId="680" xr:uid="{00000000-0005-0000-0000-000094010000}"/>
    <cellStyle name="_APAC Support Bookings Nov02_APAC Support Bookings - Jun03_AS WD1 Flash Charts - Apr'05" xfId="681" xr:uid="{00000000-0005-0000-0000-000095010000}"/>
    <cellStyle name="_APAC Support Bookings Nov02_APAC Support Bookings - Jun03_AS WD1 Flash Charts - Apr'05_Acquisition Schedules" xfId="682" xr:uid="{00000000-0005-0000-0000-000096010000}"/>
    <cellStyle name="_APAC Support Bookings Nov02_APAC Support Bookings - Jun03_AS WD1 Flash Charts - May'05" xfId="683" xr:uid="{00000000-0005-0000-0000-000097010000}"/>
    <cellStyle name="_APAC Support Bookings Nov02_APAC Support Bookings - Jun03_AS WD1 Flash Charts - May'05_Acquisition Schedules" xfId="684" xr:uid="{00000000-0005-0000-0000-000098010000}"/>
    <cellStyle name="_APAC Support Bookings Nov02_APAC Support Bookings - Jun03_AS WD3 Flash Charts - Apr'05" xfId="685" xr:uid="{00000000-0005-0000-0000-000099010000}"/>
    <cellStyle name="_APAC Support Bookings Nov02_APAC Support Bookings - Jun03_AS WD3 Flash Charts - Apr'05_Acquisition Schedules" xfId="686" xr:uid="{00000000-0005-0000-0000-00009A010000}"/>
    <cellStyle name="_APAC Support Bookings Nov02_APAC Support Bookings - Jun03_AS WD3 Flash Charts - Mar'05v1" xfId="687" xr:uid="{00000000-0005-0000-0000-00009B010000}"/>
    <cellStyle name="_APAC Support Bookings Nov02_APAC Support Bookings - Jun03_AS WD3 Flash Charts - Mar'05v1_Acquisition Schedules" xfId="688" xr:uid="{00000000-0005-0000-0000-00009C010000}"/>
    <cellStyle name="_APAC Support Bookings Nov02_APAC Support Bookings - Jun03_CA WD1 Flash Charts - Sep'05" xfId="689" xr:uid="{00000000-0005-0000-0000-00009D010000}"/>
    <cellStyle name="_APAC Support Bookings Nov02_APAC Support Bookings - Jun03_CA WD1 Flash Charts - Sep'05_Acquisition Schedules" xfId="690" xr:uid="{00000000-0005-0000-0000-00009E010000}"/>
    <cellStyle name="_APAC Support Bookings Nov02_APAC Support Bookings - Jun03_Target Template" xfId="691" xr:uid="{00000000-0005-0000-0000-00009F010000}"/>
    <cellStyle name="_APAC Support Bookings Nov02_APAC Support Bookings - Jun03_Target Template_Acquisition Schedules" xfId="692" xr:uid="{00000000-0005-0000-0000-0000A0010000}"/>
    <cellStyle name="_APAC Support Bookings Nov02_APAC Weekly Commit - FY04Q2W01" xfId="693" xr:uid="{00000000-0005-0000-0000-0000A1010000}"/>
    <cellStyle name="_APAC Support Bookings Nov02_APAC Weekly Commit - FY04Q2W01_Acquisition Schedules" xfId="694" xr:uid="{00000000-0005-0000-0000-0000A2010000}"/>
    <cellStyle name="_APAC Support Bookings Nov02_AS Variance Analysis_Aug07" xfId="695" xr:uid="{00000000-0005-0000-0000-0000A3010000}"/>
    <cellStyle name="_APAC Support Bookings Nov02_AS Variance Analysis_Aug07_Acquisition Schedules" xfId="696" xr:uid="{00000000-0005-0000-0000-0000A4010000}"/>
    <cellStyle name="_APAC Support Bookings Nov02_AS WD1 Flash Charts - Apr'05" xfId="697" xr:uid="{00000000-0005-0000-0000-0000A5010000}"/>
    <cellStyle name="_APAC Support Bookings Nov02_AS WD1 Flash Charts - Apr'05_Acquisition Schedules" xfId="698" xr:uid="{00000000-0005-0000-0000-0000A6010000}"/>
    <cellStyle name="_APAC Support Bookings Nov02_AS WD1 Flash Charts - May'05" xfId="699" xr:uid="{00000000-0005-0000-0000-0000A7010000}"/>
    <cellStyle name="_APAC Support Bookings Nov02_AS WD1 Flash Charts - May'05_Acquisition Schedules" xfId="700" xr:uid="{00000000-0005-0000-0000-0000A8010000}"/>
    <cellStyle name="_APAC Support Bookings Nov02_AS WD3 Flash Charts - Apr'05" xfId="701" xr:uid="{00000000-0005-0000-0000-0000A9010000}"/>
    <cellStyle name="_APAC Support Bookings Nov02_AS WD3 Flash Charts - Apr'05_Acquisition Schedules" xfId="702" xr:uid="{00000000-0005-0000-0000-0000AA010000}"/>
    <cellStyle name="_APAC Support Bookings Nov02_AS WD3 Flash Charts - Mar'05v1" xfId="703" xr:uid="{00000000-0005-0000-0000-0000AB010000}"/>
    <cellStyle name="_APAC Support Bookings Nov02_AS WD3 Flash Charts - Mar'05v1_Acquisition Schedules" xfId="704" xr:uid="{00000000-0005-0000-0000-0000AC010000}"/>
    <cellStyle name="_APAC Support Bookings Nov02_CA WD1 Flash Charts - Sep'05" xfId="705" xr:uid="{00000000-0005-0000-0000-0000AD010000}"/>
    <cellStyle name="_APAC Support Bookings Nov02_CA WD1 Flash Charts - Sep'05_Acquisition Schedules" xfId="706" xr:uid="{00000000-0005-0000-0000-0000AE010000}"/>
    <cellStyle name="_APAC Support Bookings Nov02_Forecast Accuracy &amp; Linearity" xfId="707" xr:uid="{00000000-0005-0000-0000-0000AF010000}"/>
    <cellStyle name="_APAC Support Bookings Nov02_Forecast Accuracy &amp; Linearity_Acquisition Schedules" xfId="708" xr:uid="{00000000-0005-0000-0000-0000B0010000}"/>
    <cellStyle name="_APAC Support Bookings Nov02_FY04 Korea Goaling" xfId="709" xr:uid="{00000000-0005-0000-0000-0000B1010000}"/>
    <cellStyle name="_APAC Support Bookings Nov02_FY04 Korea Goaling_Acquisition Schedules" xfId="710" xr:uid="{00000000-0005-0000-0000-0000B2010000}"/>
    <cellStyle name="_APAC Support Bookings Nov02_Q3'02 Ops Call_Feb'021  Korea" xfId="711" xr:uid="{00000000-0005-0000-0000-0000B3010000}"/>
    <cellStyle name="_APAC Support Bookings Nov02_Q3'02 Ops Call_Feb'021  Korea_Acquisition Schedules" xfId="712" xr:uid="{00000000-0005-0000-0000-0000B4010000}"/>
    <cellStyle name="_APAC Support Bookings Nov02_Q3'02 Ops Call_Feb'021  Korea_ANZ FY04 Goaling" xfId="713" xr:uid="{00000000-0005-0000-0000-0000B5010000}"/>
    <cellStyle name="_APAC Support Bookings Nov02_Q3'02 Ops Call_Feb'021  Korea_ANZ FY04 Goaling_Acquisition Schedules" xfId="714" xr:uid="{00000000-0005-0000-0000-0000B6010000}"/>
    <cellStyle name="_APAC Support Bookings Nov02_Q3'02 Ops Call_Feb'021  Korea_APAC AS Aug'05 WD3 Flash" xfId="715" xr:uid="{00000000-0005-0000-0000-0000B7010000}"/>
    <cellStyle name="_APAC Support Bookings Nov02_Q3'02 Ops Call_Feb'021  Korea_APAC AS Aug'05 WD3 Flash_Acquisition Schedules" xfId="716" xr:uid="{00000000-0005-0000-0000-0000B8010000}"/>
    <cellStyle name="_APAC Support Bookings Nov02_Q3'02 Ops Call_Feb'021  Korea_APAC Weekly Commit - FY04Q2W01" xfId="717" xr:uid="{00000000-0005-0000-0000-0000B9010000}"/>
    <cellStyle name="_APAC Support Bookings Nov02_Q3'02 Ops Call_Feb'021  Korea_APAC Weekly Commit - FY04Q2W01_Acquisition Schedules" xfId="718" xr:uid="{00000000-0005-0000-0000-0000BA010000}"/>
    <cellStyle name="_APAC Support Bookings Nov02_Q3'02 Ops Call_Feb'021  Korea_AS WD1 Flash Charts - Apr'05" xfId="719" xr:uid="{00000000-0005-0000-0000-0000BB010000}"/>
    <cellStyle name="_APAC Support Bookings Nov02_Q3'02 Ops Call_Feb'021  Korea_AS WD1 Flash Charts - Apr'05_Acquisition Schedules" xfId="720" xr:uid="{00000000-0005-0000-0000-0000BC010000}"/>
    <cellStyle name="_APAC Support Bookings Nov02_Q3'02 Ops Call_Feb'021  Korea_AS WD1 Flash Charts - May'05" xfId="721" xr:uid="{00000000-0005-0000-0000-0000BD010000}"/>
    <cellStyle name="_APAC Support Bookings Nov02_Q3'02 Ops Call_Feb'021  Korea_AS WD1 Flash Charts - May'05_Acquisition Schedules" xfId="722" xr:uid="{00000000-0005-0000-0000-0000BE010000}"/>
    <cellStyle name="_APAC Support Bookings Nov02_Q3'02 Ops Call_Feb'021  Korea_AS WD3 Flash Charts - Apr'05" xfId="723" xr:uid="{00000000-0005-0000-0000-0000BF010000}"/>
    <cellStyle name="_APAC Support Bookings Nov02_Q3'02 Ops Call_Feb'021  Korea_AS WD3 Flash Charts - Apr'05_Acquisition Schedules" xfId="724" xr:uid="{00000000-0005-0000-0000-0000C0010000}"/>
    <cellStyle name="_APAC Support Bookings Nov02_Q3'02 Ops Call_Feb'021  Korea_AS WD3 Flash Charts - Mar'05v1" xfId="725" xr:uid="{00000000-0005-0000-0000-0000C1010000}"/>
    <cellStyle name="_APAC Support Bookings Nov02_Q3'02 Ops Call_Feb'021  Korea_AS WD3 Flash Charts - Mar'05v1_Acquisition Schedules" xfId="726" xr:uid="{00000000-0005-0000-0000-0000C2010000}"/>
    <cellStyle name="_APAC Support Bookings Nov02_Q3'02 Ops Call_Feb'021  Korea_CA WD1 Flash Charts - Sep'05" xfId="727" xr:uid="{00000000-0005-0000-0000-0000C3010000}"/>
    <cellStyle name="_APAC Support Bookings Nov02_Q3'02 Ops Call_Feb'021  Korea_CA WD1 Flash Charts - Sep'05_Acquisition Schedules" xfId="728" xr:uid="{00000000-0005-0000-0000-0000C4010000}"/>
    <cellStyle name="_APAC Support Bookings Nov02_Q3'02 Ops Call_Feb'021  Korea_Forecast Accuracy &amp; Linearity" xfId="729" xr:uid="{00000000-0005-0000-0000-0000C5010000}"/>
    <cellStyle name="_APAC Support Bookings Nov02_Q3'02 Ops Call_Feb'021  Korea_Forecast Accuracy &amp; Linearity_Acquisition Schedules" xfId="730" xr:uid="{00000000-0005-0000-0000-0000C6010000}"/>
    <cellStyle name="_APAC Support Bookings Nov02_Q3'02 Ops Call_Feb'021  Korea_FY04 Korea Goaling" xfId="731" xr:uid="{00000000-0005-0000-0000-0000C7010000}"/>
    <cellStyle name="_APAC Support Bookings Nov02_Q3'02 Ops Call_Feb'021  Korea_FY04 Korea Goaling_Acquisition Schedules" xfId="732" xr:uid="{00000000-0005-0000-0000-0000C8010000}"/>
    <cellStyle name="_APAC Support Bookings Nov02_Q3'02 Ops Call_Feb'021  Korea_WD1APAC Summary-26-04-05 FY05 ------1" xfId="733" xr:uid="{00000000-0005-0000-0000-0000C9010000}"/>
    <cellStyle name="_APAC Support Bookings Nov02_Q3'02 Ops Call_Feb'021  Korea_WD1APAC Summary-26-04-05 FY05 ------1_Acquisition Schedules" xfId="734" xr:uid="{00000000-0005-0000-0000-0000CA010000}"/>
    <cellStyle name="_APAC Support Bookings Nov02_Target Template" xfId="735" xr:uid="{00000000-0005-0000-0000-0000CB010000}"/>
    <cellStyle name="_APAC Support Bookings Nov02_Target Template_Acquisition Schedules" xfId="736" xr:uid="{00000000-0005-0000-0000-0000CC010000}"/>
    <cellStyle name="_APAC Support Bookings Nov02_WD1APAC Summary-26-04-05 FY05 ------1" xfId="737" xr:uid="{00000000-0005-0000-0000-0000CD010000}"/>
    <cellStyle name="_APAC Support Bookings Nov02_WD1APAC Summary-26-04-05 FY05 ------1_Acquisition Schedules" xfId="738" xr:uid="{00000000-0005-0000-0000-0000CE010000}"/>
    <cellStyle name="_APAC Weekly Commit - FY04Q2W01" xfId="739" xr:uid="{00000000-0005-0000-0000-0000CF010000}"/>
    <cellStyle name="_APJ Dec'03 Close Japan Delivery Split1" xfId="740" xr:uid="{00000000-0005-0000-0000-0000D0010000}"/>
    <cellStyle name="_APJ Dec'03 Close Japan Delivery Split1_Acquisition Schedules" xfId="741" xr:uid="{00000000-0005-0000-0000-0000D1010000}"/>
    <cellStyle name="_APJ Jan'03 Close with Delivery Splits" xfId="742" xr:uid="{00000000-0005-0000-0000-0000D2010000}"/>
    <cellStyle name="_APJ Jan'03 Close with Delivery Splits_Acquisition Schedules" xfId="743" xr:uid="{00000000-0005-0000-0000-0000D3010000}"/>
    <cellStyle name="_Apples to Apples" xfId="744" xr:uid="{00000000-0005-0000-0000-0000D4010000}"/>
    <cellStyle name="_Apr FY07 Reconciliation" xfId="745" xr:uid="{00000000-0005-0000-0000-0000D5010000}"/>
    <cellStyle name="_Apr FY07 Reconciliation 2" xfId="746" xr:uid="{00000000-0005-0000-0000-0000D6010000}"/>
    <cellStyle name="_April Revenue Expectations" xfId="747" xr:uid="{00000000-0005-0000-0000-0000D7010000}"/>
    <cellStyle name="_April Revenue Expectations Template 13-apr" xfId="748" xr:uid="{00000000-0005-0000-0000-0000D8010000}"/>
    <cellStyle name="_April Revenue Expectations Template 13-apr_Acquisition Schedules" xfId="749" xr:uid="{00000000-0005-0000-0000-0000D9010000}"/>
    <cellStyle name="_April Revenue Expectations_Acquisition Schedules" xfId="750" xr:uid="{00000000-0005-0000-0000-0000DA010000}"/>
    <cellStyle name="_April Revenue Expectations1" xfId="751" xr:uid="{00000000-0005-0000-0000-0000DB010000}"/>
    <cellStyle name="_April Revenue Expectations1_Acquisition Schedules" xfId="752" xr:uid="{00000000-0005-0000-0000-0000DC010000}"/>
    <cellStyle name="_April Revenue Expectations-v2" xfId="753" xr:uid="{00000000-0005-0000-0000-0000DD010000}"/>
    <cellStyle name="_April Revenue Expectations-v2_Acquisition Schedules" xfId="754" xr:uid="{00000000-0005-0000-0000-0000DE010000}"/>
    <cellStyle name="_AS FY04 Bookings Fcst Model.1" xfId="755" xr:uid="{00000000-0005-0000-0000-0000DF010000}"/>
    <cellStyle name="_AS FY04 Bookings Fcst Model.1_Acquisition Schedules" xfId="756" xr:uid="{00000000-0005-0000-0000-0000E0010000}"/>
    <cellStyle name="_AS Q2'02 Template " xfId="757" xr:uid="{00000000-0005-0000-0000-0000E1010000}"/>
    <cellStyle name="_AS Q2'02 Template _Acquisition Schedules" xfId="758" xr:uid="{00000000-0005-0000-0000-0000E2010000}"/>
    <cellStyle name="_AS Variance Analysis_Jan032" xfId="759" xr:uid="{00000000-0005-0000-0000-0000E3010000}"/>
    <cellStyle name="_AS Variance Analysis_Jan032_Acquisition Schedules" xfId="760" xr:uid="{00000000-0005-0000-0000-0000E4010000}"/>
    <cellStyle name="_AS Variance Analysis_Jan036" xfId="761" xr:uid="{00000000-0005-0000-0000-0000E5010000}"/>
    <cellStyle name="_AS Variance Analysis_Jan036_Acquisition Schedules" xfId="762" xr:uid="{00000000-0005-0000-0000-0000E6010000}"/>
    <cellStyle name="_AS Variance Analysis_Oct038" xfId="763" xr:uid="{00000000-0005-0000-0000-0000E7010000}"/>
    <cellStyle name="_AS Variance Analysis_Oct038_Acquisition Schedules" xfId="764" xr:uid="{00000000-0005-0000-0000-0000E8010000}"/>
    <cellStyle name="_AsiaPac FY03 Product Plan_Final_11Jul02" xfId="765" xr:uid="{00000000-0005-0000-0000-0000E9010000}"/>
    <cellStyle name="_AsiaPac FY03 Product Plan_Final_11Jul02_Acquisition Schedules" xfId="766" xr:uid="{00000000-0005-0000-0000-0000EA010000}"/>
    <cellStyle name="_Atlas Accretion Dilution Model" xfId="767" xr:uid="{00000000-0005-0000-0000-0000EB010000}"/>
    <cellStyle name="_Atlas Accretion Dilution Model_Acquisition Schedules" xfId="768" xr:uid="{00000000-0005-0000-0000-0000EC010000}"/>
    <cellStyle name="_Aug-05 PF Hierarchy" xfId="769" xr:uid="{00000000-0005-0000-0000-0000ED010000}"/>
    <cellStyle name="_Aug-05 PF Hierarchy 2" xfId="770" xr:uid="{00000000-0005-0000-0000-0000EE010000}"/>
    <cellStyle name="_Aug-05 PF Hierarchy 3" xfId="771" xr:uid="{00000000-0005-0000-0000-0000EF010000}"/>
    <cellStyle name="_Aug-05 PF Hierarchy 4" xfId="772" xr:uid="{00000000-0005-0000-0000-0000F0010000}"/>
    <cellStyle name="_Aug-05 PF Hierarchy 5" xfId="773" xr:uid="{00000000-0005-0000-0000-0000F1010000}"/>
    <cellStyle name="_Aug-05 PF Hierarchy 6" xfId="774" xr:uid="{00000000-0005-0000-0000-0000F2010000}"/>
    <cellStyle name="_Aug-05 PF Hierarchy 7" xfId="775" xr:uid="{00000000-0005-0000-0000-0000F3010000}"/>
    <cellStyle name="_Aug07 Summary" xfId="776" xr:uid="{00000000-0005-0000-0000-0000F4010000}"/>
    <cellStyle name="_Aug07 Summary_Acquisition Schedules" xfId="777" xr:uid="{00000000-0005-0000-0000-0000F5010000}"/>
    <cellStyle name="_Biz Metrics coverpage_Lil" xfId="778" xr:uid="{00000000-0005-0000-0000-0000F6010000}"/>
    <cellStyle name="_Biz Metrics coverpage_Lil_Acquisition Schedules" xfId="779" xr:uid="{00000000-0005-0000-0000-0000F7010000}"/>
    <cellStyle name="_Biz Metrics coverpage_Lil_ANZ FY04 Goaling" xfId="780" xr:uid="{00000000-0005-0000-0000-0000F8010000}"/>
    <cellStyle name="_Biz Metrics coverpage_Lil_ANZ FY04 Goaling_Acquisition Schedules" xfId="781" xr:uid="{00000000-0005-0000-0000-0000F9010000}"/>
    <cellStyle name="_Biz Metrics coverpage_Lil_FY04 Korea Goaling" xfId="782" xr:uid="{00000000-0005-0000-0000-0000FA010000}"/>
    <cellStyle name="_Biz Metrics coverpage_Lil_FY04 Korea Goaling_Acquisition Schedules" xfId="783" xr:uid="{00000000-0005-0000-0000-0000FB010000}"/>
    <cellStyle name="_Biz Metrics coverpage_Lil_FY04 Plan Book" xfId="784" xr:uid="{00000000-0005-0000-0000-0000FC010000}"/>
    <cellStyle name="_Biz Metrics coverpage_Lil_FY04 Plan Book_Acquisition Schedules" xfId="785" xr:uid="{00000000-0005-0000-0000-0000FD010000}"/>
    <cellStyle name="_Biz Metrics coverpage_Lil_FY04 Plan Book_APAC AS Aug'05 WD3 Flash" xfId="786" xr:uid="{00000000-0005-0000-0000-0000FE010000}"/>
    <cellStyle name="_Biz Metrics coverpage_Lil_FY04 Plan Book_APAC AS Aug'05 WD3 Flash_Acquisition Schedules" xfId="787" xr:uid="{00000000-0005-0000-0000-0000FF010000}"/>
    <cellStyle name="_Biz Metrics coverpage_Lil_FY04 Plan Book_AS WD1 Flash Charts - Apr'05" xfId="788" xr:uid="{00000000-0005-0000-0000-000000020000}"/>
    <cellStyle name="_Biz Metrics coverpage_Lil_FY04 Plan Book_AS WD1 Flash Charts - Apr'05_Acquisition Schedules" xfId="789" xr:uid="{00000000-0005-0000-0000-000001020000}"/>
    <cellStyle name="_Biz Metrics coverpage_Lil_FY04 Plan Book_AS WD1 Flash Charts - May'05" xfId="790" xr:uid="{00000000-0005-0000-0000-000002020000}"/>
    <cellStyle name="_Biz Metrics coverpage_Lil_FY04 Plan Book_AS WD1 Flash Charts - May'05_Acquisition Schedules" xfId="791" xr:uid="{00000000-0005-0000-0000-000003020000}"/>
    <cellStyle name="_Biz Metrics coverpage_Lil_FY04 Plan Book_AS WD3 Flash Charts - Apr'05" xfId="792" xr:uid="{00000000-0005-0000-0000-000004020000}"/>
    <cellStyle name="_Biz Metrics coverpage_Lil_FY04 Plan Book_AS WD3 Flash Charts - Apr'05_Acquisition Schedules" xfId="793" xr:uid="{00000000-0005-0000-0000-000005020000}"/>
    <cellStyle name="_Biz Metrics coverpage_Lil_FY04 Plan Book_AS WD3 Flash Charts - Mar'05v1" xfId="794" xr:uid="{00000000-0005-0000-0000-000006020000}"/>
    <cellStyle name="_Biz Metrics coverpage_Lil_FY04 Plan Book_AS WD3 Flash Charts - Mar'05v1_Acquisition Schedules" xfId="795" xr:uid="{00000000-0005-0000-0000-000007020000}"/>
    <cellStyle name="_Biz Metrics coverpage_Lil_FY04 Plan Book_CA WD1 Flash Charts - Sep'05" xfId="796" xr:uid="{00000000-0005-0000-0000-000008020000}"/>
    <cellStyle name="_Biz Metrics coverpage_Lil_FY04 Plan Book_CA WD1 Flash Charts - Sep'05_Acquisition Schedules" xfId="797" xr:uid="{00000000-0005-0000-0000-000009020000}"/>
    <cellStyle name="_Biz Metrics coverpage_Lil_P12 Jul FY03 ASIA PAC BOOK FCST - Final" xfId="798" xr:uid="{00000000-0005-0000-0000-00000A020000}"/>
    <cellStyle name="_Biz Metrics coverpage_Lil_P12 Jul FY03 ASIA PAC BOOK FCST - Final_Acquisition Schedules" xfId="799" xr:uid="{00000000-0005-0000-0000-00000B020000}"/>
    <cellStyle name="_Biz Metrics coverpage_Lil_P12 Jul FY03 ASIA PAC BOOK FCST - Final_APAC AS Aug'05 WD3 Flash" xfId="800" xr:uid="{00000000-0005-0000-0000-00000C020000}"/>
    <cellStyle name="_Biz Metrics coverpage_Lil_P12 Jul FY03 ASIA PAC BOOK FCST - Final_APAC AS Aug'05 WD3 Flash_Acquisition Schedules" xfId="801" xr:uid="{00000000-0005-0000-0000-00000D020000}"/>
    <cellStyle name="_Biz Metrics coverpage_Lil_P12 Jul FY03 ASIA PAC BOOK FCST - Final_AS WD1 Flash Charts - Apr'05" xfId="802" xr:uid="{00000000-0005-0000-0000-00000E020000}"/>
    <cellStyle name="_Biz Metrics coverpage_Lil_P12 Jul FY03 ASIA PAC BOOK FCST - Final_AS WD1 Flash Charts - Apr'05_Acquisition Schedules" xfId="803" xr:uid="{00000000-0005-0000-0000-00000F020000}"/>
    <cellStyle name="_Biz Metrics coverpage_Lil_P12 Jul FY03 ASIA PAC BOOK FCST - Final_AS WD1 Flash Charts - May'05" xfId="804" xr:uid="{00000000-0005-0000-0000-000010020000}"/>
    <cellStyle name="_Biz Metrics coverpage_Lil_P12 Jul FY03 ASIA PAC BOOK FCST - Final_AS WD1 Flash Charts - May'05_Acquisition Schedules" xfId="805" xr:uid="{00000000-0005-0000-0000-000011020000}"/>
    <cellStyle name="_Biz Metrics coverpage_Lil_P12 Jul FY03 ASIA PAC BOOK FCST - Final_AS WD3 Flash Charts - Apr'05" xfId="806" xr:uid="{00000000-0005-0000-0000-000012020000}"/>
    <cellStyle name="_Biz Metrics coverpage_Lil_P12 Jul FY03 ASIA PAC BOOK FCST - Final_AS WD3 Flash Charts - Apr'05_Acquisition Schedules" xfId="807" xr:uid="{00000000-0005-0000-0000-000013020000}"/>
    <cellStyle name="_Biz Metrics coverpage_Lil_P12 Jul FY03 ASIA PAC BOOK FCST - Final_AS WD3 Flash Charts - Mar'05v1" xfId="808" xr:uid="{00000000-0005-0000-0000-000014020000}"/>
    <cellStyle name="_Biz Metrics coverpage_Lil_P12 Jul FY03 ASIA PAC BOOK FCST - Final_AS WD3 Flash Charts - Mar'05v1_Acquisition Schedules" xfId="809" xr:uid="{00000000-0005-0000-0000-000015020000}"/>
    <cellStyle name="_Biz Metrics coverpage_Lil_P12 Jul FY03 ASIA PAC BOOK FCST - Final_CA WD1 Flash Charts - Sep'05" xfId="810" xr:uid="{00000000-0005-0000-0000-000016020000}"/>
    <cellStyle name="_Biz Metrics coverpage_Lil_P12 Jul FY03 ASIA PAC BOOK FCST - Final_CA WD1 Flash Charts - Sep'05_Acquisition Schedules" xfId="811" xr:uid="{00000000-0005-0000-0000-000017020000}"/>
    <cellStyle name="_bkg$" xfId="812" xr:uid="{00000000-0005-0000-0000-000018020000}"/>
    <cellStyle name="_bkg$ 2" xfId="813" xr:uid="{00000000-0005-0000-0000-000019020000}"/>
    <cellStyle name="_Book1" xfId="814" xr:uid="{00000000-0005-0000-0000-00001A020000}"/>
    <cellStyle name="_Book1 2" xfId="815" xr:uid="{00000000-0005-0000-0000-00001B020000}"/>
    <cellStyle name="_Book1 3" xfId="816" xr:uid="{00000000-0005-0000-0000-00001C020000}"/>
    <cellStyle name="_Book1 4" xfId="817" xr:uid="{00000000-0005-0000-0000-00001D020000}"/>
    <cellStyle name="_Book1 5" xfId="818" xr:uid="{00000000-0005-0000-0000-00001E020000}"/>
    <cellStyle name="_Book1 6" xfId="819" xr:uid="{00000000-0005-0000-0000-00001F020000}"/>
    <cellStyle name="_Book1 7" xfId="820" xr:uid="{00000000-0005-0000-0000-000020020000}"/>
    <cellStyle name="_Book1 8" xfId="821" xr:uid="{00000000-0005-0000-0000-000021020000}"/>
    <cellStyle name="_Book1_Acquisition Schedules" xfId="822" xr:uid="{00000000-0005-0000-0000-000022020000}"/>
    <cellStyle name="_Book2" xfId="823" xr:uid="{00000000-0005-0000-0000-000023020000}"/>
    <cellStyle name="_Book2 2" xfId="824" xr:uid="{00000000-0005-0000-0000-000024020000}"/>
    <cellStyle name="_Book3" xfId="825" xr:uid="{00000000-0005-0000-0000-000025020000}"/>
    <cellStyle name="_Book3_1" xfId="826" xr:uid="{00000000-0005-0000-0000-000026020000}"/>
    <cellStyle name="_Book3_Supply Chain Bridge Q4 07" xfId="827" xr:uid="{00000000-0005-0000-0000-000027020000}"/>
    <cellStyle name="_Bookings details" xfId="828" xr:uid="{00000000-0005-0000-0000-000028020000}"/>
    <cellStyle name="_Bookings details_Acquisition Schedules" xfId="829" xr:uid="{00000000-0005-0000-0000-000029020000}"/>
    <cellStyle name="_Bridge Analysis" xfId="830" xr:uid="{00000000-0005-0000-0000-00002A020000}"/>
    <cellStyle name="_Bridge Analysis - Non-normalized" xfId="831" xr:uid="{00000000-0005-0000-0000-00002B020000}"/>
    <cellStyle name="_bridge workbook (ISBU)" xfId="832" xr:uid="{00000000-0005-0000-0000-00002C020000}"/>
    <cellStyle name="_BU SUMMARY from i2 05.02.07" xfId="833" xr:uid="{00000000-0005-0000-0000-00002D020000}"/>
    <cellStyle name="_BU SUMMARY from i2 05.02.07 2" xfId="834" xr:uid="{00000000-0005-0000-0000-00002E020000}"/>
    <cellStyle name="_Budget Scenarios with Different Net Shipments Apr 28" xfId="835" xr:uid="{00000000-0005-0000-0000-00002F020000}"/>
    <cellStyle name="_Budget Scenarios with Different Net Shipments Apr 28 2" xfId="836" xr:uid="{00000000-0005-0000-0000-000030020000}"/>
    <cellStyle name="_Budget Scenarios with Different Net Shipments Apr 28 3" xfId="837" xr:uid="{00000000-0005-0000-0000-000031020000}"/>
    <cellStyle name="_Budget Scenarios with Different Net Shipments Apr 28 4" xfId="838" xr:uid="{00000000-0005-0000-0000-000032020000}"/>
    <cellStyle name="_Budget Scenarios with Different Net Shipments Apr 28 5" xfId="839" xr:uid="{00000000-0005-0000-0000-000033020000}"/>
    <cellStyle name="_Budget Scenarios with Different Net Shipments Apr 28 6" xfId="840" xr:uid="{00000000-0005-0000-0000-000034020000}"/>
    <cellStyle name="_Budget Scenarios with Different Net Shipments Apr 28 7" xfId="841" xr:uid="{00000000-0005-0000-0000-000035020000}"/>
    <cellStyle name="_Budget Scenarios with Different Net Shipments Apr 28 8" xfId="842" xr:uid="{00000000-0005-0000-0000-000036020000}"/>
    <cellStyle name="_Budget Scenarios with Different Net Shipments Apr 28_Acquisition Schedules" xfId="843" xr:uid="{00000000-0005-0000-0000-000037020000}"/>
    <cellStyle name="_BV WIP Commentary -- Jul'05" xfId="844" xr:uid="{00000000-0005-0000-0000-000038020000}"/>
    <cellStyle name="_BV WIP Commentary -- Jul'05_Acquisition Schedules" xfId="845" xr:uid="{00000000-0005-0000-0000-000039020000}"/>
    <cellStyle name="_CA &amp; Linksys &amp; Warranty" xfId="846" xr:uid="{00000000-0005-0000-0000-00003A020000}"/>
    <cellStyle name="_CA &amp; Linksys &amp; Warranty 2" xfId="847" xr:uid="{00000000-0005-0000-0000-00003B020000}"/>
    <cellStyle name="_CA &amp; Linksys &amp; Warranty 3" xfId="848" xr:uid="{00000000-0005-0000-0000-00003C020000}"/>
    <cellStyle name="_CA &amp; Linksys &amp; Warranty 4" xfId="849" xr:uid="{00000000-0005-0000-0000-00003D020000}"/>
    <cellStyle name="_CA &amp; Linksys &amp; Warranty 5" xfId="850" xr:uid="{00000000-0005-0000-0000-00003E020000}"/>
    <cellStyle name="_CA &amp; Linksys &amp; Warranty 6" xfId="851" xr:uid="{00000000-0005-0000-0000-00003F020000}"/>
    <cellStyle name="_CA &amp; Linksys &amp; Warranty 7" xfId="852" xr:uid="{00000000-0005-0000-0000-000040020000}"/>
    <cellStyle name="_CA ESMB Apr'02 Fcst Pack" xfId="853" xr:uid="{00000000-0005-0000-0000-000041020000}"/>
    <cellStyle name="_CA ESMB Apr'02 Fcst Pack_Acquisition Schedules" xfId="854" xr:uid="{00000000-0005-0000-0000-000042020000}"/>
    <cellStyle name="_CA to RL report template" xfId="855" xr:uid="{00000000-0005-0000-0000-000043020000}"/>
    <cellStyle name="_CA to RL report template_Acquisition Schedules" xfId="856" xr:uid="{00000000-0005-0000-0000-000044020000}"/>
    <cellStyle name="_CA WW CONSOL Jun06 WD+2.v2" xfId="857" xr:uid="{00000000-0005-0000-0000-000045020000}"/>
    <cellStyle name="_CA WW CONSOL Jun06 WD+2.v2_Acquisition Schedules" xfId="858" xr:uid="{00000000-0005-0000-0000-000046020000}"/>
    <cellStyle name="_CA_DB_APAC_Nov02(update)" xfId="859" xr:uid="{00000000-0005-0000-0000-000047020000}"/>
    <cellStyle name="_CA_DB_APAC_Nov02(update)_Acquisition Schedules" xfId="860" xr:uid="{00000000-0005-0000-0000-000048020000}"/>
    <cellStyle name="_CA_DB_APAC_Nov02(update)_ANZ FY04 Goaling" xfId="861" xr:uid="{00000000-0005-0000-0000-000049020000}"/>
    <cellStyle name="_CA_DB_APAC_Nov02(update)_ANZ FY04 Goaling_Acquisition Schedules" xfId="862" xr:uid="{00000000-0005-0000-0000-00004A020000}"/>
    <cellStyle name="_CA_DB_APAC_Nov02(update)_APAC AS Aug'05 WD3 Flash" xfId="863" xr:uid="{00000000-0005-0000-0000-00004B020000}"/>
    <cellStyle name="_CA_DB_APAC_Nov02(update)_APAC AS Aug'05 WD3 Flash_Acquisition Schedules" xfId="864" xr:uid="{00000000-0005-0000-0000-00004C020000}"/>
    <cellStyle name="_CA_DB_APAC_Nov02(update)_APAC Support Bookings - May03" xfId="865" xr:uid="{00000000-0005-0000-0000-00004D020000}"/>
    <cellStyle name="_CA_DB_APAC_Nov02(update)_APAC Support Bookings - May03_Acquisition Schedules" xfId="866" xr:uid="{00000000-0005-0000-0000-00004E020000}"/>
    <cellStyle name="_CA_DB_APAC_Nov02(update)_APAC Weekly Commit - FY04Q2W01" xfId="867" xr:uid="{00000000-0005-0000-0000-00004F020000}"/>
    <cellStyle name="_CA_DB_APAC_Nov02(update)_APAC Weekly Commit - FY04Q2W01_Acquisition Schedules" xfId="868" xr:uid="{00000000-0005-0000-0000-000050020000}"/>
    <cellStyle name="_CA_DB_APAC_Nov02(update)_AS WD1 Flash Charts - Apr'05" xfId="869" xr:uid="{00000000-0005-0000-0000-000051020000}"/>
    <cellStyle name="_CA_DB_APAC_Nov02(update)_AS WD1 Flash Charts - Apr'05_Acquisition Schedules" xfId="870" xr:uid="{00000000-0005-0000-0000-000052020000}"/>
    <cellStyle name="_CA_DB_APAC_Nov02(update)_AS WD1 Flash Charts - May'05" xfId="871" xr:uid="{00000000-0005-0000-0000-000053020000}"/>
    <cellStyle name="_CA_DB_APAC_Nov02(update)_AS WD1 Flash Charts - May'05_Acquisition Schedules" xfId="872" xr:uid="{00000000-0005-0000-0000-000054020000}"/>
    <cellStyle name="_CA_DB_APAC_Nov02(update)_AS WD3 Flash Charts - Apr'05" xfId="873" xr:uid="{00000000-0005-0000-0000-000055020000}"/>
    <cellStyle name="_CA_DB_APAC_Nov02(update)_AS WD3 Flash Charts - Apr'05_Acquisition Schedules" xfId="874" xr:uid="{00000000-0005-0000-0000-000056020000}"/>
    <cellStyle name="_CA_DB_APAC_Nov02(update)_AS WD3 Flash Charts - Mar'05v1" xfId="875" xr:uid="{00000000-0005-0000-0000-000057020000}"/>
    <cellStyle name="_CA_DB_APAC_Nov02(update)_AS WD3 Flash Charts - Mar'05v1_Acquisition Schedules" xfId="876" xr:uid="{00000000-0005-0000-0000-000058020000}"/>
    <cellStyle name="_CA_DB_APAC_Nov02(update)_CA WD1 Flash Charts - Sep'05" xfId="877" xr:uid="{00000000-0005-0000-0000-000059020000}"/>
    <cellStyle name="_CA_DB_APAC_Nov02(update)_CA WD1 Flash Charts - Sep'05_Acquisition Schedules" xfId="878" xr:uid="{00000000-0005-0000-0000-00005A020000}"/>
    <cellStyle name="_CA_DB_APAC_Nov02(update)_CAWW Bookings Bridge Mar02" xfId="879" xr:uid="{00000000-0005-0000-0000-00005B020000}"/>
    <cellStyle name="_CA_DB_APAC_Nov02(update)_CAWW Bookings Bridge Mar02_Acquisition Schedules" xfId="880" xr:uid="{00000000-0005-0000-0000-00005C020000}"/>
    <cellStyle name="_CA_DB_APAC_Nov02(update)_Forecast Accuracy &amp; Linearity" xfId="881" xr:uid="{00000000-0005-0000-0000-00005D020000}"/>
    <cellStyle name="_CA_DB_APAC_Nov02(update)_Forecast Accuracy &amp; Linearity_Acquisition Schedules" xfId="882" xr:uid="{00000000-0005-0000-0000-00005E020000}"/>
    <cellStyle name="_CA_DB_APAC_Nov02(update)_FY04 Korea Goaling" xfId="883" xr:uid="{00000000-0005-0000-0000-00005F020000}"/>
    <cellStyle name="_CA_DB_APAC_Nov02(update)_FY04 Korea Goaling_Acquisition Schedules" xfId="884" xr:uid="{00000000-0005-0000-0000-000060020000}"/>
    <cellStyle name="_CA_DB_APAC_Nov02(update)_JAPAN Support Bookings -Aug02" xfId="885" xr:uid="{00000000-0005-0000-0000-000061020000}"/>
    <cellStyle name="_CA_DB_APAC_Nov02(update)_JAPAN Support Bookings -Aug02_Acquisition Schedules" xfId="886" xr:uid="{00000000-0005-0000-0000-000062020000}"/>
    <cellStyle name="_CA_DB_APAC_Nov02(update)_WD1APAC Summary-26-04-05 FY05 ------1" xfId="887" xr:uid="{00000000-0005-0000-0000-000063020000}"/>
    <cellStyle name="_CA_DB_APAC_Nov02(update)_WD1APAC Summary-26-04-05 FY05 ------1_Acquisition Schedules" xfId="888" xr:uid="{00000000-0005-0000-0000-000064020000}"/>
    <cellStyle name="_CA_ManualRevAmort_Apr04" xfId="889" xr:uid="{00000000-0005-0000-0000-000065020000}"/>
    <cellStyle name="_CA_ManualRevAmort_Apr04_Acquisition Schedules" xfId="890" xr:uid="{00000000-0005-0000-0000-000066020000}"/>
    <cellStyle name="_CA_ManualRevAmort_Apr041" xfId="891" xr:uid="{00000000-0005-0000-0000-000067020000}"/>
    <cellStyle name="_CA_ManualRevAmort_Apr041_Acquisition Schedules" xfId="892" xr:uid="{00000000-0005-0000-0000-000068020000}"/>
    <cellStyle name="_CA_ManualRevAmort_Apr05" xfId="893" xr:uid="{00000000-0005-0000-0000-000069020000}"/>
    <cellStyle name="_CA_ManualRevAmort_Apr05_Acquisition Schedules" xfId="894" xr:uid="{00000000-0005-0000-0000-00006A020000}"/>
    <cellStyle name="_CA_ManualRevAmort_Apr06_wfy07detail" xfId="895" xr:uid="{00000000-0005-0000-0000-00006B020000}"/>
    <cellStyle name="_CA_ManualRevAmort_Apr06_wfy07detail_Acquisition Schedules" xfId="896" xr:uid="{00000000-0005-0000-0000-00006C020000}"/>
    <cellStyle name="_CA_ManualRevAmort_Aug05" xfId="897" xr:uid="{00000000-0005-0000-0000-00006D020000}"/>
    <cellStyle name="_CA_ManualRevAmort_Aug05_Acquisition Schedules" xfId="898" xr:uid="{00000000-0005-0000-0000-00006E020000}"/>
    <cellStyle name="_CA_ManualRevAmort_Aug06 (3)" xfId="899" xr:uid="{00000000-0005-0000-0000-00006F020000}"/>
    <cellStyle name="_CA_ManualRevAmort_Aug06 (3)_Acquisition Schedules" xfId="900" xr:uid="{00000000-0005-0000-0000-000070020000}"/>
    <cellStyle name="_CA_ManualRevAmort_Dec04" xfId="901" xr:uid="{00000000-0005-0000-0000-000071020000}"/>
    <cellStyle name="_CA_ManualRevAmort_Dec04_Acquisition Schedules" xfId="902" xr:uid="{00000000-0005-0000-0000-000072020000}"/>
    <cellStyle name="_CA_ManualRevAmort_Dec05" xfId="903" xr:uid="{00000000-0005-0000-0000-000073020000}"/>
    <cellStyle name="_CA_ManualRevAmort_Dec05_Acquisition Schedules" xfId="904" xr:uid="{00000000-0005-0000-0000-000074020000}"/>
    <cellStyle name="_CA_ManualRevAmort_Dec06_wfy07detail" xfId="905" xr:uid="{00000000-0005-0000-0000-000075020000}"/>
    <cellStyle name="_CA_ManualRevAmort_Dec06_wfy07detail_Acquisition Schedules" xfId="906" xr:uid="{00000000-0005-0000-0000-000076020000}"/>
    <cellStyle name="_CA_ManualRevAmort_Feb04" xfId="907" xr:uid="{00000000-0005-0000-0000-000077020000}"/>
    <cellStyle name="_CA_ManualRevAmort_Feb04_Acquisition Schedules" xfId="908" xr:uid="{00000000-0005-0000-0000-000078020000}"/>
    <cellStyle name="_CA_ManualRevAmort_Feb05" xfId="909" xr:uid="{00000000-0005-0000-0000-000079020000}"/>
    <cellStyle name="_CA_ManualRevAmort_Feb05_Acquisition Schedules" xfId="910" xr:uid="{00000000-0005-0000-0000-00007A020000}"/>
    <cellStyle name="_CA_ManualRevAmort_Feb06_JB" xfId="911" xr:uid="{00000000-0005-0000-0000-00007B020000}"/>
    <cellStyle name="_CA_ManualRevAmort_Feb06_JB_Acquisition Schedules" xfId="912" xr:uid="{00000000-0005-0000-0000-00007C020000}"/>
    <cellStyle name="_CA_ManualRevAmort_Jan04" xfId="913" xr:uid="{00000000-0005-0000-0000-00007D020000}"/>
    <cellStyle name="_CA_ManualRevAmort_Jan04_Acquisition Schedules" xfId="914" xr:uid="{00000000-0005-0000-0000-00007E020000}"/>
    <cellStyle name="_CA_ManualRevAmort_Jan05" xfId="915" xr:uid="{00000000-0005-0000-0000-00007F020000}"/>
    <cellStyle name="_CA_ManualRevAmort_Jan05_Acquisition Schedules" xfId="916" xr:uid="{00000000-0005-0000-0000-000080020000}"/>
    <cellStyle name="_CA_ManualRevAmort_Jan06_wfy07detail" xfId="917" xr:uid="{00000000-0005-0000-0000-000081020000}"/>
    <cellStyle name="_CA_ManualRevAmort_Jan06_wfy07detail_Acquisition Schedules" xfId="918" xr:uid="{00000000-0005-0000-0000-000082020000}"/>
    <cellStyle name="_CA_ManualRevAmort_Jul04" xfId="919" xr:uid="{00000000-0005-0000-0000-000083020000}"/>
    <cellStyle name="_CA_ManualRevAmort_Jul04_Acquisition Schedules" xfId="920" xr:uid="{00000000-0005-0000-0000-000084020000}"/>
    <cellStyle name="_CA_ManualRevAmort_Jul05 (2)" xfId="921" xr:uid="{00000000-0005-0000-0000-000085020000}"/>
    <cellStyle name="_CA_ManualRevAmort_Jul05 (2)_Acquisition Schedules" xfId="922" xr:uid="{00000000-0005-0000-0000-000086020000}"/>
    <cellStyle name="_CA_ManualRevAmort_Jul05 (3)" xfId="923" xr:uid="{00000000-0005-0000-0000-000087020000}"/>
    <cellStyle name="_CA_ManualRevAmort_Jul05 (3)_Acquisition Schedules" xfId="924" xr:uid="{00000000-0005-0000-0000-000088020000}"/>
    <cellStyle name="_CA_ManualRevAmort_Jul05 (4)" xfId="925" xr:uid="{00000000-0005-0000-0000-000089020000}"/>
    <cellStyle name="_CA_ManualRevAmort_Jul05 (4)_Acquisition Schedules" xfId="926" xr:uid="{00000000-0005-0000-0000-00008A020000}"/>
    <cellStyle name="_CA_ManualRevAmort_Jul06_wfy07detail" xfId="927" xr:uid="{00000000-0005-0000-0000-00008B020000}"/>
    <cellStyle name="_CA_ManualRevAmort_Jul06_wfy07detail_Acquisition Schedules" xfId="928" xr:uid="{00000000-0005-0000-0000-00008C020000}"/>
    <cellStyle name="_CA_ManualRevAmort_Jun04" xfId="929" xr:uid="{00000000-0005-0000-0000-00008D020000}"/>
    <cellStyle name="_CA_ManualRevAmort_Jun04_Acquisition Schedules" xfId="930" xr:uid="{00000000-0005-0000-0000-00008E020000}"/>
    <cellStyle name="_CA_ManualRevAmort_Jun05" xfId="931" xr:uid="{00000000-0005-0000-0000-00008F020000}"/>
    <cellStyle name="_CA_ManualRevAmort_Jun05_Acquisition Schedules" xfId="932" xr:uid="{00000000-0005-0000-0000-000090020000}"/>
    <cellStyle name="_CA_ManualRevAmort_Jun06_wfy07detail" xfId="933" xr:uid="{00000000-0005-0000-0000-000091020000}"/>
    <cellStyle name="_CA_ManualRevAmort_Jun06_wfy07detail_Acquisition Schedules" xfId="934" xr:uid="{00000000-0005-0000-0000-000092020000}"/>
    <cellStyle name="_CA_ManualRevAmort_Mar04" xfId="935" xr:uid="{00000000-0005-0000-0000-000093020000}"/>
    <cellStyle name="_CA_ManualRevAmort_Mar04_Acquisition Schedules" xfId="936" xr:uid="{00000000-0005-0000-0000-000094020000}"/>
    <cellStyle name="_CA_ManualRevAmort_Mar051" xfId="937" xr:uid="{00000000-0005-0000-0000-000095020000}"/>
    <cellStyle name="_CA_ManualRevAmort_Mar051_Acquisition Schedules" xfId="938" xr:uid="{00000000-0005-0000-0000-000096020000}"/>
    <cellStyle name="_CA_ManualRevAmort_Mar06_wfy07detail" xfId="939" xr:uid="{00000000-0005-0000-0000-000097020000}"/>
    <cellStyle name="_CA_ManualRevAmort_Mar06_wfy07detail_Acquisition Schedules" xfId="940" xr:uid="{00000000-0005-0000-0000-000098020000}"/>
    <cellStyle name="_CA_ManualRevAmort_May04" xfId="941" xr:uid="{00000000-0005-0000-0000-000099020000}"/>
    <cellStyle name="_CA_ManualRevAmort_May04_Acquisition Schedules" xfId="942" xr:uid="{00000000-0005-0000-0000-00009A020000}"/>
    <cellStyle name="_CA_ManualRevAmort_May05" xfId="943" xr:uid="{00000000-0005-0000-0000-00009B020000}"/>
    <cellStyle name="_CA_ManualRevAmort_May05_Acquisition Schedules" xfId="944" xr:uid="{00000000-0005-0000-0000-00009C020000}"/>
    <cellStyle name="_CA_ManualRevAmort_Nov05" xfId="945" xr:uid="{00000000-0005-0000-0000-00009D020000}"/>
    <cellStyle name="_CA_ManualRevAmort_Nov05_Acquisition Schedules" xfId="946" xr:uid="{00000000-0005-0000-0000-00009E020000}"/>
    <cellStyle name="_CA_ManualRevAmort_Oct05" xfId="947" xr:uid="{00000000-0005-0000-0000-00009F020000}"/>
    <cellStyle name="_CA_ManualRevAmort_Oct05_Acquisition Schedules" xfId="948" xr:uid="{00000000-0005-0000-0000-0000A0020000}"/>
    <cellStyle name="_CA_ManualRevAmort_Oct06_wfy07detail" xfId="949" xr:uid="{00000000-0005-0000-0000-0000A1020000}"/>
    <cellStyle name="_CA_ManualRevAmort_Oct06_wfy07detail_Acquisition Schedules" xfId="950" xr:uid="{00000000-0005-0000-0000-0000A2020000}"/>
    <cellStyle name="_CA_ManualRevAmort_Sep05" xfId="951" xr:uid="{00000000-0005-0000-0000-0000A3020000}"/>
    <cellStyle name="_CA_ManualRevAmort_Sep05_Acquisition Schedules" xfId="952" xr:uid="{00000000-0005-0000-0000-0000A4020000}"/>
    <cellStyle name="_Cable Modem Sales Report 8.27.07 revised" xfId="953" xr:uid="{00000000-0005-0000-0000-0000A5020000}"/>
    <cellStyle name="_Cable Modem Sales Report 8.27.07 revised 2" xfId="954" xr:uid="{00000000-0005-0000-0000-0000A6020000}"/>
    <cellStyle name="_CA-EMEA-FY03 Growth" xfId="955" xr:uid="{00000000-0005-0000-0000-0000A7020000}"/>
    <cellStyle name="_CA-EMEA-FY03 Growth_Acquisition Schedules" xfId="956" xr:uid="{00000000-0005-0000-0000-0000A8020000}"/>
    <cellStyle name="_CAWW Bookings Bridge Mar02" xfId="957" xr:uid="{00000000-0005-0000-0000-0000A9020000}"/>
    <cellStyle name="_CAWW Bookings Bridge Mar02_Acquisition Schedules" xfId="958" xr:uid="{00000000-0005-0000-0000-0000AA020000}"/>
    <cellStyle name="_CAWW Bookings Bridge Mar02_JAPAN Support Bookings -Aug02" xfId="959" xr:uid="{00000000-0005-0000-0000-0000AB020000}"/>
    <cellStyle name="_CAWW Bookings Bridge Mar02_JAPAN Support Bookings -Aug02_Acquisition Schedules" xfId="960" xr:uid="{00000000-0005-0000-0000-0000AC020000}"/>
    <cellStyle name="_CAWW Support Bookings - June02" xfId="961" xr:uid="{00000000-0005-0000-0000-0000AD020000}"/>
    <cellStyle name="_CAWW Support Bookings - June02 2" xfId="962" xr:uid="{00000000-0005-0000-0000-0000AE020000}"/>
    <cellStyle name="_CAWW Support Bookings - June02 3" xfId="963" xr:uid="{00000000-0005-0000-0000-0000AF020000}"/>
    <cellStyle name="_CAWW Support Bookings - June02 4" xfId="964" xr:uid="{00000000-0005-0000-0000-0000B0020000}"/>
    <cellStyle name="_CAWW Support Bookings - June02 5" xfId="965" xr:uid="{00000000-0005-0000-0000-0000B1020000}"/>
    <cellStyle name="_CAWW Support Bookings - June02 6" xfId="966" xr:uid="{00000000-0005-0000-0000-0000B2020000}"/>
    <cellStyle name="_CAWW Support Bookings - June02 7" xfId="967" xr:uid="{00000000-0005-0000-0000-0000B3020000}"/>
    <cellStyle name="_CAWW Support Bookings - June02 8" xfId="968" xr:uid="{00000000-0005-0000-0000-0000B4020000}"/>
    <cellStyle name="_CAWW Support Bookings - June02_Acquisition Schedules" xfId="969" xr:uid="{00000000-0005-0000-0000-0000B5020000}"/>
    <cellStyle name="_CDO CM_DM FCST Template" xfId="970" xr:uid="{00000000-0005-0000-0000-0000B6020000}"/>
    <cellStyle name="_CFO Commit Models 031405" xfId="971" xr:uid="{00000000-0005-0000-0000-0000B7020000}"/>
    <cellStyle name="_CFO Commit Models 040105" xfId="972" xr:uid="{00000000-0005-0000-0000-0000B8020000}"/>
    <cellStyle name="_CFO Commit Models SBv12" xfId="973" xr:uid="{00000000-0005-0000-0000-0000B9020000}"/>
    <cellStyle name="_Cisco Q2 FY'07 P&amp;L" xfId="974" xr:uid="{00000000-0005-0000-0000-0000BA020000}"/>
    <cellStyle name="_Cisco Q2 FY'07 P&amp;L 2" xfId="975" xr:uid="{00000000-0005-0000-0000-0000BB020000}"/>
    <cellStyle name="_Cisco Q2 FY'07 P&amp;L 3" xfId="976" xr:uid="{00000000-0005-0000-0000-0000BC020000}"/>
    <cellStyle name="_Cisco Q2 FY'07 P&amp;L 4" xfId="977" xr:uid="{00000000-0005-0000-0000-0000BD020000}"/>
    <cellStyle name="_Cisco Q2 FY'07 P&amp;L 5" xfId="978" xr:uid="{00000000-0005-0000-0000-0000BE020000}"/>
    <cellStyle name="_Cisco Q2 FY'07 P&amp;L 6" xfId="979" xr:uid="{00000000-0005-0000-0000-0000BF020000}"/>
    <cellStyle name="_Cisco Q2 FY'07 P&amp;L 7" xfId="980" xr:uid="{00000000-0005-0000-0000-0000C0020000}"/>
    <cellStyle name="_Cisco Q2 FY'07 P&amp;L 8" xfId="981" xr:uid="{00000000-0005-0000-0000-0000C1020000}"/>
    <cellStyle name="_Cisco WebEx - Proforma PL_103007v1" xfId="982" xr:uid="{00000000-0005-0000-0000-0000C2020000}"/>
    <cellStyle name="_Cisco WebEx - Proforma PL_112107" xfId="983" xr:uid="{00000000-0005-0000-0000-0000C3020000}"/>
    <cellStyle name="_Cisco WebEx - Proforma PL_112707" xfId="984" xr:uid="{00000000-0005-0000-0000-0000C4020000}"/>
    <cellStyle name="_Cisco WebEx - Proforma PL_12-21-07" xfId="985" xr:uid="{00000000-0005-0000-0000-0000C5020000}"/>
    <cellStyle name="_Cisco WebEx - Proforma PL_2005 - 2007" xfId="986" xr:uid="{00000000-0005-0000-0000-0000C6020000}"/>
    <cellStyle name="_Cisco WIP Oct Kitted" xfId="987" xr:uid="{00000000-0005-0000-0000-0000C7020000}"/>
    <cellStyle name="_Cisco-Linksys Performance Summary July 05" xfId="988" xr:uid="{00000000-0005-0000-0000-0000C8020000}"/>
    <cellStyle name="_Cisco-Linksys Performance Summary July 05 2" xfId="989" xr:uid="{00000000-0005-0000-0000-0000C9020000}"/>
    <cellStyle name="_Cisco-Linksys Performance Summary July 05 3" xfId="990" xr:uid="{00000000-0005-0000-0000-0000CA020000}"/>
    <cellStyle name="_Cisco-Linksys Performance Summary July 05 4" xfId="991" xr:uid="{00000000-0005-0000-0000-0000CB020000}"/>
    <cellStyle name="_Cisco-Linksys Performance Summary July 05 5" xfId="992" xr:uid="{00000000-0005-0000-0000-0000CC020000}"/>
    <cellStyle name="_Cisco-Linksys Performance Summary July 05 6" xfId="993" xr:uid="{00000000-0005-0000-0000-0000CD020000}"/>
    <cellStyle name="_Cisco-Linksys Performance Summary July 05 7" xfId="994" xr:uid="{00000000-0005-0000-0000-0000CE020000}"/>
    <cellStyle name="_Cisco-Linksys Performance Summary July 05 8" xfId="995" xr:uid="{00000000-0005-0000-0000-0000CF020000}"/>
    <cellStyle name="_Cisco-Linksys Performance Summary July 05_Acquisition Schedules" xfId="996" xr:uid="{00000000-0005-0000-0000-0000D0020000}"/>
    <cellStyle name="_Close package Inventory Trend" xfId="997" xr:uid="{00000000-0005-0000-0000-0000D1020000}"/>
    <cellStyle name="_Close package Inventory Trend 2" xfId="998" xr:uid="{00000000-0005-0000-0000-0000D2020000}"/>
    <cellStyle name="_Close package Inventory Trend 3" xfId="999" xr:uid="{00000000-0005-0000-0000-0000D3020000}"/>
    <cellStyle name="_Close package Inventory Trend 4" xfId="1000" xr:uid="{00000000-0005-0000-0000-0000D4020000}"/>
    <cellStyle name="_Close package Inventory Trend 5" xfId="1001" xr:uid="{00000000-0005-0000-0000-0000D5020000}"/>
    <cellStyle name="_Close package Inventory Trend 6" xfId="1002" xr:uid="{00000000-0005-0000-0000-0000D6020000}"/>
    <cellStyle name="_Close package Inventory Trend 7" xfId="1003" xr:uid="{00000000-0005-0000-0000-0000D7020000}"/>
    <cellStyle name="_Close package Inventory Trend 8" xfId="1004" xr:uid="{00000000-0005-0000-0000-0000D8020000}"/>
    <cellStyle name="_Close package Inventory Trend_Acquisition Schedules" xfId="1005" xr:uid="{00000000-0005-0000-0000-0000D9020000}"/>
    <cellStyle name="_CM E&amp;O by BU Dec 05 Summary" xfId="1006" xr:uid="{00000000-0005-0000-0000-0000DA020000}"/>
    <cellStyle name="_CM E&amp;O by BU Nov 05 Summary" xfId="1007" xr:uid="{00000000-0005-0000-0000-0000DB020000}"/>
    <cellStyle name="_CMTSBU Dec FY08 Reconciliation" xfId="1008" xr:uid="{00000000-0005-0000-0000-0000DC020000}"/>
    <cellStyle name="_CMTSBU Dec FY08 Reconciliation 2" xfId="1009" xr:uid="{00000000-0005-0000-0000-0000DD020000}"/>
    <cellStyle name="_CMTSBU Feb FY07 Reconciliation" xfId="1010" xr:uid="{00000000-0005-0000-0000-0000DE020000}"/>
    <cellStyle name="_CMTSBU Feb FY07 Reconciliation 2" xfId="1011" xr:uid="{00000000-0005-0000-0000-0000DF020000}"/>
    <cellStyle name="_CMTSBU Jul FY07 Reconciliation" xfId="1012" xr:uid="{00000000-0005-0000-0000-0000E0020000}"/>
    <cellStyle name="_CMTSBU Jul FY07 Reconciliation 2" xfId="1013" xr:uid="{00000000-0005-0000-0000-0000E1020000}"/>
    <cellStyle name="_CMTSBU Mar FY07 Reconciliation" xfId="1014" xr:uid="{00000000-0005-0000-0000-0000E2020000}"/>
    <cellStyle name="_CMTSBU Mar FY07 Reconciliation 2" xfId="1015" xr:uid="{00000000-0005-0000-0000-0000E3020000}"/>
    <cellStyle name="_CMTSBU May FY07 Reconciliation" xfId="1016" xr:uid="{00000000-0005-0000-0000-0000E4020000}"/>
    <cellStyle name="_CMTSBU May FY07 Reconciliation 2" xfId="1017" xr:uid="{00000000-0005-0000-0000-0000E5020000}"/>
    <cellStyle name="_CMTSBU Nov FY08 Reconciliation" xfId="1018" xr:uid="{00000000-0005-0000-0000-0000E6020000}"/>
    <cellStyle name="_CMTSBU Nov FY08 Reconciliation 2" xfId="1019" xr:uid="{00000000-0005-0000-0000-0000E7020000}"/>
    <cellStyle name="_CMTSBU Sep FY08 Reconciliation" xfId="1020" xr:uid="{00000000-0005-0000-0000-0000E8020000}"/>
    <cellStyle name="_CMTSBU Sep FY08 Reconciliation 2" xfId="1021" xr:uid="{00000000-0005-0000-0000-0000E9020000}"/>
    <cellStyle name="_CMTSBU_Fcst_Aug_FY08_Details_01.08.07" xfId="1022" xr:uid="{00000000-0005-0000-0000-0000EA020000}"/>
    <cellStyle name="_CMTSBU_Fcst_Aug_FY08_Details_01.08.07 2" xfId="1023" xr:uid="{00000000-0005-0000-0000-0000EB020000}"/>
    <cellStyle name="_Comma" xfId="1024" xr:uid="{00000000-0005-0000-0000-0000EC020000}"/>
    <cellStyle name="_Comma_AVP" xfId="1025" xr:uid="{00000000-0005-0000-0000-0000ED020000}"/>
    <cellStyle name="_Comma_Book1" xfId="1026" xr:uid="{00000000-0005-0000-0000-0000EE020000}"/>
    <cellStyle name="_Comma_contribution_analysis" xfId="1027" xr:uid="{00000000-0005-0000-0000-0000EF020000}"/>
    <cellStyle name="_Comma_Financials_v2" xfId="1028" xr:uid="{00000000-0005-0000-0000-0000F0020000}"/>
    <cellStyle name="_comments" xfId="1029" xr:uid="{00000000-0005-0000-0000-0000F1020000}"/>
    <cellStyle name="_comments_Acquisition Schedules" xfId="1030" xr:uid="{00000000-0005-0000-0000-0000F2020000}"/>
    <cellStyle name="_Commercial-SMB MM_Restated" xfId="1031" xr:uid="{00000000-0005-0000-0000-0000F3020000}"/>
    <cellStyle name="_Consolidated" xfId="1032" xr:uid="{00000000-0005-0000-0000-0000F4020000}"/>
    <cellStyle name="_ConsolidatedQ104TopRenewals-CA US Theater" xfId="1033" xr:uid="{00000000-0005-0000-0000-0000F5020000}"/>
    <cellStyle name="_Consolidator" xfId="1034" xr:uid="{00000000-0005-0000-0000-0000F6020000}"/>
    <cellStyle name="_contingentliabilities DEC06" xfId="1035" xr:uid="{00000000-0005-0000-0000-0000F7020000}"/>
    <cellStyle name="_Contract Metrics 10-19-2007 (Q1'08)" xfId="1036" xr:uid="{00000000-0005-0000-0000-0000F8020000}"/>
    <cellStyle name="_Control template Optimized - Eric 11 30 07" xfId="1037" xr:uid="{00000000-0005-0000-0000-0000F9020000}"/>
    <cellStyle name="_Copy of CA FY06 and Beyond Plan and Estimates" xfId="1038" xr:uid="{00000000-0005-0000-0000-0000FA020000}"/>
    <cellStyle name="_Copy of CA FY06 and Beyond Plan and Estimates_Acquisition Schedules" xfId="1039" xr:uid="{00000000-0005-0000-0000-0000FB020000}"/>
    <cellStyle name="_Copy of Sanmina-SCI PenangShenzen EO report week 04 02 07_updated" xfId="1040" xr:uid="{00000000-0005-0000-0000-0000FC020000}"/>
    <cellStyle name="_Corp Rev &amp; Cogs Adj" xfId="1041" xr:uid="{00000000-0005-0000-0000-0000FD020000}"/>
    <cellStyle name="_CS EMEA 2005 340m Rev Plan 13Jan05 " xfId="1042" xr:uid="{00000000-0005-0000-0000-0000FE020000}"/>
    <cellStyle name="_CSI00053_02 (2)" xfId="1043" xr:uid="{00000000-0005-0000-0000-0000FF020000}"/>
    <cellStyle name="_Currency" xfId="1044" xr:uid="{00000000-0005-0000-0000-000000030000}"/>
    <cellStyle name="_Currency_AVP" xfId="1045" xr:uid="{00000000-0005-0000-0000-000001030000}"/>
    <cellStyle name="_Currency_Book1" xfId="1046" xr:uid="{00000000-0005-0000-0000-000002030000}"/>
    <cellStyle name="_Currency_contribution_analysis" xfId="1047" xr:uid="{00000000-0005-0000-0000-000003030000}"/>
    <cellStyle name="_Currency_Financials_v2" xfId="1048" xr:uid="{00000000-0005-0000-0000-000004030000}"/>
    <cellStyle name="_CurrencySpace" xfId="1049" xr:uid="{00000000-0005-0000-0000-000005030000}"/>
    <cellStyle name="_CurrencySpace_AVP" xfId="1050" xr:uid="{00000000-0005-0000-0000-000006030000}"/>
    <cellStyle name="_CurrencySpace_Book1" xfId="1051" xr:uid="{00000000-0005-0000-0000-000007030000}"/>
    <cellStyle name="_CurrencySpace_contribution_analysis" xfId="1052" xr:uid="{00000000-0005-0000-0000-000008030000}"/>
    <cellStyle name="_CurrencySpace_Financials_v2" xfId="1053" xr:uid="{00000000-0005-0000-0000-000009030000}"/>
    <cellStyle name="_D-3 Schedule 4 28 08" xfId="1054" xr:uid="{00000000-0005-0000-0000-00000A030000}"/>
    <cellStyle name="_Data ESMB" xfId="1055" xr:uid="{00000000-0005-0000-0000-00000B030000}"/>
    <cellStyle name="_Data ESMB_Acquisition Schedules" xfId="1056" xr:uid="{00000000-0005-0000-0000-00000C030000}"/>
    <cellStyle name="_Dec FY07" xfId="1057" xr:uid="{00000000-0005-0000-0000-00000D030000}"/>
    <cellStyle name="_Dec FY07 2" xfId="1058" xr:uid="{00000000-0005-0000-0000-00000E030000}"/>
    <cellStyle name="_Dec FY08 Reconciliation" xfId="1059" xr:uid="{00000000-0005-0000-0000-00000F030000}"/>
    <cellStyle name="_Dec FY08 Reconciliation 2" xfId="1060" xr:uid="{00000000-0005-0000-0000-000010030000}"/>
    <cellStyle name="_Dec-05 Provision by PF Raw" xfId="1061" xr:uid="{00000000-0005-0000-0000-000011030000}"/>
    <cellStyle name="_Dec'08 OH E&amp;O Summary M2 FINAL" xfId="1062" xr:uid="{00000000-0005-0000-0000-000012030000}"/>
    <cellStyle name="_December Other Reserves" xfId="1063" xr:uid="{00000000-0005-0000-0000-000013030000}"/>
    <cellStyle name="_Deferred Rev-Subs" xfId="1064" xr:uid="{00000000-0005-0000-0000-000014030000}"/>
    <cellStyle name="_Deferred Rev-Subs_Acquisition Schedules" xfId="1065" xr:uid="{00000000-0005-0000-0000-000015030000}"/>
    <cellStyle name="_Dept Input Sheet" xfId="1066" xr:uid="{00000000-0005-0000-0000-000016030000}"/>
    <cellStyle name="_DF PCP TAC" xfId="1067" xr:uid="{00000000-0005-0000-0000-000017030000}"/>
    <cellStyle name="_Discount Section 13.xls Chart 1" xfId="1068" xr:uid="{00000000-0005-0000-0000-000018030000}"/>
    <cellStyle name="_Discount Section 13.xls Chart 1_Acquisition Schedules" xfId="1069" xr:uid="{00000000-0005-0000-0000-000019030000}"/>
    <cellStyle name="_Donald-Model_c_v24 with M&amp;A DCF" xfId="1070" xr:uid="{00000000-0005-0000-0000-00001A030000}"/>
    <cellStyle name="_E47- Cisco Excess Breakdown 04-04-07" xfId="1071" xr:uid="{00000000-0005-0000-0000-00001B030000}"/>
    <cellStyle name="_EA EO Report Jul 2007_SZ" xfId="1072" xr:uid="{00000000-0005-0000-0000-00001C030000}"/>
    <cellStyle name="_EEMESA 2006 Business Plan AMESA V10 (AMESA TS Plan)" xfId="1073" xr:uid="{00000000-0005-0000-0000-00001D030000}"/>
    <cellStyle name="_EEMESA 2006 Business Plan AMESA V10 (AMESA TS Plan)_Book1 (3)" xfId="1074" xr:uid="{00000000-0005-0000-0000-00001E030000}"/>
    <cellStyle name="_EEMESA 2006 Business Plan EE V10 (EE TS plan)" xfId="1075" xr:uid="{00000000-0005-0000-0000-00001F030000}"/>
    <cellStyle name="_EEMESA 2006 Business Plan EE V10 (EE TS plan)_Book1 (3)" xfId="1076" xr:uid="{00000000-0005-0000-0000-000020030000}"/>
    <cellStyle name="_eExec - APAC_W7" xfId="1077" xr:uid="{00000000-0005-0000-0000-000021030000}"/>
    <cellStyle name="_eExec - APAC_W7_Acquisition Schedules" xfId="1078" xr:uid="{00000000-0005-0000-0000-000022030000}"/>
    <cellStyle name="_eExec - APAC_W7_APAC AS Aug'05 WD3 Flash" xfId="1079" xr:uid="{00000000-0005-0000-0000-000023030000}"/>
    <cellStyle name="_eExec - APAC_W7_APAC AS Aug'05 WD3 Flash_Acquisition Schedules" xfId="1080" xr:uid="{00000000-0005-0000-0000-000024030000}"/>
    <cellStyle name="_eExec - APAC_W7_APAC Weekly Commit - FY04Q2W01" xfId="1081" xr:uid="{00000000-0005-0000-0000-000025030000}"/>
    <cellStyle name="_eExec - APAC_W7_APAC Weekly Commit - FY04Q2W01_Acquisition Schedules" xfId="1082" xr:uid="{00000000-0005-0000-0000-000026030000}"/>
    <cellStyle name="_eExec - APAC_W7_AS WD1 Flash Charts - Apr'05" xfId="1083" xr:uid="{00000000-0005-0000-0000-000027030000}"/>
    <cellStyle name="_eExec - APAC_W7_AS WD1 Flash Charts - Apr'05_Acquisition Schedules" xfId="1084" xr:uid="{00000000-0005-0000-0000-000028030000}"/>
    <cellStyle name="_eExec - APAC_W7_AS WD1 Flash Charts - May'05" xfId="1085" xr:uid="{00000000-0005-0000-0000-000029030000}"/>
    <cellStyle name="_eExec - APAC_W7_AS WD1 Flash Charts - May'05_Acquisition Schedules" xfId="1086" xr:uid="{00000000-0005-0000-0000-00002A030000}"/>
    <cellStyle name="_eExec - APAC_W7_AS WD3 Flash Charts - Apr'05" xfId="1087" xr:uid="{00000000-0005-0000-0000-00002B030000}"/>
    <cellStyle name="_eExec - APAC_W7_AS WD3 Flash Charts - Apr'05_Acquisition Schedules" xfId="1088" xr:uid="{00000000-0005-0000-0000-00002C030000}"/>
    <cellStyle name="_eExec - APAC_W7_AS WD3 Flash Charts - Mar'05v1" xfId="1089" xr:uid="{00000000-0005-0000-0000-00002D030000}"/>
    <cellStyle name="_eExec - APAC_W7_AS WD3 Flash Charts - Mar'05v1_Acquisition Schedules" xfId="1090" xr:uid="{00000000-0005-0000-0000-00002E030000}"/>
    <cellStyle name="_eExec - APAC_W7_CA WD1 Flash Charts - Sep'05" xfId="1091" xr:uid="{00000000-0005-0000-0000-00002F030000}"/>
    <cellStyle name="_eExec - APAC_W7_CA WD1 Flash Charts - Sep'05_Acquisition Schedules" xfId="1092" xr:uid="{00000000-0005-0000-0000-000030030000}"/>
    <cellStyle name="_eExec - APAC_W7_Forecast Accuracy &amp; Linearity" xfId="1093" xr:uid="{00000000-0005-0000-0000-000031030000}"/>
    <cellStyle name="_eExec - APAC_W7_Forecast Accuracy &amp; Linearity_Acquisition Schedules" xfId="1094" xr:uid="{00000000-0005-0000-0000-000032030000}"/>
    <cellStyle name="_eExec - APAC_W7_FY04 Korea Goaling" xfId="1095" xr:uid="{00000000-0005-0000-0000-000033030000}"/>
    <cellStyle name="_eExec - APAC_W7_FY04 Korea Goaling_Acquisition Schedules" xfId="1096" xr:uid="{00000000-0005-0000-0000-000034030000}"/>
    <cellStyle name="_EM PL FY06 to FY09 Draft 2 SSF" xfId="1097" xr:uid="{00000000-0005-0000-0000-000035030000}"/>
    <cellStyle name="_EM PL FY06 to FY09 Draft 2 SSF_Acquisition Schedules" xfId="1098" xr:uid="{00000000-0005-0000-0000-000036030000}"/>
    <cellStyle name="_EM Weekly Commit Q2W04v2" xfId="1099" xr:uid="{00000000-0005-0000-0000-000037030000}"/>
    <cellStyle name="_EM Weekly Commit Q2W05v2" xfId="1100" xr:uid="{00000000-0005-0000-0000-000038030000}"/>
    <cellStyle name="_EMEA - FY05 actuals_FINAL" xfId="1101" xr:uid="{00000000-0005-0000-0000-000039030000}"/>
    <cellStyle name="_EMEA - FY05 actuals_FINAL_Acquisition Schedules" xfId="1102" xr:uid="{00000000-0005-0000-0000-00003A030000}"/>
    <cellStyle name="_EMEA CA Commit FY05 - Q4M1W3" xfId="1103" xr:uid="{00000000-0005-0000-0000-00003B030000}"/>
    <cellStyle name="_EMEA CA Commit FY05 - Q4M1W3_Acquisition Schedules" xfId="1104" xr:uid="{00000000-0005-0000-0000-00003C030000}"/>
    <cellStyle name="_Emerging Scenarios" xfId="1105" xr:uid="{00000000-0005-0000-0000-00003D030000}"/>
    <cellStyle name="_Emerging Top deals Week 11" xfId="1106" xr:uid="{00000000-0005-0000-0000-00003E030000}"/>
    <cellStyle name="_Emerging Top deals Week 11_Acquisition Schedules" xfId="1107" xr:uid="{00000000-0005-0000-0000-00003F030000}"/>
    <cellStyle name="_Emerging Top deals Week 12" xfId="1108" xr:uid="{00000000-0005-0000-0000-000040030000}"/>
    <cellStyle name="_Emerging Top deals Week 12_Acquisition Schedules" xfId="1109" xr:uid="{00000000-0005-0000-0000-000041030000}"/>
    <cellStyle name="_ERBU FY09 Oct  fcst for SPTG submission 092308 Final" xfId="1110" xr:uid="{00000000-0005-0000-0000-000042030000}"/>
    <cellStyle name="_ERBU FY09 Oct  fcst for SPTG submission 092308 Final 2" xfId="1111" xr:uid="{00000000-0005-0000-0000-000043030000}"/>
    <cellStyle name="_e-Section 2 - Paper Bookings" xfId="1112" xr:uid="{00000000-0005-0000-0000-000044030000}"/>
    <cellStyle name="_ESSBASE Expense &amp; HC" xfId="1113" xr:uid="{00000000-0005-0000-0000-000045030000}"/>
    <cellStyle name="_ESSBASE Expense &amp; HC_Acquisition Schedules" xfId="1114" xr:uid="{00000000-0005-0000-0000-000046030000}"/>
    <cellStyle name="_Essbase IP All spending" xfId="1115" xr:uid="{00000000-0005-0000-0000-000047030000}"/>
    <cellStyle name="_EU Weekly Commit_Q2W04" xfId="1116" xr:uid="{00000000-0005-0000-0000-000048030000}"/>
    <cellStyle name="_EU Weekly Commit_Q2W06" xfId="1117" xr:uid="{00000000-0005-0000-0000-000049030000}"/>
    <cellStyle name="_Euro" xfId="1118" xr:uid="{00000000-0005-0000-0000-00004A030000}"/>
    <cellStyle name="_European Top deals Week 11" xfId="1119" xr:uid="{00000000-0005-0000-0000-00004B030000}"/>
    <cellStyle name="_European Top deals Week 11_Acquisition Schedules" xfId="1120" xr:uid="{00000000-0005-0000-0000-00004C030000}"/>
    <cellStyle name="_Exhibit G" xfId="1121" xr:uid="{00000000-0005-0000-0000-00004D030000}"/>
    <cellStyle name="_Feb05AS rev trans Log" xfId="1122" xr:uid="{00000000-0005-0000-0000-00004E030000}"/>
    <cellStyle name="_Feb-06 PF Hierarchy" xfId="1123" xr:uid="{00000000-0005-0000-0000-00004F030000}"/>
    <cellStyle name="_Feb-06 PF Hierarchy 2" xfId="1124" xr:uid="{00000000-0005-0000-0000-000050030000}"/>
    <cellStyle name="_Feb-06 PF Hierarchy 3" xfId="1125" xr:uid="{00000000-0005-0000-0000-000051030000}"/>
    <cellStyle name="_Feb-06 PF Hierarchy 4" xfId="1126" xr:uid="{00000000-0005-0000-0000-000052030000}"/>
    <cellStyle name="_Feb-06 PF Hierarchy 5" xfId="1127" xr:uid="{00000000-0005-0000-0000-000053030000}"/>
    <cellStyle name="_Feb-06 PF Hierarchy 6" xfId="1128" xr:uid="{00000000-0005-0000-0000-000054030000}"/>
    <cellStyle name="_Feb-06 PF Hierarchy 7" xfId="1129" xr:uid="{00000000-0005-0000-0000-000055030000}"/>
    <cellStyle name="_Final Field August Fcst Pack " xfId="1130" xr:uid="{00000000-0005-0000-0000-000056030000}"/>
    <cellStyle name="_Final Field August Fcst Pack _Acquisition Schedules" xfId="1131" xr:uid="{00000000-0005-0000-0000-000057030000}"/>
    <cellStyle name="_FINAL Q4commit" xfId="1132" xr:uid="{00000000-0005-0000-0000-000058030000}"/>
    <cellStyle name="_FINAL Q4commit_Acquisition Schedules" xfId="1133" xr:uid="{00000000-0005-0000-0000-000059030000}"/>
    <cellStyle name="_Final SCD Bridge" xfId="1134" xr:uid="{00000000-0005-0000-0000-00005A030000}"/>
    <cellStyle name="_Final WE Stats CY 2002 April 2003.xls Chart 10" xfId="1135" xr:uid="{00000000-0005-0000-0000-00005B030000}"/>
    <cellStyle name="_Final WE Stats CY 2002 April 2003.xls Chart 10_Acquisition Schedules" xfId="1136" xr:uid="{00000000-0005-0000-0000-00005C030000}"/>
    <cellStyle name="_Final WE Stats CY 2002 April 2003.xls Chart 10_Financial Model v6-03-26-2004" xfId="1137" xr:uid="{00000000-0005-0000-0000-00005D030000}"/>
    <cellStyle name="_Final WE Stats CY 2002 April 2003.xls Chart 10_Financial Model v6-03-26-2004_Acquisition Schedules" xfId="1138" xr:uid="{00000000-0005-0000-0000-00005E030000}"/>
    <cellStyle name="_Final WE Stats CY 2002 April 2003.xls Chart 11" xfId="1139" xr:uid="{00000000-0005-0000-0000-00005F030000}"/>
    <cellStyle name="_Final WE Stats CY 2002 April 2003.xls Chart 11_Acquisition Schedules" xfId="1140" xr:uid="{00000000-0005-0000-0000-000060030000}"/>
    <cellStyle name="_Final WE Stats CY 2002 April 2003.xls Chart 11_Financial Model v6-03-26-2004" xfId="1141" xr:uid="{00000000-0005-0000-0000-000061030000}"/>
    <cellStyle name="_Final WE Stats CY 2002 April 2003.xls Chart 11_Financial Model v6-03-26-2004_Acquisition Schedules" xfId="1142" xr:uid="{00000000-0005-0000-0000-000062030000}"/>
    <cellStyle name="_Final WE Stats CY 2002 April 2003.xls Chart 12" xfId="1143" xr:uid="{00000000-0005-0000-0000-000063030000}"/>
    <cellStyle name="_Final WE Stats CY 2002 April 2003.xls Chart 12_Acquisition Schedules" xfId="1144" xr:uid="{00000000-0005-0000-0000-000064030000}"/>
    <cellStyle name="_Final WE Stats CY 2002 April 2003.xls Chart 12_Financial Model v6-03-26-2004" xfId="1145" xr:uid="{00000000-0005-0000-0000-000065030000}"/>
    <cellStyle name="_Final WE Stats CY 2002 April 2003.xls Chart 12_Financial Model v6-03-26-2004_Acquisition Schedules" xfId="1146" xr:uid="{00000000-0005-0000-0000-000066030000}"/>
    <cellStyle name="_Final WE Stats CY 2002 April 2003.xls Chart 13" xfId="1147" xr:uid="{00000000-0005-0000-0000-000067030000}"/>
    <cellStyle name="_Final WE Stats CY 2002 April 2003.xls Chart 13_Acquisition Schedules" xfId="1148" xr:uid="{00000000-0005-0000-0000-000068030000}"/>
    <cellStyle name="_Final WE Stats CY 2002 April 2003.xls Chart 13_Financial Model v6-03-26-2004" xfId="1149" xr:uid="{00000000-0005-0000-0000-000069030000}"/>
    <cellStyle name="_Final WE Stats CY 2002 April 2003.xls Chart 13_Financial Model v6-03-26-2004_Acquisition Schedules" xfId="1150" xr:uid="{00000000-0005-0000-0000-00006A030000}"/>
    <cellStyle name="_Final WE Stats CY 2002 April 2003.xls Chart 14" xfId="1151" xr:uid="{00000000-0005-0000-0000-00006B030000}"/>
    <cellStyle name="_Final WE Stats CY 2002 April 2003.xls Chart 14_Acquisition Schedules" xfId="1152" xr:uid="{00000000-0005-0000-0000-00006C030000}"/>
    <cellStyle name="_Final WE Stats CY 2002 April 2003.xls Chart 14_Financial Model v6-03-26-2004" xfId="1153" xr:uid="{00000000-0005-0000-0000-00006D030000}"/>
    <cellStyle name="_Final WE Stats CY 2002 April 2003.xls Chart 14_Financial Model v6-03-26-2004_Acquisition Schedules" xfId="1154" xr:uid="{00000000-0005-0000-0000-00006E030000}"/>
    <cellStyle name="_Final WE Stats CY 2002 April 2003.xls Chart 15" xfId="1155" xr:uid="{00000000-0005-0000-0000-00006F030000}"/>
    <cellStyle name="_Final WE Stats CY 2002 April 2003.xls Chart 15_Acquisition Schedules" xfId="1156" xr:uid="{00000000-0005-0000-0000-000070030000}"/>
    <cellStyle name="_Final WE Stats CY 2002 April 2003.xls Chart 15_Financial Model v6-03-26-2004" xfId="1157" xr:uid="{00000000-0005-0000-0000-000071030000}"/>
    <cellStyle name="_Final WE Stats CY 2002 April 2003.xls Chart 15_Financial Model v6-03-26-2004_Acquisition Schedules" xfId="1158" xr:uid="{00000000-0005-0000-0000-000072030000}"/>
    <cellStyle name="_Final WE Stats CY 2002 April 2003.xls Chart 16" xfId="1159" xr:uid="{00000000-0005-0000-0000-000073030000}"/>
    <cellStyle name="_Final WE Stats CY 2002 April 2003.xls Chart 16_Acquisition Schedules" xfId="1160" xr:uid="{00000000-0005-0000-0000-000074030000}"/>
    <cellStyle name="_Final WE Stats CY 2002 April 2003.xls Chart 16_Financial Model v6-03-26-2004" xfId="1161" xr:uid="{00000000-0005-0000-0000-000075030000}"/>
    <cellStyle name="_Final WE Stats CY 2002 April 2003.xls Chart 16_Financial Model v6-03-26-2004_Acquisition Schedules" xfId="1162" xr:uid="{00000000-0005-0000-0000-000076030000}"/>
    <cellStyle name="_Final WE Stats CY 2002 April 2003.xls Chart 17" xfId="1163" xr:uid="{00000000-0005-0000-0000-000077030000}"/>
    <cellStyle name="_Final WE Stats CY 2002 April 2003.xls Chart 17_Acquisition Schedules" xfId="1164" xr:uid="{00000000-0005-0000-0000-000078030000}"/>
    <cellStyle name="_Final WE Stats CY 2002 April 2003.xls Chart 17_Financial Model v6-03-26-2004" xfId="1165" xr:uid="{00000000-0005-0000-0000-000079030000}"/>
    <cellStyle name="_Final WE Stats CY 2002 April 2003.xls Chart 17_Financial Model v6-03-26-2004_Acquisition Schedules" xfId="1166" xr:uid="{00000000-0005-0000-0000-00007A030000}"/>
    <cellStyle name="_Final WE Stats CY 2002 April 2003.xls Chart 18" xfId="1167" xr:uid="{00000000-0005-0000-0000-00007B030000}"/>
    <cellStyle name="_Final WE Stats CY 2002 April 2003.xls Chart 18_Acquisition Schedules" xfId="1168" xr:uid="{00000000-0005-0000-0000-00007C030000}"/>
    <cellStyle name="_Final WE Stats CY 2002 April 2003.xls Chart 18_Financial Model v6-03-26-2004" xfId="1169" xr:uid="{00000000-0005-0000-0000-00007D030000}"/>
    <cellStyle name="_Final WE Stats CY 2002 April 2003.xls Chart 18_Financial Model v6-03-26-2004_Acquisition Schedules" xfId="1170" xr:uid="{00000000-0005-0000-0000-00007E030000}"/>
    <cellStyle name="_Final WE Stats CY 2002 April 2003.xls Chart 36" xfId="1171" xr:uid="{00000000-0005-0000-0000-00007F030000}"/>
    <cellStyle name="_Final WE Stats CY 2002 April 2003.xls Chart 36_Acquisition Schedules" xfId="1172" xr:uid="{00000000-0005-0000-0000-000080030000}"/>
    <cellStyle name="_Final WE Stats CY 2002 April 2003.xls Chart 36_Financial Model v6-03-26-2004" xfId="1173" xr:uid="{00000000-0005-0000-0000-000081030000}"/>
    <cellStyle name="_Final WE Stats CY 2002 April 2003.xls Chart 36_Financial Model v6-03-26-2004_Acquisition Schedules" xfId="1174" xr:uid="{00000000-0005-0000-0000-000082030000}"/>
    <cellStyle name="_Final WE Stats CY 2002 April 2003.xls Chart 37" xfId="1175" xr:uid="{00000000-0005-0000-0000-000083030000}"/>
    <cellStyle name="_Final WE Stats CY 2002 April 2003.xls Chart 37_Acquisition Schedules" xfId="1176" xr:uid="{00000000-0005-0000-0000-000084030000}"/>
    <cellStyle name="_Final WE Stats CY 2002 April 2003.xls Chart 37_Financial Model v6-03-26-2004" xfId="1177" xr:uid="{00000000-0005-0000-0000-000085030000}"/>
    <cellStyle name="_Final WE Stats CY 2002 April 2003.xls Chart 37_Financial Model v6-03-26-2004_Acquisition Schedules" xfId="1178" xr:uid="{00000000-0005-0000-0000-000086030000}"/>
    <cellStyle name="_Final WE Stats CY 2002 April 2003.xls Chart 7" xfId="1179" xr:uid="{00000000-0005-0000-0000-000087030000}"/>
    <cellStyle name="_Final WE Stats CY 2002 April 2003.xls Chart 7_Acquisition Schedules" xfId="1180" xr:uid="{00000000-0005-0000-0000-000088030000}"/>
    <cellStyle name="_Final WE Stats CY 2002 April 2003.xls Chart 7_Financial Model v6-03-26-2004" xfId="1181" xr:uid="{00000000-0005-0000-0000-000089030000}"/>
    <cellStyle name="_Final WE Stats CY 2002 April 2003.xls Chart 7_Financial Model v6-03-26-2004_Acquisition Schedules" xfId="1182" xr:uid="{00000000-0005-0000-0000-00008A030000}"/>
    <cellStyle name="_Final WE Stats CY 2002 April 2003.xls Chart 8" xfId="1183" xr:uid="{00000000-0005-0000-0000-00008B030000}"/>
    <cellStyle name="_Final WE Stats CY 2002 April 2003.xls Chart 8_Acquisition Schedules" xfId="1184" xr:uid="{00000000-0005-0000-0000-00008C030000}"/>
    <cellStyle name="_Final WE Stats CY 2002 April 2003.xls Chart 8_Financial Model v6-03-26-2004" xfId="1185" xr:uid="{00000000-0005-0000-0000-00008D030000}"/>
    <cellStyle name="_Final WE Stats CY 2002 April 2003.xls Chart 8_Financial Model v6-03-26-2004_Acquisition Schedules" xfId="1186" xr:uid="{00000000-0005-0000-0000-00008E030000}"/>
    <cellStyle name="_Final WE Stats CY 2002 April 2003.xls Chart 9" xfId="1187" xr:uid="{00000000-0005-0000-0000-00008F030000}"/>
    <cellStyle name="_Final WE Stats CY 2002 April 2003.xls Chart 9_Acquisition Schedules" xfId="1188" xr:uid="{00000000-0005-0000-0000-000090030000}"/>
    <cellStyle name="_Final WE Stats CY 2002 April 2003.xls Chart 9_Financial Model v6-03-26-2004" xfId="1189" xr:uid="{00000000-0005-0000-0000-000091030000}"/>
    <cellStyle name="_Final WE Stats CY 2002 April 2003.xls Chart 9_Financial Model v6-03-26-2004_Acquisition Schedules" xfId="1190" xr:uid="{00000000-0005-0000-0000-000092030000}"/>
    <cellStyle name="_Forecast 04 FY01 before review" xfId="1191" xr:uid="{00000000-0005-0000-0000-000093030000}"/>
    <cellStyle name="_Forecast 04 FY01 before review_Acquisition Schedules" xfId="1192" xr:uid="{00000000-0005-0000-0000-000094030000}"/>
    <cellStyle name="_Forecast 04 FY01 before review_APAC AS Aug'05 WD3 Flash" xfId="1193" xr:uid="{00000000-0005-0000-0000-000095030000}"/>
    <cellStyle name="_Forecast 04 FY01 before review_APAC AS Aug'05 WD3 Flash_Acquisition Schedules" xfId="1194" xr:uid="{00000000-0005-0000-0000-000096030000}"/>
    <cellStyle name="_Forecast 04 FY01 before review_APAC AS Oct'06 WD3 Flash" xfId="1195" xr:uid="{00000000-0005-0000-0000-000097030000}"/>
    <cellStyle name="_Forecast 04 FY01 before review_APAC AS Oct'06 WD3 Flash_Acquisition Schedules" xfId="1196" xr:uid="{00000000-0005-0000-0000-000098030000}"/>
    <cellStyle name="_Forecast 04 FY01 before review_APAC Support Bookings - Jun03" xfId="1197" xr:uid="{00000000-0005-0000-0000-000099030000}"/>
    <cellStyle name="_Forecast 04 FY01 before review_APAC Support Bookings - Jun03_Acquisition Schedules" xfId="1198" xr:uid="{00000000-0005-0000-0000-00009A030000}"/>
    <cellStyle name="_Forecast 04 FY01 before review_APAC Support Bookings - Jun03_APAC AS Aug'05 WD3 Flash" xfId="1199" xr:uid="{00000000-0005-0000-0000-00009B030000}"/>
    <cellStyle name="_Forecast 04 FY01 before review_APAC Support Bookings - Jun03_APAC AS Aug'05 WD3 Flash_Acquisition Schedules" xfId="1200" xr:uid="{00000000-0005-0000-0000-00009C030000}"/>
    <cellStyle name="_Forecast 04 FY01 before review_APAC Support Bookings - Jun03_AS Variance Analysis_Aug07" xfId="1201" xr:uid="{00000000-0005-0000-0000-00009D030000}"/>
    <cellStyle name="_Forecast 04 FY01 before review_APAC Support Bookings - Jun03_AS Variance Analysis_Aug07_Acquisition Schedules" xfId="1202" xr:uid="{00000000-0005-0000-0000-00009E030000}"/>
    <cellStyle name="_Forecast 04 FY01 before review_APAC Support Bookings - Jun03_AS WD1 Flash Charts - Apr'05" xfId="1203" xr:uid="{00000000-0005-0000-0000-00009F030000}"/>
    <cellStyle name="_Forecast 04 FY01 before review_APAC Support Bookings - Jun03_AS WD1 Flash Charts - Apr'05_Acquisition Schedules" xfId="1204" xr:uid="{00000000-0005-0000-0000-0000A0030000}"/>
    <cellStyle name="_Forecast 04 FY01 before review_APAC Support Bookings - Jun03_AS WD1 Flash Charts - May'05" xfId="1205" xr:uid="{00000000-0005-0000-0000-0000A1030000}"/>
    <cellStyle name="_Forecast 04 FY01 before review_APAC Support Bookings - Jun03_AS WD1 Flash Charts - May'05_Acquisition Schedules" xfId="1206" xr:uid="{00000000-0005-0000-0000-0000A2030000}"/>
    <cellStyle name="_Forecast 04 FY01 before review_APAC Support Bookings - Jun03_AS WD3 Flash Charts - Apr'05" xfId="1207" xr:uid="{00000000-0005-0000-0000-0000A3030000}"/>
    <cellStyle name="_Forecast 04 FY01 before review_APAC Support Bookings - Jun03_AS WD3 Flash Charts - Apr'05_Acquisition Schedules" xfId="1208" xr:uid="{00000000-0005-0000-0000-0000A4030000}"/>
    <cellStyle name="_Forecast 04 FY01 before review_APAC Support Bookings - Jun03_AS WD3 Flash Charts - Mar'05v1" xfId="1209" xr:uid="{00000000-0005-0000-0000-0000A5030000}"/>
    <cellStyle name="_Forecast 04 FY01 before review_APAC Support Bookings - Jun03_AS WD3 Flash Charts - Mar'05v1_Acquisition Schedules" xfId="1210" xr:uid="{00000000-0005-0000-0000-0000A6030000}"/>
    <cellStyle name="_Forecast 04 FY01 before review_APAC Support Bookings - Jun03_CA WD1 Flash Charts - Sep'05" xfId="1211" xr:uid="{00000000-0005-0000-0000-0000A7030000}"/>
    <cellStyle name="_Forecast 04 FY01 before review_APAC Support Bookings - Jun03_CA WD1 Flash Charts - Sep'05_Acquisition Schedules" xfId="1212" xr:uid="{00000000-0005-0000-0000-0000A8030000}"/>
    <cellStyle name="_Forecast 04 FY01 before review_APAC Support Bookings - Jun03_Target Template" xfId="1213" xr:uid="{00000000-0005-0000-0000-0000A9030000}"/>
    <cellStyle name="_Forecast 04 FY01 before review_APAC Support Bookings - Jun03_Target Template_Acquisition Schedules" xfId="1214" xr:uid="{00000000-0005-0000-0000-0000AA030000}"/>
    <cellStyle name="_Forecast 04 FY01 before review_APAC Weekly Commit - FY04Q2W01" xfId="1215" xr:uid="{00000000-0005-0000-0000-0000AB030000}"/>
    <cellStyle name="_Forecast 04 FY01 before review_APAC Weekly Commit - FY04Q2W01_Acquisition Schedules" xfId="1216" xr:uid="{00000000-0005-0000-0000-0000AC030000}"/>
    <cellStyle name="_Forecast 04 FY01 before review_AS Variance Analysis_Aug07" xfId="1217" xr:uid="{00000000-0005-0000-0000-0000AD030000}"/>
    <cellStyle name="_Forecast 04 FY01 before review_AS Variance Analysis_Aug07_Acquisition Schedules" xfId="1218" xr:uid="{00000000-0005-0000-0000-0000AE030000}"/>
    <cellStyle name="_Forecast 04 FY01 before review_AS WD1 Flash Charts - Apr'05" xfId="1219" xr:uid="{00000000-0005-0000-0000-0000AF030000}"/>
    <cellStyle name="_Forecast 04 FY01 before review_AS WD1 Flash Charts - Apr'05_Acquisition Schedules" xfId="1220" xr:uid="{00000000-0005-0000-0000-0000B0030000}"/>
    <cellStyle name="_Forecast 04 FY01 before review_AS WD1 Flash Charts - May'05" xfId="1221" xr:uid="{00000000-0005-0000-0000-0000B1030000}"/>
    <cellStyle name="_Forecast 04 FY01 before review_AS WD1 Flash Charts - May'05_Acquisition Schedules" xfId="1222" xr:uid="{00000000-0005-0000-0000-0000B2030000}"/>
    <cellStyle name="_Forecast 04 FY01 before review_AS WD3 Flash Charts - Apr'05" xfId="1223" xr:uid="{00000000-0005-0000-0000-0000B3030000}"/>
    <cellStyle name="_Forecast 04 FY01 before review_AS WD3 Flash Charts - Apr'05_Acquisition Schedules" xfId="1224" xr:uid="{00000000-0005-0000-0000-0000B4030000}"/>
    <cellStyle name="_Forecast 04 FY01 before review_AS WD3 Flash Charts - Mar'05v1" xfId="1225" xr:uid="{00000000-0005-0000-0000-0000B5030000}"/>
    <cellStyle name="_Forecast 04 FY01 before review_AS WD3 Flash Charts - Mar'05v1_Acquisition Schedules" xfId="1226" xr:uid="{00000000-0005-0000-0000-0000B6030000}"/>
    <cellStyle name="_Forecast 04 FY01 before review_CA WD1 Flash Charts - Sep'05" xfId="1227" xr:uid="{00000000-0005-0000-0000-0000B7030000}"/>
    <cellStyle name="_Forecast 04 FY01 before review_CA WD1 Flash Charts - Sep'05_Acquisition Schedules" xfId="1228" xr:uid="{00000000-0005-0000-0000-0000B8030000}"/>
    <cellStyle name="_Forecast 04 FY01 before review_Forecast Accuracy &amp; Linearity" xfId="1229" xr:uid="{00000000-0005-0000-0000-0000B9030000}"/>
    <cellStyle name="_Forecast 04 FY01 before review_Forecast Accuracy &amp; Linearity_Acquisition Schedules" xfId="1230" xr:uid="{00000000-0005-0000-0000-0000BA030000}"/>
    <cellStyle name="_Forecast 04 FY01 before review_FY04 Korea Goaling" xfId="1231" xr:uid="{00000000-0005-0000-0000-0000BB030000}"/>
    <cellStyle name="_Forecast 04 FY01 before review_FY04 Korea Goaling_Acquisition Schedules" xfId="1232" xr:uid="{00000000-0005-0000-0000-0000BC030000}"/>
    <cellStyle name="_Forecast 04 FY01 before review_Q3'02 Ops Call_Feb'021  Korea" xfId="1233" xr:uid="{00000000-0005-0000-0000-0000BD030000}"/>
    <cellStyle name="_Forecast 04 FY01 before review_Q3'02 Ops Call_Feb'021  Korea_Acquisition Schedules" xfId="1234" xr:uid="{00000000-0005-0000-0000-0000BE030000}"/>
    <cellStyle name="_Forecast 04 FY01 before review_Q3'02 Ops Call_Feb'021  Korea_ANZ FY04 Goaling" xfId="1235" xr:uid="{00000000-0005-0000-0000-0000BF030000}"/>
    <cellStyle name="_Forecast 04 FY01 before review_Q3'02 Ops Call_Feb'021  Korea_ANZ FY04 Goaling_Acquisition Schedules" xfId="1236" xr:uid="{00000000-0005-0000-0000-0000C0030000}"/>
    <cellStyle name="_Forecast 04 FY01 before review_Q3'02 Ops Call_Feb'021  Korea_APAC AS Aug'05 WD3 Flash" xfId="1237" xr:uid="{00000000-0005-0000-0000-0000C1030000}"/>
    <cellStyle name="_Forecast 04 FY01 before review_Q3'02 Ops Call_Feb'021  Korea_APAC AS Aug'05 WD3 Flash_Acquisition Schedules" xfId="1238" xr:uid="{00000000-0005-0000-0000-0000C2030000}"/>
    <cellStyle name="_Forecast 04 FY01 before review_Q3'02 Ops Call_Feb'021  Korea_APAC Weekly Commit - FY04Q2W01" xfId="1239" xr:uid="{00000000-0005-0000-0000-0000C3030000}"/>
    <cellStyle name="_Forecast 04 FY01 before review_Q3'02 Ops Call_Feb'021  Korea_APAC Weekly Commit - FY04Q2W01_Acquisition Schedules" xfId="1240" xr:uid="{00000000-0005-0000-0000-0000C4030000}"/>
    <cellStyle name="_Forecast 04 FY01 before review_Q3'02 Ops Call_Feb'021  Korea_AS WD1 Flash Charts - Apr'05" xfId="1241" xr:uid="{00000000-0005-0000-0000-0000C5030000}"/>
    <cellStyle name="_Forecast 04 FY01 before review_Q3'02 Ops Call_Feb'021  Korea_AS WD1 Flash Charts - Apr'05_Acquisition Schedules" xfId="1242" xr:uid="{00000000-0005-0000-0000-0000C6030000}"/>
    <cellStyle name="_Forecast 04 FY01 before review_Q3'02 Ops Call_Feb'021  Korea_AS WD1 Flash Charts - May'05" xfId="1243" xr:uid="{00000000-0005-0000-0000-0000C7030000}"/>
    <cellStyle name="_Forecast 04 FY01 before review_Q3'02 Ops Call_Feb'021  Korea_AS WD1 Flash Charts - May'05_Acquisition Schedules" xfId="1244" xr:uid="{00000000-0005-0000-0000-0000C8030000}"/>
    <cellStyle name="_Forecast 04 FY01 before review_Q3'02 Ops Call_Feb'021  Korea_AS WD3 Flash Charts - Apr'05" xfId="1245" xr:uid="{00000000-0005-0000-0000-0000C9030000}"/>
    <cellStyle name="_Forecast 04 FY01 before review_Q3'02 Ops Call_Feb'021  Korea_AS WD3 Flash Charts - Apr'05_Acquisition Schedules" xfId="1246" xr:uid="{00000000-0005-0000-0000-0000CA030000}"/>
    <cellStyle name="_Forecast 04 FY01 before review_Q3'02 Ops Call_Feb'021  Korea_AS WD3 Flash Charts - Mar'05v1" xfId="1247" xr:uid="{00000000-0005-0000-0000-0000CB030000}"/>
    <cellStyle name="_Forecast 04 FY01 before review_Q3'02 Ops Call_Feb'021  Korea_AS WD3 Flash Charts - Mar'05v1_Acquisition Schedules" xfId="1248" xr:uid="{00000000-0005-0000-0000-0000CC030000}"/>
    <cellStyle name="_Forecast 04 FY01 before review_Q3'02 Ops Call_Feb'021  Korea_CA WD1 Flash Charts - Sep'05" xfId="1249" xr:uid="{00000000-0005-0000-0000-0000CD030000}"/>
    <cellStyle name="_Forecast 04 FY01 before review_Q3'02 Ops Call_Feb'021  Korea_CA WD1 Flash Charts - Sep'05_Acquisition Schedules" xfId="1250" xr:uid="{00000000-0005-0000-0000-0000CE030000}"/>
    <cellStyle name="_Forecast 04 FY01 before review_Q3'02 Ops Call_Feb'021  Korea_Forecast Accuracy &amp; Linearity" xfId="1251" xr:uid="{00000000-0005-0000-0000-0000CF030000}"/>
    <cellStyle name="_Forecast 04 FY01 before review_Q3'02 Ops Call_Feb'021  Korea_Forecast Accuracy &amp; Linearity_Acquisition Schedules" xfId="1252" xr:uid="{00000000-0005-0000-0000-0000D0030000}"/>
    <cellStyle name="_Forecast 04 FY01 before review_Q3'02 Ops Call_Feb'021  Korea_FY04 Korea Goaling" xfId="1253" xr:uid="{00000000-0005-0000-0000-0000D1030000}"/>
    <cellStyle name="_Forecast 04 FY01 before review_Q3'02 Ops Call_Feb'021  Korea_FY04 Korea Goaling_Acquisition Schedules" xfId="1254" xr:uid="{00000000-0005-0000-0000-0000D2030000}"/>
    <cellStyle name="_Forecast 04 FY01 before review_Q3'02 Ops Call_Feb'021  Korea_WD1APAC Summary-26-04-05 FY05 ------1" xfId="1255" xr:uid="{00000000-0005-0000-0000-0000D3030000}"/>
    <cellStyle name="_Forecast 04 FY01 before review_Q3'02 Ops Call_Feb'021  Korea_WD1APAC Summary-26-04-05 FY05 ------1_Acquisition Schedules" xfId="1256" xr:uid="{00000000-0005-0000-0000-0000D4030000}"/>
    <cellStyle name="_Forecast 04 FY01 before review_Target Template" xfId="1257" xr:uid="{00000000-0005-0000-0000-0000D5030000}"/>
    <cellStyle name="_Forecast 04 FY01 before review_Target Template_Acquisition Schedules" xfId="1258" xr:uid="{00000000-0005-0000-0000-0000D6030000}"/>
    <cellStyle name="_Forecast 04 FY01 before review_WD1APAC Summary-26-04-05 FY05 ------1" xfId="1259" xr:uid="{00000000-0005-0000-0000-0000D7030000}"/>
    <cellStyle name="_Forecast 04 FY01 before review_WD1APAC Summary-26-04-05 FY05 ------1_Acquisition Schedules" xfId="1260" xr:uid="{00000000-0005-0000-0000-0000D8030000}"/>
    <cellStyle name="_Forecast Accuracy &amp; Linearity" xfId="1261" xr:uid="{00000000-0005-0000-0000-0000D9030000}"/>
    <cellStyle name="_Forecast Summary" xfId="1262" xr:uid="{00000000-0005-0000-0000-0000DA030000}"/>
    <cellStyle name="_Forecast Summary 2" xfId="1263" xr:uid="{00000000-0005-0000-0000-0000DB030000}"/>
    <cellStyle name="_FP&amp;A Consolidated Forecast Q4FY'07" xfId="1264" xr:uid="{00000000-0005-0000-0000-0000DC030000}"/>
    <cellStyle name="_FP&amp;A Consolidated Forecast Q4FY'07 2" xfId="1265" xr:uid="{00000000-0005-0000-0000-0000DD030000}"/>
    <cellStyle name="_FP&amp;A Consolidated Forecast Q4FY'07 3" xfId="1266" xr:uid="{00000000-0005-0000-0000-0000DE030000}"/>
    <cellStyle name="_FP&amp;A Consolidated Forecast Q4FY'07 4" xfId="1267" xr:uid="{00000000-0005-0000-0000-0000DF030000}"/>
    <cellStyle name="_FP&amp;A Consolidated Forecast Q4FY'07 5" xfId="1268" xr:uid="{00000000-0005-0000-0000-0000E0030000}"/>
    <cellStyle name="_FP&amp;A Consolidated Forecast Q4FY'07 6" xfId="1269" xr:uid="{00000000-0005-0000-0000-0000E1030000}"/>
    <cellStyle name="_FP&amp;A Consolidated Forecast Q4FY'07 7" xfId="1270" xr:uid="{00000000-0005-0000-0000-0000E2030000}"/>
    <cellStyle name="_FP&amp;A Consolidated Forecast Q4FY'07 8" xfId="1271" xr:uid="{00000000-0005-0000-0000-0000E3030000}"/>
    <cellStyle name="_FY 07-08 Sales Plans - Final for Pat Belotti" xfId="1272" xr:uid="{00000000-0005-0000-0000-0000E4030000}"/>
    <cellStyle name="_FY02 APAC Goal(FINALv1)" xfId="1273" xr:uid="{00000000-0005-0000-0000-0000E5030000}"/>
    <cellStyle name="_FY02Plan Mkt Lob - Asia all - consol FINAL - CA1" xfId="1274" xr:uid="{00000000-0005-0000-0000-0000E6030000}"/>
    <cellStyle name="_FY02Plan Mkt Lob - Asia all - consol FINAL - CA1_Acquisition Schedules" xfId="1275" xr:uid="{00000000-0005-0000-0000-0000E7030000}"/>
    <cellStyle name="_FY02Plan Mkt Lob - Asia all - consol FINAL - CA1_APAC AS Aug'05 WD3 Flash" xfId="1276" xr:uid="{00000000-0005-0000-0000-0000E8030000}"/>
    <cellStyle name="_FY02Plan Mkt Lob - Asia all - consol FINAL - CA1_APAC AS Aug'05 WD3 Flash_Acquisition Schedules" xfId="1277" xr:uid="{00000000-0005-0000-0000-0000E9030000}"/>
    <cellStyle name="_FY02Plan Mkt Lob - Asia all - consol FINAL - CA1_APAC AS Oct'06 WD3 Flash" xfId="1278" xr:uid="{00000000-0005-0000-0000-0000EA030000}"/>
    <cellStyle name="_FY02Plan Mkt Lob - Asia all - consol FINAL - CA1_APAC AS Oct'06 WD3 Flash_Acquisition Schedules" xfId="1279" xr:uid="{00000000-0005-0000-0000-0000EB030000}"/>
    <cellStyle name="_FY02Plan Mkt Lob - Asia all - consol FINAL - CA1_APAC Support Bookings - Jun03" xfId="1280" xr:uid="{00000000-0005-0000-0000-0000EC030000}"/>
    <cellStyle name="_FY02Plan Mkt Lob - Asia all - consol FINAL - CA1_APAC Support Bookings - Jun03_Acquisition Schedules" xfId="1281" xr:uid="{00000000-0005-0000-0000-0000ED030000}"/>
    <cellStyle name="_FY02Plan Mkt Lob - Asia all - consol FINAL - CA1_APAC Support Bookings - Jun03_APAC AS Aug'05 WD3 Flash" xfId="1282" xr:uid="{00000000-0005-0000-0000-0000EE030000}"/>
    <cellStyle name="_FY02Plan Mkt Lob - Asia all - consol FINAL - CA1_APAC Support Bookings - Jun03_APAC AS Aug'05 WD3 Flash_Acquisition Schedules" xfId="1283" xr:uid="{00000000-0005-0000-0000-0000EF030000}"/>
    <cellStyle name="_FY02Plan Mkt Lob - Asia all - consol FINAL - CA1_APAC Support Bookings - Jun03_AS Variance Analysis_Aug07" xfId="1284" xr:uid="{00000000-0005-0000-0000-0000F0030000}"/>
    <cellStyle name="_FY02Plan Mkt Lob - Asia all - consol FINAL - CA1_APAC Support Bookings - Jun03_AS Variance Analysis_Aug07_Acquisition Schedules" xfId="1285" xr:uid="{00000000-0005-0000-0000-0000F1030000}"/>
    <cellStyle name="_FY02Plan Mkt Lob - Asia all - consol FINAL - CA1_APAC Support Bookings - Jun03_AS WD1 Flash Charts - Apr'05" xfId="1286" xr:uid="{00000000-0005-0000-0000-0000F2030000}"/>
    <cellStyle name="_FY02Plan Mkt Lob - Asia all - consol FINAL - CA1_APAC Support Bookings - Jun03_AS WD1 Flash Charts - Apr'05_Acquisition Schedules" xfId="1287" xr:uid="{00000000-0005-0000-0000-0000F3030000}"/>
    <cellStyle name="_FY02Plan Mkt Lob - Asia all - consol FINAL - CA1_APAC Support Bookings - Jun03_AS WD1 Flash Charts - May'05" xfId="1288" xr:uid="{00000000-0005-0000-0000-0000F4030000}"/>
    <cellStyle name="_FY02Plan Mkt Lob - Asia all - consol FINAL - CA1_APAC Support Bookings - Jun03_AS WD1 Flash Charts - May'05_Acquisition Schedules" xfId="1289" xr:uid="{00000000-0005-0000-0000-0000F5030000}"/>
    <cellStyle name="_FY02Plan Mkt Lob - Asia all - consol FINAL - CA1_APAC Support Bookings - Jun03_AS WD3 Flash Charts - Apr'05" xfId="1290" xr:uid="{00000000-0005-0000-0000-0000F6030000}"/>
    <cellStyle name="_FY02Plan Mkt Lob - Asia all - consol FINAL - CA1_APAC Support Bookings - Jun03_AS WD3 Flash Charts - Apr'05_Acquisition Schedules" xfId="1291" xr:uid="{00000000-0005-0000-0000-0000F7030000}"/>
    <cellStyle name="_FY02Plan Mkt Lob - Asia all - consol FINAL - CA1_APAC Support Bookings - Jun03_AS WD3 Flash Charts - Mar'05v1" xfId="1292" xr:uid="{00000000-0005-0000-0000-0000F8030000}"/>
    <cellStyle name="_FY02Plan Mkt Lob - Asia all - consol FINAL - CA1_APAC Support Bookings - Jun03_AS WD3 Flash Charts - Mar'05v1_Acquisition Schedules" xfId="1293" xr:uid="{00000000-0005-0000-0000-0000F9030000}"/>
    <cellStyle name="_FY02Plan Mkt Lob - Asia all - consol FINAL - CA1_APAC Support Bookings - Jun03_CA WD1 Flash Charts - Sep'05" xfId="1294" xr:uid="{00000000-0005-0000-0000-0000FA030000}"/>
    <cellStyle name="_FY02Plan Mkt Lob - Asia all - consol FINAL - CA1_APAC Support Bookings - Jun03_CA WD1 Flash Charts - Sep'05_Acquisition Schedules" xfId="1295" xr:uid="{00000000-0005-0000-0000-0000FB030000}"/>
    <cellStyle name="_FY02Plan Mkt Lob - Asia all - consol FINAL - CA1_APAC Support Bookings - Jun03_Target Template" xfId="1296" xr:uid="{00000000-0005-0000-0000-0000FC030000}"/>
    <cellStyle name="_FY02Plan Mkt Lob - Asia all - consol FINAL - CA1_APAC Support Bookings - Jun03_Target Template_Acquisition Schedules" xfId="1297" xr:uid="{00000000-0005-0000-0000-0000FD030000}"/>
    <cellStyle name="_FY02Plan Mkt Lob - Asia all - consol FINAL - CA1_APAC Weekly Commit - FY04Q2W01" xfId="1298" xr:uid="{00000000-0005-0000-0000-0000FE030000}"/>
    <cellStyle name="_FY02Plan Mkt Lob - Asia all - consol FINAL - CA1_APAC Weekly Commit - FY04Q2W01_Acquisition Schedules" xfId="1299" xr:uid="{00000000-0005-0000-0000-0000FF030000}"/>
    <cellStyle name="_FY02Plan Mkt Lob - Asia all - consol FINAL - CA1_AS Variance Analysis_Aug07" xfId="1300" xr:uid="{00000000-0005-0000-0000-000000040000}"/>
    <cellStyle name="_FY02Plan Mkt Lob - Asia all - consol FINAL - CA1_AS Variance Analysis_Aug07_Acquisition Schedules" xfId="1301" xr:uid="{00000000-0005-0000-0000-000001040000}"/>
    <cellStyle name="_FY02Plan Mkt Lob - Asia all - consol FINAL - CA1_AS WD1 Flash Charts - Apr'05" xfId="1302" xr:uid="{00000000-0005-0000-0000-000002040000}"/>
    <cellStyle name="_FY02Plan Mkt Lob - Asia all - consol FINAL - CA1_AS WD1 Flash Charts - Apr'05_Acquisition Schedules" xfId="1303" xr:uid="{00000000-0005-0000-0000-000003040000}"/>
    <cellStyle name="_FY02Plan Mkt Lob - Asia all - consol FINAL - CA1_AS WD1 Flash Charts - May'05" xfId="1304" xr:uid="{00000000-0005-0000-0000-000004040000}"/>
    <cellStyle name="_FY02Plan Mkt Lob - Asia all - consol FINAL - CA1_AS WD1 Flash Charts - May'05_Acquisition Schedules" xfId="1305" xr:uid="{00000000-0005-0000-0000-000005040000}"/>
    <cellStyle name="_FY02Plan Mkt Lob - Asia all - consol FINAL - CA1_AS WD3 Flash Charts - Apr'05" xfId="1306" xr:uid="{00000000-0005-0000-0000-000006040000}"/>
    <cellStyle name="_FY02Plan Mkt Lob - Asia all - consol FINAL - CA1_AS WD3 Flash Charts - Apr'05_Acquisition Schedules" xfId="1307" xr:uid="{00000000-0005-0000-0000-000007040000}"/>
    <cellStyle name="_FY02Plan Mkt Lob - Asia all - consol FINAL - CA1_AS WD3 Flash Charts - Mar'05v1" xfId="1308" xr:uid="{00000000-0005-0000-0000-000008040000}"/>
    <cellStyle name="_FY02Plan Mkt Lob - Asia all - consol FINAL - CA1_AS WD3 Flash Charts - Mar'05v1_Acquisition Schedules" xfId="1309" xr:uid="{00000000-0005-0000-0000-000009040000}"/>
    <cellStyle name="_FY02Plan Mkt Lob - Asia all - consol FINAL - CA1_CA WD1 Flash Charts - Sep'05" xfId="1310" xr:uid="{00000000-0005-0000-0000-00000A040000}"/>
    <cellStyle name="_FY02Plan Mkt Lob - Asia all - consol FINAL - CA1_CA WD1 Flash Charts - Sep'05_Acquisition Schedules" xfId="1311" xr:uid="{00000000-0005-0000-0000-00000B040000}"/>
    <cellStyle name="_FY02Plan Mkt Lob - Asia all - consol FINAL - CA1_Forecast Accuracy &amp; Linearity" xfId="1312" xr:uid="{00000000-0005-0000-0000-00000C040000}"/>
    <cellStyle name="_FY02Plan Mkt Lob - Asia all - consol FINAL - CA1_Forecast Accuracy &amp; Linearity_Acquisition Schedules" xfId="1313" xr:uid="{00000000-0005-0000-0000-00000D040000}"/>
    <cellStyle name="_FY02Plan Mkt Lob - Asia all - consol FINAL - CA1_FY04 Korea Goaling" xfId="1314" xr:uid="{00000000-0005-0000-0000-00000E040000}"/>
    <cellStyle name="_FY02Plan Mkt Lob - Asia all - consol FINAL - CA1_FY04 Korea Goaling_Acquisition Schedules" xfId="1315" xr:uid="{00000000-0005-0000-0000-00000F040000}"/>
    <cellStyle name="_FY02Plan Mkt Lob - Asia all - consol FINAL - CA1_Q3'02 Ops Call_Feb'021  Korea" xfId="1316" xr:uid="{00000000-0005-0000-0000-000010040000}"/>
    <cellStyle name="_FY02Plan Mkt Lob - Asia all - consol FINAL - CA1_Q3'02 Ops Call_Feb'021  Korea_Acquisition Schedules" xfId="1317" xr:uid="{00000000-0005-0000-0000-000011040000}"/>
    <cellStyle name="_FY02Plan Mkt Lob - Asia all - consol FINAL - CA1_Q3'02 Ops Call_Feb'021  Korea_ANZ FY04 Goaling" xfId="1318" xr:uid="{00000000-0005-0000-0000-000012040000}"/>
    <cellStyle name="_FY02Plan Mkt Lob - Asia all - consol FINAL - CA1_Q3'02 Ops Call_Feb'021  Korea_ANZ FY04 Goaling_Acquisition Schedules" xfId="1319" xr:uid="{00000000-0005-0000-0000-000013040000}"/>
    <cellStyle name="_FY02Plan Mkt Lob - Asia all - consol FINAL - CA1_Q3'02 Ops Call_Feb'021  Korea_APAC AS Aug'05 WD3 Flash" xfId="1320" xr:uid="{00000000-0005-0000-0000-000014040000}"/>
    <cellStyle name="_FY02Plan Mkt Lob - Asia all - consol FINAL - CA1_Q3'02 Ops Call_Feb'021  Korea_APAC AS Aug'05 WD3 Flash_Acquisition Schedules" xfId="1321" xr:uid="{00000000-0005-0000-0000-000015040000}"/>
    <cellStyle name="_FY02Plan Mkt Lob - Asia all - consol FINAL - CA1_Q3'02 Ops Call_Feb'021  Korea_APAC Weekly Commit - FY04Q2W01" xfId="1322" xr:uid="{00000000-0005-0000-0000-000016040000}"/>
    <cellStyle name="_FY02Plan Mkt Lob - Asia all - consol FINAL - CA1_Q3'02 Ops Call_Feb'021  Korea_APAC Weekly Commit - FY04Q2W01_Acquisition Schedules" xfId="1323" xr:uid="{00000000-0005-0000-0000-000017040000}"/>
    <cellStyle name="_FY02Plan Mkt Lob - Asia all - consol FINAL - CA1_Q3'02 Ops Call_Feb'021  Korea_AS WD1 Flash Charts - Apr'05" xfId="1324" xr:uid="{00000000-0005-0000-0000-000018040000}"/>
    <cellStyle name="_FY02Plan Mkt Lob - Asia all - consol FINAL - CA1_Q3'02 Ops Call_Feb'021  Korea_AS WD1 Flash Charts - Apr'05_Acquisition Schedules" xfId="1325" xr:uid="{00000000-0005-0000-0000-000019040000}"/>
    <cellStyle name="_FY02Plan Mkt Lob - Asia all - consol FINAL - CA1_Q3'02 Ops Call_Feb'021  Korea_AS WD1 Flash Charts - May'05" xfId="1326" xr:uid="{00000000-0005-0000-0000-00001A040000}"/>
    <cellStyle name="_FY02Plan Mkt Lob - Asia all - consol FINAL - CA1_Q3'02 Ops Call_Feb'021  Korea_AS WD1 Flash Charts - May'05_Acquisition Schedules" xfId="1327" xr:uid="{00000000-0005-0000-0000-00001B040000}"/>
    <cellStyle name="_FY02Plan Mkt Lob - Asia all - consol FINAL - CA1_Q3'02 Ops Call_Feb'021  Korea_AS WD3 Flash Charts - Apr'05" xfId="1328" xr:uid="{00000000-0005-0000-0000-00001C040000}"/>
    <cellStyle name="_FY02Plan Mkt Lob - Asia all - consol FINAL - CA1_Q3'02 Ops Call_Feb'021  Korea_AS WD3 Flash Charts - Apr'05_Acquisition Schedules" xfId="1329" xr:uid="{00000000-0005-0000-0000-00001D040000}"/>
    <cellStyle name="_FY02Plan Mkt Lob - Asia all - consol FINAL - CA1_Q3'02 Ops Call_Feb'021  Korea_AS WD3 Flash Charts - Mar'05v1" xfId="1330" xr:uid="{00000000-0005-0000-0000-00001E040000}"/>
    <cellStyle name="_FY02Plan Mkt Lob - Asia all - consol FINAL - CA1_Q3'02 Ops Call_Feb'021  Korea_AS WD3 Flash Charts - Mar'05v1_Acquisition Schedules" xfId="1331" xr:uid="{00000000-0005-0000-0000-00001F040000}"/>
    <cellStyle name="_FY02Plan Mkt Lob - Asia all - consol FINAL - CA1_Q3'02 Ops Call_Feb'021  Korea_CA WD1 Flash Charts - Sep'05" xfId="1332" xr:uid="{00000000-0005-0000-0000-000020040000}"/>
    <cellStyle name="_FY02Plan Mkt Lob - Asia all - consol FINAL - CA1_Q3'02 Ops Call_Feb'021  Korea_CA WD1 Flash Charts - Sep'05_Acquisition Schedules" xfId="1333" xr:uid="{00000000-0005-0000-0000-000021040000}"/>
    <cellStyle name="_FY02Plan Mkt Lob - Asia all - consol FINAL - CA1_Q3'02 Ops Call_Feb'021  Korea_Forecast Accuracy &amp; Linearity" xfId="1334" xr:uid="{00000000-0005-0000-0000-000022040000}"/>
    <cellStyle name="_FY02Plan Mkt Lob - Asia all - consol FINAL - CA1_Q3'02 Ops Call_Feb'021  Korea_Forecast Accuracy &amp; Linearity_Acquisition Schedules" xfId="1335" xr:uid="{00000000-0005-0000-0000-000023040000}"/>
    <cellStyle name="_FY02Plan Mkt Lob - Asia all - consol FINAL - CA1_Q3'02 Ops Call_Feb'021  Korea_FY04 Korea Goaling" xfId="1336" xr:uid="{00000000-0005-0000-0000-000024040000}"/>
    <cellStyle name="_FY02Plan Mkt Lob - Asia all - consol FINAL - CA1_Q3'02 Ops Call_Feb'021  Korea_FY04 Korea Goaling_Acquisition Schedules" xfId="1337" xr:uid="{00000000-0005-0000-0000-000025040000}"/>
    <cellStyle name="_FY02Plan Mkt Lob - Asia all - consol FINAL - CA1_Q3'02 Ops Call_Feb'021  Korea_WD1APAC Summary-26-04-05 FY05 ------1" xfId="1338" xr:uid="{00000000-0005-0000-0000-000026040000}"/>
    <cellStyle name="_FY02Plan Mkt Lob - Asia all - consol FINAL - CA1_Q3'02 Ops Call_Feb'021  Korea_WD1APAC Summary-26-04-05 FY05 ------1_Acquisition Schedules" xfId="1339" xr:uid="{00000000-0005-0000-0000-000027040000}"/>
    <cellStyle name="_FY02Plan Mkt Lob - Asia all - consol FINAL - CA1_Target Template" xfId="1340" xr:uid="{00000000-0005-0000-0000-000028040000}"/>
    <cellStyle name="_FY02Plan Mkt Lob - Asia all - consol FINAL - CA1_Target Template_Acquisition Schedules" xfId="1341" xr:uid="{00000000-0005-0000-0000-000029040000}"/>
    <cellStyle name="_FY02Plan Mkt Lob - Asia all - consol FINAL - CA1_WD1APAC Summary-26-04-05 FY05 ------1" xfId="1342" xr:uid="{00000000-0005-0000-0000-00002A040000}"/>
    <cellStyle name="_FY02Plan Mkt Lob - Asia all - consol FINAL - CA1_WD1APAC Summary-26-04-05 FY05 ------1_Acquisition Schedules" xfId="1343" xr:uid="{00000000-0005-0000-0000-00002B040000}"/>
    <cellStyle name="_FY03Model0619" xfId="1344" xr:uid="{00000000-0005-0000-0000-00002C040000}"/>
    <cellStyle name="_FY03Model0619 2" xfId="1345" xr:uid="{00000000-0005-0000-0000-00002D040000}"/>
    <cellStyle name="_FY03Model0619 3" xfId="1346" xr:uid="{00000000-0005-0000-0000-00002E040000}"/>
    <cellStyle name="_FY03Model0619 4" xfId="1347" xr:uid="{00000000-0005-0000-0000-00002F040000}"/>
    <cellStyle name="_FY03Model0619 5" xfId="1348" xr:uid="{00000000-0005-0000-0000-000030040000}"/>
    <cellStyle name="_FY03Model0619 6" xfId="1349" xr:uid="{00000000-0005-0000-0000-000031040000}"/>
    <cellStyle name="_FY03Model0619 7" xfId="1350" xr:uid="{00000000-0005-0000-0000-000032040000}"/>
    <cellStyle name="_FY03Model0619 8" xfId="1351" xr:uid="{00000000-0005-0000-0000-000033040000}"/>
    <cellStyle name="_FY03Model0619_Acquisition Schedules" xfId="1352" xr:uid="{00000000-0005-0000-0000-000034040000}"/>
    <cellStyle name="_FY04 goal template - CA Canada" xfId="1353" xr:uid="{00000000-0005-0000-0000-000035040000}"/>
    <cellStyle name="_FY04 goal template - CA Canada_Acquisition Schedules" xfId="1354" xr:uid="{00000000-0005-0000-0000-000036040000}"/>
    <cellStyle name="_FY04 Plan Book" xfId="1355" xr:uid="{00000000-0005-0000-0000-000037040000}"/>
    <cellStyle name="_FY04 Plan REVISED-FINAL from Elisa Aug.'03" xfId="1356" xr:uid="{00000000-0005-0000-0000-000038040000}"/>
    <cellStyle name="_FY04 Plan REVISED-FINAL from Elisa Aug.'03_Acquisition Schedules" xfId="1357" xr:uid="{00000000-0005-0000-0000-000039040000}"/>
    <cellStyle name="_FY04 Q1 EIS Bookings AES_Match LT Report_Week 3" xfId="1358" xr:uid="{00000000-0005-0000-0000-00003A040000}"/>
    <cellStyle name="_FY04 Q1 EIS Bookings AES_Match LT Report_Week 3_Acquisition Schedules" xfId="1359" xr:uid="{00000000-0005-0000-0000-00003B040000}"/>
    <cellStyle name="_FY04 YTD Bookings Summary -AUG wk2 - Q1" xfId="1360" xr:uid="{00000000-0005-0000-0000-00003C040000}"/>
    <cellStyle name="_FY04 YTD Bookings Summary -AUG wk2 - Q1_Acquisition Schedules" xfId="1361" xr:uid="{00000000-0005-0000-0000-00003D040000}"/>
    <cellStyle name="_FY04 YTD Bookings Summary -AUG wk3 - Q1" xfId="1362" xr:uid="{00000000-0005-0000-0000-00003E040000}"/>
    <cellStyle name="_FY04 YTD Bookings Summary -AUG wk3 - Q1_Acquisition Schedules" xfId="1363" xr:uid="{00000000-0005-0000-0000-00003F040000}"/>
    <cellStyle name="_FY04_YTD_Bookings_Summary_JULY_wk12_Q4" xfId="1364" xr:uid="{00000000-0005-0000-0000-000040040000}"/>
    <cellStyle name="_FY04_YTD_Bookings_Summary_JULY_wk12_Q4_Acquisition Schedules" xfId="1365" xr:uid="{00000000-0005-0000-0000-000041040000}"/>
    <cellStyle name="_FY'04+FY'05 -" xfId="1366" xr:uid="{00000000-0005-0000-0000-000042040000}"/>
    <cellStyle name="_FY05 AA - Risk Buys (to Dao 042005)" xfId="1367" xr:uid="{00000000-0005-0000-0000-000043040000}"/>
    <cellStyle name="_FY05 AA - Risk Buys (to Dao 072605) (2)" xfId="1368" xr:uid="{00000000-0005-0000-0000-000044040000}"/>
    <cellStyle name="_FY05 AA - Risk Buys2_Janice Griffin" xfId="1369" xr:uid="{00000000-0005-0000-0000-000045040000}"/>
    <cellStyle name="_FY05 AA - Risk Buys3" xfId="1370" xr:uid="{00000000-0005-0000-0000-000046040000}"/>
    <cellStyle name="_FY'05 Plan_rev3rdpass" xfId="1371" xr:uid="{00000000-0005-0000-0000-000047040000}"/>
    <cellStyle name="_FY'05 Plan_rev3rdpass_Acquisition Schedules" xfId="1372" xr:uid="{00000000-0005-0000-0000-000048040000}"/>
    <cellStyle name="_FY05_YTD_Bookings_Summary_AUG_wk3_Q1 " xfId="1373" xr:uid="{00000000-0005-0000-0000-000049040000}"/>
    <cellStyle name="_FY05_YTD_Bookings_Summary_AUG_wk3_Q1 _Acquisition Schedules" xfId="1374" xr:uid="{00000000-0005-0000-0000-00004A040000}"/>
    <cellStyle name="_FY05_YTD_Bookings_Summary_SEPT_wk3_Q1 " xfId="1375" xr:uid="{00000000-0005-0000-0000-00004B040000}"/>
    <cellStyle name="_FY05_YTD_Bookings_Summary_SEPT_wk3_Q1 _Acquisition Schedules" xfId="1376" xr:uid="{00000000-0005-0000-0000-00004C040000}"/>
    <cellStyle name="_FY06 AA - Risk Buys-March" xfId="1377" xr:uid="{00000000-0005-0000-0000-00004D040000}"/>
    <cellStyle name="_FY'06 Service Bookings Plan (for Quan)" xfId="1378" xr:uid="{00000000-0005-0000-0000-00004E040000}"/>
    <cellStyle name="_FY'06 Service Bookings Plan (for Quan)_Acquisition Schedules" xfId="1379" xr:uid="{00000000-0005-0000-0000-00004F040000}"/>
    <cellStyle name="_FY'07 Plan vs forecast 01-04-07" xfId="1380" xr:uid="{00000000-0005-0000-0000-000050040000}"/>
    <cellStyle name="_FY'07 Plan vs forecast 01-04-07 2" xfId="1381" xr:uid="{00000000-0005-0000-0000-000051040000}"/>
    <cellStyle name="_FY'07 Plan vs forecast 01-04-07 3" xfId="1382" xr:uid="{00000000-0005-0000-0000-000052040000}"/>
    <cellStyle name="_FY'07 Plan vs forecast 01-04-07 4" xfId="1383" xr:uid="{00000000-0005-0000-0000-000053040000}"/>
    <cellStyle name="_FY'07 Plan vs forecast 01-04-07 5" xfId="1384" xr:uid="{00000000-0005-0000-0000-000054040000}"/>
    <cellStyle name="_FY'07 Plan vs forecast 01-04-07 6" xfId="1385" xr:uid="{00000000-0005-0000-0000-000055040000}"/>
    <cellStyle name="_FY'07 Plan vs forecast 01-04-07 7" xfId="1386" xr:uid="{00000000-0005-0000-0000-000056040000}"/>
    <cellStyle name="_FY'07 Plan vs forecast 01-04-07 8" xfId="1387" xr:uid="{00000000-0005-0000-0000-000057040000}"/>
    <cellStyle name="_FY07REVIEWPACKAGEFORJIM" xfId="1388" xr:uid="{00000000-0005-0000-0000-000058040000}"/>
    <cellStyle name="_FY07REVIEWPACKAGEFORJIM 2" xfId="1389" xr:uid="{00000000-0005-0000-0000-000059040000}"/>
    <cellStyle name="_FY07REVIEWPACKAGEFORJIM 3" xfId="1390" xr:uid="{00000000-0005-0000-0000-00005A040000}"/>
    <cellStyle name="_FY07REVIEWPACKAGEFORJIM 4" xfId="1391" xr:uid="{00000000-0005-0000-0000-00005B040000}"/>
    <cellStyle name="_FY07REVIEWPACKAGEFORJIM 5" xfId="1392" xr:uid="{00000000-0005-0000-0000-00005C040000}"/>
    <cellStyle name="_FY07REVIEWPACKAGEFORJIM 6" xfId="1393" xr:uid="{00000000-0005-0000-0000-00005D040000}"/>
    <cellStyle name="_FY07REVIEWPACKAGEFORJIM 7" xfId="1394" xr:uid="{00000000-0005-0000-0000-00005E040000}"/>
    <cellStyle name="_FY07REVIEWPACKAGEFORJIM 8" xfId="1395" xr:uid="{00000000-0005-0000-0000-00005F040000}"/>
    <cellStyle name="_FY08 fist pass" xfId="1396" xr:uid="{00000000-0005-0000-0000-000060040000}"/>
    <cellStyle name="_FY08 fist pass 2" xfId="1397" xr:uid="{00000000-0005-0000-0000-000061040000}"/>
    <cellStyle name="_FY08 fist pass 3" xfId="1398" xr:uid="{00000000-0005-0000-0000-000062040000}"/>
    <cellStyle name="_FY08 fist pass 4" xfId="1399" xr:uid="{00000000-0005-0000-0000-000063040000}"/>
    <cellStyle name="_FY08 fist pass 5" xfId="1400" xr:uid="{00000000-0005-0000-0000-000064040000}"/>
    <cellStyle name="_FY08 fist pass 6" xfId="1401" xr:uid="{00000000-0005-0000-0000-000065040000}"/>
    <cellStyle name="_FY08 fist pass 7" xfId="1402" xr:uid="{00000000-0005-0000-0000-000066040000}"/>
    <cellStyle name="_FY08 Modeling (2)" xfId="1403" xr:uid="{00000000-0005-0000-0000-000067040000}"/>
    <cellStyle name="_FY08 Modeling (2) 2" xfId="1404" xr:uid="{00000000-0005-0000-0000-000068040000}"/>
    <cellStyle name="_FY08 Modeling (2) 3" xfId="1405" xr:uid="{00000000-0005-0000-0000-000069040000}"/>
    <cellStyle name="_FY08 Modeling (2) 4" xfId="1406" xr:uid="{00000000-0005-0000-0000-00006A040000}"/>
    <cellStyle name="_FY08 Modeling (2) 5" xfId="1407" xr:uid="{00000000-0005-0000-0000-00006B040000}"/>
    <cellStyle name="_FY08 Modeling (2) 6" xfId="1408" xr:uid="{00000000-0005-0000-0000-00006C040000}"/>
    <cellStyle name="_FY08 Modeling (2) 7" xfId="1409" xr:uid="{00000000-0005-0000-0000-00006D040000}"/>
    <cellStyle name="_FY08-09 IP Budget Q2 v1" xfId="1410" xr:uid="{00000000-0005-0000-0000-00006E040000}"/>
    <cellStyle name="_GAAP GM$" xfId="1411" xr:uid="{00000000-0005-0000-0000-00006F040000}"/>
    <cellStyle name="_Gartner - Misc Market data" xfId="1412" xr:uid="{00000000-0005-0000-0000-000070040000}"/>
    <cellStyle name="_Ginseng Analysis Final - Jan 29, 2004" xfId="1413" xr:uid="{00000000-0005-0000-0000-000071040000}"/>
    <cellStyle name="_GM Trend" xfId="1414" xr:uid="{00000000-0005-0000-0000-000072040000}"/>
    <cellStyle name="_GM$ FebvsCommit" xfId="1415" xr:uid="{00000000-0005-0000-0000-000073040000}"/>
    <cellStyle name="_GM$ FebvsNov" xfId="1416" xr:uid="{00000000-0005-0000-0000-000074040000}"/>
    <cellStyle name="_GM$ May Act vs. Aug Act" xfId="1417" xr:uid="{00000000-0005-0000-0000-000075040000}"/>
    <cellStyle name="_GM$ Q207 Vs Q206 Actuals YTD" xfId="1418" xr:uid="{00000000-0005-0000-0000-000076040000}"/>
    <cellStyle name="_GM$ Q3OQ2" xfId="1419" xr:uid="{00000000-0005-0000-0000-000077040000}"/>
    <cellStyle name="_Goaling update 2.09Ire1" xfId="1420" xr:uid="{00000000-0005-0000-0000-000078040000}"/>
    <cellStyle name="_goaling update 9th sept" xfId="1421" xr:uid="{00000000-0005-0000-0000-000079040000}"/>
    <cellStyle name="_Greater China FY02 Goal-v21" xfId="1422" xr:uid="{00000000-0005-0000-0000-00007A040000}"/>
    <cellStyle name="_GSR Jun FY07 SPA Platform Breakdown" xfId="1423" xr:uid="{00000000-0005-0000-0000-00007B040000}"/>
    <cellStyle name="_GSR Jun FY07 SPA Platform Breakdown 2" xfId="1424" xr:uid="{00000000-0005-0000-0000-00007C040000}"/>
    <cellStyle name="_GSR Spa v Platform Breakdown Jul07" xfId="1425" xr:uid="{00000000-0005-0000-0000-00007D040000}"/>
    <cellStyle name="_GSR Spa v Platform Breakdown Jul07 2" xfId="1426" xr:uid="{00000000-0005-0000-0000-00007E040000}"/>
    <cellStyle name="_Guiding Assumptions" xfId="1427" xr:uid="{00000000-0005-0000-0000-00007F040000}"/>
    <cellStyle name="_HARGROVE FY05 Expenses-FY05 Q4 MAY" xfId="1428" xr:uid="{00000000-0005-0000-0000-000080040000}"/>
    <cellStyle name="_HARGROVE FY05 Expenses-FY05 Q4 MAY_Acquisition Schedules" xfId="1429" xr:uid="{00000000-0005-0000-0000-000081040000}"/>
    <cellStyle name="_Heading" xfId="1430" xr:uid="{00000000-0005-0000-0000-000082040000}"/>
    <cellStyle name="_Heading_Financials_v2" xfId="1431" xr:uid="{00000000-0005-0000-0000-000083040000}"/>
    <cellStyle name="_Heading_Financials_v2_Book1 (3)" xfId="1432" xr:uid="{00000000-0005-0000-0000-000084040000}"/>
    <cellStyle name="_Highlight" xfId="1433" xr:uid="{00000000-0005-0000-0000-000085040000}"/>
    <cellStyle name="_i2 comparison_013007 to 010407" xfId="1434" xr:uid="{00000000-0005-0000-0000-000086040000}"/>
    <cellStyle name="_i2 comparison_013007 to 010407 2" xfId="1435" xr:uid="{00000000-0005-0000-0000-000087040000}"/>
    <cellStyle name="_Input Sheet" xfId="1436" xr:uid="{00000000-0005-0000-0000-000088040000}"/>
    <cellStyle name="_Input Sheet_Acquisition Schedules" xfId="1437" xr:uid="{00000000-0005-0000-0000-000089040000}"/>
    <cellStyle name="_Inv summary template for Linksys" xfId="1438" xr:uid="{00000000-0005-0000-0000-00008A040000}"/>
    <cellStyle name="_Inventory schedule for December Cisco Mtg" xfId="1439" xr:uid="{00000000-0005-0000-0000-00008B040000}"/>
    <cellStyle name="_Inventory schedule for December Cisco Mtg 2" xfId="1440" xr:uid="{00000000-0005-0000-0000-00008C040000}"/>
    <cellStyle name="_IP STB Report 03.26.07" xfId="1441" xr:uid="{00000000-0005-0000-0000-00008D040000}"/>
    <cellStyle name="_IP STB Report 03.26.07 2" xfId="1442" xr:uid="{00000000-0005-0000-0000-00008E040000}"/>
    <cellStyle name="_IP STB Report 12.21.07 values" xfId="1443" xr:uid="{00000000-0005-0000-0000-00008F040000}"/>
    <cellStyle name="_IP STB Report 12.21.07 values 2" xfId="1444" xr:uid="{00000000-0005-0000-0000-000090040000}"/>
    <cellStyle name="_IP STB Report 5.29.07" xfId="1445" xr:uid="{00000000-0005-0000-0000-000091040000}"/>
    <cellStyle name="_IP STB Report 5.29.07 2" xfId="1446" xr:uid="{00000000-0005-0000-0000-000092040000}"/>
    <cellStyle name="_IP STB Report 6.25.07" xfId="1447" xr:uid="{00000000-0005-0000-0000-000093040000}"/>
    <cellStyle name="_IP STB Report 6.25.07 2" xfId="1448" xr:uid="{00000000-0005-0000-0000-000094040000}"/>
    <cellStyle name="_IP STB Report Final Q2'08 values" xfId="1449" xr:uid="{00000000-0005-0000-0000-000095040000}"/>
    <cellStyle name="_IP STB Report Final Q2'08 values 2" xfId="1450" xr:uid="{00000000-0005-0000-0000-000096040000}"/>
    <cellStyle name="_IP STB REPORT FINAL Q3'07" xfId="1451" xr:uid="{00000000-0005-0000-0000-000097040000}"/>
    <cellStyle name="_IP STB REPORT FINAL Q3'07 2" xfId="1452" xr:uid="{00000000-0005-0000-0000-000098040000}"/>
    <cellStyle name="_IP STB Report Q1'08 9.24.07 values" xfId="1453" xr:uid="{00000000-0005-0000-0000-000099040000}"/>
    <cellStyle name="_IP STB Report Q1'08 9.24.07 values 2" xfId="1454" xr:uid="{00000000-0005-0000-0000-00009A040000}"/>
    <cellStyle name="_IP STB Report Q1'08 FINAL values1" xfId="1455" xr:uid="{00000000-0005-0000-0000-00009B040000}"/>
    <cellStyle name="_IP STB Report Q1'08 FINAL values1 2" xfId="1456" xr:uid="{00000000-0005-0000-0000-00009C040000}"/>
    <cellStyle name="_IP STB Report Q1'08 values 8.27.07" xfId="1457" xr:uid="{00000000-0005-0000-0000-00009D040000}"/>
    <cellStyle name="_IP STB Report Q1'08 values 8.27.07 2" xfId="1458" xr:uid="{00000000-0005-0000-0000-00009E040000}"/>
    <cellStyle name="_IP STB Report Q4 FINALvalues" xfId="1459" xr:uid="{00000000-0005-0000-0000-00009F040000}"/>
    <cellStyle name="_IP STB Report Q4 FINALvalues 2" xfId="1460" xr:uid="{00000000-0005-0000-0000-0000A0040000}"/>
    <cellStyle name="_IR schedule - TMS revenue segments" xfId="1461" xr:uid="{00000000-0005-0000-0000-0000A1040000}"/>
    <cellStyle name="_Jan-05 TAS release_US" xfId="1462" xr:uid="{00000000-0005-0000-0000-0000A2040000}"/>
    <cellStyle name="_Jan-05 TAS release_US_Acquisition Schedules" xfId="1463" xr:uid="{00000000-0005-0000-0000-0000A3040000}"/>
    <cellStyle name="_Jan05AS rev trans Log" xfId="1464" xr:uid="{00000000-0005-0000-0000-0000A4040000}"/>
    <cellStyle name="_Jan05AS rev trans Log_Acquisition Schedules" xfId="1465" xr:uid="{00000000-0005-0000-0000-0000A5040000}"/>
    <cellStyle name="_Japan" xfId="1466" xr:uid="{00000000-0005-0000-0000-0000A6040000}"/>
    <cellStyle name="_Japan 10" xfId="1467" xr:uid="{00000000-0005-0000-0000-0000A7040000}"/>
    <cellStyle name="_Japan 11" xfId="1468" xr:uid="{00000000-0005-0000-0000-0000A8040000}"/>
    <cellStyle name="_Japan 12" xfId="1469" xr:uid="{00000000-0005-0000-0000-0000A9040000}"/>
    <cellStyle name="_Japan 13" xfId="1470" xr:uid="{00000000-0005-0000-0000-0000AA040000}"/>
    <cellStyle name="_Japan 14" xfId="1471" xr:uid="{00000000-0005-0000-0000-0000AB040000}"/>
    <cellStyle name="_Japan 15" xfId="1472" xr:uid="{00000000-0005-0000-0000-0000AC040000}"/>
    <cellStyle name="_Japan 16" xfId="1473" xr:uid="{00000000-0005-0000-0000-0000AD040000}"/>
    <cellStyle name="_Japan 17" xfId="1474" xr:uid="{00000000-0005-0000-0000-0000AE040000}"/>
    <cellStyle name="_Japan 18" xfId="1475" xr:uid="{00000000-0005-0000-0000-0000AF040000}"/>
    <cellStyle name="_Japan 19" xfId="1476" xr:uid="{00000000-0005-0000-0000-0000B0040000}"/>
    <cellStyle name="_Japan 2" xfId="1477" xr:uid="{00000000-0005-0000-0000-0000B1040000}"/>
    <cellStyle name="_Japan 20" xfId="1478" xr:uid="{00000000-0005-0000-0000-0000B2040000}"/>
    <cellStyle name="_Japan 21" xfId="1479" xr:uid="{00000000-0005-0000-0000-0000B3040000}"/>
    <cellStyle name="_Japan 22" xfId="1480" xr:uid="{00000000-0005-0000-0000-0000B4040000}"/>
    <cellStyle name="_Japan 23" xfId="1481" xr:uid="{00000000-0005-0000-0000-0000B5040000}"/>
    <cellStyle name="_Japan 24" xfId="1482" xr:uid="{00000000-0005-0000-0000-0000B6040000}"/>
    <cellStyle name="_Japan 25" xfId="1483" xr:uid="{00000000-0005-0000-0000-0000B7040000}"/>
    <cellStyle name="_Japan 26" xfId="1484" xr:uid="{00000000-0005-0000-0000-0000B8040000}"/>
    <cellStyle name="_Japan 27" xfId="1485" xr:uid="{00000000-0005-0000-0000-0000B9040000}"/>
    <cellStyle name="_Japan 28" xfId="1486" xr:uid="{00000000-0005-0000-0000-0000BA040000}"/>
    <cellStyle name="_Japan 29" xfId="1487" xr:uid="{00000000-0005-0000-0000-0000BB040000}"/>
    <cellStyle name="_Japan 3" xfId="1488" xr:uid="{00000000-0005-0000-0000-0000BC040000}"/>
    <cellStyle name="_Japan 30" xfId="1489" xr:uid="{00000000-0005-0000-0000-0000BD040000}"/>
    <cellStyle name="_Japan 4" xfId="1490" xr:uid="{00000000-0005-0000-0000-0000BE040000}"/>
    <cellStyle name="_Japan 5" xfId="1491" xr:uid="{00000000-0005-0000-0000-0000BF040000}"/>
    <cellStyle name="_Japan 6" xfId="1492" xr:uid="{00000000-0005-0000-0000-0000C0040000}"/>
    <cellStyle name="_Japan 7" xfId="1493" xr:uid="{00000000-0005-0000-0000-0000C1040000}"/>
    <cellStyle name="_Japan 8" xfId="1494" xr:uid="{00000000-0005-0000-0000-0000C2040000}"/>
    <cellStyle name="_Japan 9" xfId="1495" xr:uid="{00000000-0005-0000-0000-0000C3040000}"/>
    <cellStyle name="_Japan AS Expense 16Jan2003" xfId="1496" xr:uid="{00000000-0005-0000-0000-0000C4040000}"/>
    <cellStyle name="_Japan AS Expense 16Jan2003_Acquisition Schedules" xfId="1497" xr:uid="{00000000-0005-0000-0000-0000C5040000}"/>
    <cellStyle name="_JAPAN Support Bookings - Dec03" xfId="1498" xr:uid="{00000000-0005-0000-0000-0000C6040000}"/>
    <cellStyle name="_JAPAN Support Bookings - Dec03_Acquisition Schedules" xfId="1499" xr:uid="{00000000-0005-0000-0000-0000C7040000}"/>
    <cellStyle name="_JAPAN Support Bookings - Feb03_Aki" xfId="1500" xr:uid="{00000000-0005-0000-0000-0000C8040000}"/>
    <cellStyle name="_JAPAN Support Bookings - Feb03_Aki_Acquisition Schedules" xfId="1501" xr:uid="{00000000-0005-0000-0000-0000C9040000}"/>
    <cellStyle name="_JAPAN Support Bookings - Jun03" xfId="1502" xr:uid="{00000000-0005-0000-0000-0000CA040000}"/>
    <cellStyle name="_JAPAN Support Bookings - Jun03_Acquisition Schedules" xfId="1503" xr:uid="{00000000-0005-0000-0000-0000CB040000}"/>
    <cellStyle name="_JAPAN Support Bookings - Nov032" xfId="1504" xr:uid="{00000000-0005-0000-0000-0000CC040000}"/>
    <cellStyle name="_JAPAN Support Bookings - Nov032_Acquisition Schedules" xfId="1505" xr:uid="{00000000-0005-0000-0000-0000CD040000}"/>
    <cellStyle name="_JAPAN Support Bookings - Oct03_Aki2" xfId="1506" xr:uid="{00000000-0005-0000-0000-0000CE040000}"/>
    <cellStyle name="_JAPAN Support Bookings - Oct03_Aki2_Acquisition Schedules" xfId="1507" xr:uid="{00000000-0005-0000-0000-0000CF040000}"/>
    <cellStyle name="_JAPAN Support Bookings -June02" xfId="1508" xr:uid="{00000000-0005-0000-0000-0000D0040000}"/>
    <cellStyle name="_JAPAN Support Bookings -June02_Acquisition Schedules" xfId="1509" xr:uid="{00000000-0005-0000-0000-0000D1040000}"/>
    <cellStyle name="_Japan_Acquisition Schedules" xfId="1510" xr:uid="{00000000-0005-0000-0000-0000D2040000}"/>
    <cellStyle name="_Japan_Top_Deals_by_Theater_Profile_Sep_wk3" xfId="1511" xr:uid="{00000000-0005-0000-0000-0000D3040000}"/>
    <cellStyle name="_Japan_Top_Deals_by_Theater_Profile_Sep_wk3_Acquisition Schedules" xfId="1512" xr:uid="{00000000-0005-0000-0000-0000D4040000}"/>
    <cellStyle name="_Japan_Top_Deals_Q2_Wk4 (2)" xfId="1513" xr:uid="{00000000-0005-0000-0000-0000D5040000}"/>
    <cellStyle name="_Japan_Top_Deals_Q2_Wk4 (2)_Acquisition Schedules" xfId="1514" xr:uid="{00000000-0005-0000-0000-0000D6040000}"/>
    <cellStyle name="_Japan_Top_Deals_Q2_Wk7" xfId="1515" xr:uid="{00000000-0005-0000-0000-0000D7040000}"/>
    <cellStyle name="_Japan_Top_Deals_Q2_Wk7_Acquisition Schedules" xfId="1516" xr:uid="{00000000-0005-0000-0000-0000D8040000}"/>
    <cellStyle name="_JuL FY07 Reconciliation" xfId="1517" xr:uid="{00000000-0005-0000-0000-0000D9040000}"/>
    <cellStyle name="_JuL FY07 Reconciliation 2" xfId="1518" xr:uid="{00000000-0005-0000-0000-0000DA040000}"/>
    <cellStyle name="_July'08 OH E&amp;O Summary M3 FINAL" xfId="1519" xr:uid="{00000000-0005-0000-0000-0000DB040000}"/>
    <cellStyle name="_JulyFY07 7600 MRP upload" xfId="1520" xr:uid="{00000000-0005-0000-0000-0000DC040000}"/>
    <cellStyle name="_JulyFY07 7600 MRP upload 2" xfId="1521" xr:uid="{00000000-0005-0000-0000-0000DD040000}"/>
    <cellStyle name="_Jun'08 OH E&amp;O Summary M1 FINAL" xfId="1522" xr:uid="{00000000-0005-0000-0000-0000DE040000}"/>
    <cellStyle name="_June Prelims" xfId="1523" xr:uid="{00000000-0005-0000-0000-0000DF040000}"/>
    <cellStyle name="_June Prelims_Acquisition Schedules" xfId="1524" xr:uid="{00000000-0005-0000-0000-0000E0040000}"/>
    <cellStyle name="_Lean Close Schedule" xfId="1525" xr:uid="{00000000-0005-0000-0000-0000E1040000}"/>
    <cellStyle name="_Linksys Theater Dashboard_MayFY06" xfId="1526" xr:uid="{00000000-0005-0000-0000-0000E2040000}"/>
    <cellStyle name="_List of Schedules - Iron Port_v1" xfId="1527" xr:uid="{00000000-0005-0000-0000-0000E3040000}"/>
    <cellStyle name="_List of Schedules - Iron Port_v1_Acquisition Schedules" xfId="1528" xr:uid="{00000000-0005-0000-0000-0000E4040000}"/>
    <cellStyle name="_l-Section 9 - Discounts" xfId="1529" xr:uid="{00000000-0005-0000-0000-0000E5040000}"/>
    <cellStyle name="_LTB's" xfId="1530" xr:uid="{00000000-0005-0000-0000-0000E6040000}"/>
    <cellStyle name="_Mar FY01 Dashboard - Asia2" xfId="1531" xr:uid="{00000000-0005-0000-0000-0000E7040000}"/>
    <cellStyle name="_Mar FY01 Dashboard - Asia2_Acquisition Schedules" xfId="1532" xr:uid="{00000000-0005-0000-0000-0000E8040000}"/>
    <cellStyle name="_Mar FY01 Dashboard - Asia2_ANZ FY04 Goaling" xfId="1533" xr:uid="{00000000-0005-0000-0000-0000E9040000}"/>
    <cellStyle name="_Mar FY01 Dashboard - Asia2_ANZ FY04 Goaling_Acquisition Schedules" xfId="1534" xr:uid="{00000000-0005-0000-0000-0000EA040000}"/>
    <cellStyle name="_Mar FY01 Dashboard - Asia2_APAC AS Aug'05 WD3 Flash" xfId="1535" xr:uid="{00000000-0005-0000-0000-0000EB040000}"/>
    <cellStyle name="_Mar FY01 Dashboard - Asia2_APAC AS Aug'05 WD3 Flash_Acquisition Schedules" xfId="1536" xr:uid="{00000000-0005-0000-0000-0000EC040000}"/>
    <cellStyle name="_Mar FY01 Dashboard - Asia2_APAC Weekly Commit - FY04Q2W01" xfId="1537" xr:uid="{00000000-0005-0000-0000-0000ED040000}"/>
    <cellStyle name="_Mar FY01 Dashboard - Asia2_APAC Weekly Commit - FY04Q2W01_Acquisition Schedules" xfId="1538" xr:uid="{00000000-0005-0000-0000-0000EE040000}"/>
    <cellStyle name="_Mar FY01 Dashboard - Asia2_AS WD1 Flash Charts - Apr'05" xfId="1539" xr:uid="{00000000-0005-0000-0000-0000EF040000}"/>
    <cellStyle name="_Mar FY01 Dashboard - Asia2_AS WD1 Flash Charts - Apr'05_Acquisition Schedules" xfId="1540" xr:uid="{00000000-0005-0000-0000-0000F0040000}"/>
    <cellStyle name="_Mar FY01 Dashboard - Asia2_AS WD1 Flash Charts - May'05" xfId="1541" xr:uid="{00000000-0005-0000-0000-0000F1040000}"/>
    <cellStyle name="_Mar FY01 Dashboard - Asia2_AS WD1 Flash Charts - May'05_Acquisition Schedules" xfId="1542" xr:uid="{00000000-0005-0000-0000-0000F2040000}"/>
    <cellStyle name="_Mar FY01 Dashboard - Asia2_AS WD3 Flash Charts - Apr'05" xfId="1543" xr:uid="{00000000-0005-0000-0000-0000F3040000}"/>
    <cellStyle name="_Mar FY01 Dashboard - Asia2_AS WD3 Flash Charts - Apr'05_Acquisition Schedules" xfId="1544" xr:uid="{00000000-0005-0000-0000-0000F4040000}"/>
    <cellStyle name="_Mar FY01 Dashboard - Asia2_AS WD3 Flash Charts - Mar'05v1" xfId="1545" xr:uid="{00000000-0005-0000-0000-0000F5040000}"/>
    <cellStyle name="_Mar FY01 Dashboard - Asia2_AS WD3 Flash Charts - Mar'05v1_Acquisition Schedules" xfId="1546" xr:uid="{00000000-0005-0000-0000-0000F6040000}"/>
    <cellStyle name="_Mar FY01 Dashboard - Asia2_CA WD1 Flash Charts - Sep'05" xfId="1547" xr:uid="{00000000-0005-0000-0000-0000F7040000}"/>
    <cellStyle name="_Mar FY01 Dashboard - Asia2_CA WD1 Flash Charts - Sep'05_Acquisition Schedules" xfId="1548" xr:uid="{00000000-0005-0000-0000-0000F8040000}"/>
    <cellStyle name="_Mar FY01 Dashboard - Asia2_Forecast Accuracy &amp; Linearity" xfId="1549" xr:uid="{00000000-0005-0000-0000-0000F9040000}"/>
    <cellStyle name="_Mar FY01 Dashboard - Asia2_Forecast Accuracy &amp; Linearity_Acquisition Schedules" xfId="1550" xr:uid="{00000000-0005-0000-0000-0000FA040000}"/>
    <cellStyle name="_Mar FY01 Dashboard - Asia2_FY04 Korea Goaling" xfId="1551" xr:uid="{00000000-0005-0000-0000-0000FB040000}"/>
    <cellStyle name="_Mar FY01 Dashboard - Asia2_FY04 Korea Goaling_Acquisition Schedules" xfId="1552" xr:uid="{00000000-0005-0000-0000-0000FC040000}"/>
    <cellStyle name="_Mar FY01 Dashboard - Asia2_WD1APAC Summary-26-04-05 FY05 ------1" xfId="1553" xr:uid="{00000000-0005-0000-0000-0000FD040000}"/>
    <cellStyle name="_Mar FY01 Dashboard - Asia2_WD1APAC Summary-26-04-05 FY05 ------1_Acquisition Schedules" xfId="1554" xr:uid="{00000000-0005-0000-0000-0000FE040000}"/>
    <cellStyle name="_Mar FY07 Reconciliation" xfId="1555" xr:uid="{00000000-0005-0000-0000-0000FF040000}"/>
    <cellStyle name="_Mar FY07 Reconciliation 2" xfId="1556" xr:uid="{00000000-0005-0000-0000-000000050000}"/>
    <cellStyle name="_MAR_05AS rev trans Log" xfId="1557" xr:uid="{00000000-0005-0000-0000-000001050000}"/>
    <cellStyle name="_Mar-05 PF Hierarchy" xfId="1558" xr:uid="{00000000-0005-0000-0000-000002050000}"/>
    <cellStyle name="_Mar-05 PF Hierarchy 2" xfId="1559" xr:uid="{00000000-0005-0000-0000-000003050000}"/>
    <cellStyle name="_Mar-05 PF Hierarchy 3" xfId="1560" xr:uid="{00000000-0005-0000-0000-000004050000}"/>
    <cellStyle name="_Mar-05 PF Hierarchy 4" xfId="1561" xr:uid="{00000000-0005-0000-0000-000005050000}"/>
    <cellStyle name="_Mar-05 PF Hierarchy 5" xfId="1562" xr:uid="{00000000-0005-0000-0000-000006050000}"/>
    <cellStyle name="_Mar-05 PF Hierarchy 6" xfId="1563" xr:uid="{00000000-0005-0000-0000-000007050000}"/>
    <cellStyle name="_Mar-05 PF Hierarchy 7" xfId="1564" xr:uid="{00000000-0005-0000-0000-000008050000}"/>
    <cellStyle name="_Margin Forecast Detail FY06 with Net Shipped" xfId="1565" xr:uid="{00000000-0005-0000-0000-000009050000}"/>
    <cellStyle name="_Margin Forecast Detail FY06 with Net Shipped 2" xfId="1566" xr:uid="{00000000-0005-0000-0000-00000A050000}"/>
    <cellStyle name="_Market_Segment_Expense_FY03Q31" xfId="1567" xr:uid="{00000000-0005-0000-0000-00000B050000}"/>
    <cellStyle name="_Market_Segment_Expense_FY03Q31_Acquisition Schedules" xfId="1568" xr:uid="{00000000-0005-0000-0000-00000C050000}"/>
    <cellStyle name="_MarketSegmentPL_FY03Q4" xfId="1569" xr:uid="{00000000-0005-0000-0000-00000D050000}"/>
    <cellStyle name="_MarketSegmentPL_FY03Q4_Acquisition Schedules" xfId="1570" xr:uid="{00000000-0005-0000-0000-00000E050000}"/>
    <cellStyle name="_Master Abbrev Modelv12" xfId="1571" xr:uid="{00000000-0005-0000-0000-00000F050000}"/>
    <cellStyle name="_MAY_05AS rev trans Log" xfId="1572" xr:uid="{00000000-0005-0000-0000-000010050000}"/>
    <cellStyle name="_May-05 PF Hierarchy" xfId="1573" xr:uid="{00000000-0005-0000-0000-000011050000}"/>
    <cellStyle name="_May-05 PF Hierarchy 2" xfId="1574" xr:uid="{00000000-0005-0000-0000-000012050000}"/>
    <cellStyle name="_May-05 PF Hierarchy 3" xfId="1575" xr:uid="{00000000-0005-0000-0000-000013050000}"/>
    <cellStyle name="_May-05 PF Hierarchy 4" xfId="1576" xr:uid="{00000000-0005-0000-0000-000014050000}"/>
    <cellStyle name="_May-05 PF Hierarchy 5" xfId="1577" xr:uid="{00000000-0005-0000-0000-000015050000}"/>
    <cellStyle name="_May-05 PF Hierarchy 6" xfId="1578" xr:uid="{00000000-0005-0000-0000-000016050000}"/>
    <cellStyle name="_May-05 PF Hierarchy 7" xfId="1579" xr:uid="{00000000-0005-0000-0000-000017050000}"/>
    <cellStyle name="_May'08 OH E&amp;O Summary M1 FINAL" xfId="1580" xr:uid="{00000000-0005-0000-0000-000018050000}"/>
    <cellStyle name="_MayFY07 MCP Forecast FINAL" xfId="1581" xr:uid="{00000000-0005-0000-0000-000019050000}"/>
    <cellStyle name="_MayFY07 MCP Forecast FINAL 2" xfId="1582" xr:uid="{00000000-0005-0000-0000-00001A050000}"/>
    <cellStyle name="_Mfg Schedules as of 1.26.07 Values" xfId="1583" xr:uid="{00000000-0005-0000-0000-00001B050000}"/>
    <cellStyle name="_Mfg Schedules as of 1.26.07 Values 2" xfId="1584" xr:uid="{00000000-0005-0000-0000-00001C050000}"/>
    <cellStyle name="_Mfg Schedules as of 3.24.07_values1" xfId="1585" xr:uid="{00000000-0005-0000-0000-00001D050000}"/>
    <cellStyle name="_Mfg Schedules as of 3.24.07_values1 2" xfId="1586" xr:uid="{00000000-0005-0000-0000-00001E050000}"/>
    <cellStyle name="_Mfg Schedules as of 4.27.07 values" xfId="1587" xr:uid="{00000000-0005-0000-0000-00001F050000}"/>
    <cellStyle name="_Mfg Schedules as of 4.27.07 values 2" xfId="1588" xr:uid="{00000000-0005-0000-0000-000020050000}"/>
    <cellStyle name="_Mfg Schedules as of 5.26.07 values" xfId="1589" xr:uid="{00000000-0005-0000-0000-000021050000}"/>
    <cellStyle name="_Mfg Schedules as of 5.26.07 values 2" xfId="1590" xr:uid="{00000000-0005-0000-0000-000022050000}"/>
    <cellStyle name="_Model 032604 Dan Final" xfId="1591" xr:uid="{00000000-0005-0000-0000-000023050000}"/>
    <cellStyle name="_Modem Sales 01 02 07 (2)" xfId="1592" xr:uid="{00000000-0005-0000-0000-000024050000}"/>
    <cellStyle name="_Modem Sales 01 02 07 (2) 2" xfId="1593" xr:uid="{00000000-0005-0000-0000-000025050000}"/>
    <cellStyle name="_Modem Sales Final Q1'08" xfId="1594" xr:uid="{00000000-0005-0000-0000-000026050000}"/>
    <cellStyle name="_Modem Sales Final Q1'08 2" xfId="1595" xr:uid="{00000000-0005-0000-0000-000027050000}"/>
    <cellStyle name="_Multiple" xfId="1596" xr:uid="{00000000-0005-0000-0000-000028050000}"/>
    <cellStyle name="_Multiple_AVP" xfId="1597" xr:uid="{00000000-0005-0000-0000-000029050000}"/>
    <cellStyle name="_Multiple_Book1" xfId="1598" xr:uid="{00000000-0005-0000-0000-00002A050000}"/>
    <cellStyle name="_Multiple_contribution_analysis" xfId="1599" xr:uid="{00000000-0005-0000-0000-00002B050000}"/>
    <cellStyle name="_Multiple_Financials_v2" xfId="1600" xr:uid="{00000000-0005-0000-0000-00002C050000}"/>
    <cellStyle name="_MultipleSpace" xfId="1601" xr:uid="{00000000-0005-0000-0000-00002D050000}"/>
    <cellStyle name="_MultipleSpace_AVP" xfId="1602" xr:uid="{00000000-0005-0000-0000-00002E050000}"/>
    <cellStyle name="_MultipleSpace_Book1" xfId="1603" xr:uid="{00000000-0005-0000-0000-00002F050000}"/>
    <cellStyle name="_MultipleSpace_contribution_analysis" xfId="1604" xr:uid="{00000000-0005-0000-0000-000030050000}"/>
    <cellStyle name="_MultipleSpace_DCF_format" xfId="1605" xr:uid="{00000000-0005-0000-0000-000031050000}"/>
    <cellStyle name="_MultipleSpace_Financials_v2" xfId="1606" xr:uid="{00000000-0005-0000-0000-000032050000}"/>
    <cellStyle name="_Net Suite Bookings Q106 to 5_31_07 for Cisco Goaling v2" xfId="1607" xr:uid="{00000000-0005-0000-0000-000033050000}"/>
    <cellStyle name="_NEW AABU FORECAST 110906" xfId="1608" xr:uid="{00000000-0005-0000-0000-000034050000}"/>
    <cellStyle name="_NEW AABU FORECAST 110906 2" xfId="1609" xr:uid="{00000000-0005-0000-0000-000035050000}"/>
    <cellStyle name="_NMS GM% Dec Vs Mar Qtd FY07 Act" xfId="1610" xr:uid="{00000000-0005-0000-0000-000036050000}"/>
    <cellStyle name="_Nov FY07" xfId="1611" xr:uid="{00000000-0005-0000-0000-000037050000}"/>
    <cellStyle name="_Nov FY07 2" xfId="1612" xr:uid="{00000000-0005-0000-0000-000038050000}"/>
    <cellStyle name="_Nov FY08 Reconciliation" xfId="1613" xr:uid="{00000000-0005-0000-0000-000039050000}"/>
    <cellStyle name="_Nov FY08 Reconciliation 2" xfId="1614" xr:uid="{00000000-0005-0000-0000-00003A050000}"/>
    <cellStyle name="_Nov-05 OH Reserve" xfId="1615" xr:uid="{00000000-0005-0000-0000-00003B050000}"/>
    <cellStyle name="_Nov-05 OH Reserve 2" xfId="1616" xr:uid="{00000000-0005-0000-0000-00003C050000}"/>
    <cellStyle name="_Nov-05 OH Reserve 3" xfId="1617" xr:uid="{00000000-0005-0000-0000-00003D050000}"/>
    <cellStyle name="_Nov-05 OH Reserve 4" xfId="1618" xr:uid="{00000000-0005-0000-0000-00003E050000}"/>
    <cellStyle name="_Nov-05 OH Reserve 5" xfId="1619" xr:uid="{00000000-0005-0000-0000-00003F050000}"/>
    <cellStyle name="_Nov-05 OH Reserve 6" xfId="1620" xr:uid="{00000000-0005-0000-0000-000040050000}"/>
    <cellStyle name="_Nov-05 OH Reserve 7" xfId="1621" xr:uid="{00000000-0005-0000-0000-000041050000}"/>
    <cellStyle name="_Nov-06 PF Hierarchy" xfId="1622" xr:uid="{00000000-0005-0000-0000-000042050000}"/>
    <cellStyle name="_Nov-06 PF Hierarchy 2" xfId="1623" xr:uid="{00000000-0005-0000-0000-000043050000}"/>
    <cellStyle name="_Nov-06 PF Hierarchy 3" xfId="1624" xr:uid="{00000000-0005-0000-0000-000044050000}"/>
    <cellStyle name="_Nov-06 PF Hierarchy 4" xfId="1625" xr:uid="{00000000-0005-0000-0000-000045050000}"/>
    <cellStyle name="_Nov-06 PF Hierarchy 5" xfId="1626" xr:uid="{00000000-0005-0000-0000-000046050000}"/>
    <cellStyle name="_Nov-06 PF Hierarchy 6" xfId="1627" xr:uid="{00000000-0005-0000-0000-000047050000}"/>
    <cellStyle name="_Nov-06 PF Hierarchy 7" xfId="1628" xr:uid="{00000000-0005-0000-0000-000048050000}"/>
    <cellStyle name="_Nov'08 Close Controller Review" xfId="1629" xr:uid="{00000000-0005-0000-0000-000049050000}"/>
    <cellStyle name="_Nov'08 OH E&amp;O Summary M1 FINAL" xfId="1630" xr:uid="{00000000-0005-0000-0000-00004A050000}"/>
    <cellStyle name="_November Other Reserves" xfId="1631" xr:uid="{00000000-0005-0000-0000-00004B050000}"/>
    <cellStyle name="_Oct FY07" xfId="1632" xr:uid="{00000000-0005-0000-0000-00004C050000}"/>
    <cellStyle name="_Oct FY07 2" xfId="1633" xr:uid="{00000000-0005-0000-0000-00004D050000}"/>
    <cellStyle name="_Opex Consolidation1" xfId="1634" xr:uid="{00000000-0005-0000-0000-00004E050000}"/>
    <cellStyle name="_Ops Review - FY04" xfId="1635" xr:uid="{00000000-0005-0000-0000-00004F050000}"/>
    <cellStyle name="_OPS REVIEW WORKBOOK" xfId="1636" xr:uid="{00000000-0005-0000-0000-000050050000}"/>
    <cellStyle name="_OPS REVIEW WORKBOOK_Acquisition Schedules" xfId="1637" xr:uid="{00000000-0005-0000-0000-000051050000}"/>
    <cellStyle name="_Other Reserves and Buydown" xfId="1638" xr:uid="{00000000-0005-0000-0000-000052050000}"/>
    <cellStyle name="_Overhead" xfId="1639" xr:uid="{00000000-0005-0000-0000-000053050000}"/>
    <cellStyle name="_P10 May FY02 ASIA PAC BOOK FCST - FINAL" xfId="1640" xr:uid="{00000000-0005-0000-0000-000054050000}"/>
    <cellStyle name="_P12 Jul FY03 ASIA PAC BOOK FCST - Final" xfId="1641" xr:uid="{00000000-0005-0000-0000-000055050000}"/>
    <cellStyle name="_P12 Jul'04 AS APAC Mgmt Report" xfId="1642" xr:uid="{00000000-0005-0000-0000-000056050000}"/>
    <cellStyle name="_P12 Jul'04 AS APAC Mgmt Report_Acquisition Schedules" xfId="1643" xr:uid="{00000000-0005-0000-0000-000057050000}"/>
    <cellStyle name="_Percent" xfId="1644" xr:uid="{00000000-0005-0000-0000-000058050000}"/>
    <cellStyle name="_Percent_AVP" xfId="1645" xr:uid="{00000000-0005-0000-0000-000059050000}"/>
    <cellStyle name="_Percent_Book1" xfId="1646" xr:uid="{00000000-0005-0000-0000-00005A050000}"/>
    <cellStyle name="_Percent_contribution_analysis" xfId="1647" xr:uid="{00000000-0005-0000-0000-00005B050000}"/>
    <cellStyle name="_PercentSpace" xfId="1648" xr:uid="{00000000-0005-0000-0000-00005C050000}"/>
    <cellStyle name="_PercentSpace_AVP" xfId="1649" xr:uid="{00000000-0005-0000-0000-00005D050000}"/>
    <cellStyle name="_PercentSpace_Book1" xfId="1650" xr:uid="{00000000-0005-0000-0000-00005E050000}"/>
    <cellStyle name="_PercentSpace_contribution_analysis" xfId="1651" xr:uid="{00000000-0005-0000-0000-00005F050000}"/>
    <cellStyle name="_PL by theatre3" xfId="1652" xr:uid="{00000000-0005-0000-0000-000060050000}"/>
    <cellStyle name="_PL by theatre3 2" xfId="1653" xr:uid="{00000000-0005-0000-0000-000061050000}"/>
    <cellStyle name="_PL by theatre3 3" xfId="1654" xr:uid="{00000000-0005-0000-0000-000062050000}"/>
    <cellStyle name="_PL by theatre3 4" xfId="1655" xr:uid="{00000000-0005-0000-0000-000063050000}"/>
    <cellStyle name="_PL by theatre3 5" xfId="1656" xr:uid="{00000000-0005-0000-0000-000064050000}"/>
    <cellStyle name="_PL by theatre3 6" xfId="1657" xr:uid="{00000000-0005-0000-0000-000065050000}"/>
    <cellStyle name="_PL by theatre3 7" xfId="1658" xr:uid="{00000000-0005-0000-0000-000066050000}"/>
    <cellStyle name="_PL by theatre3 8" xfId="1659" xr:uid="{00000000-0005-0000-0000-000067050000}"/>
    <cellStyle name="_PL by theatre3_Acquisition Schedules" xfId="1660" xr:uid="{00000000-0005-0000-0000-000068050000}"/>
    <cellStyle name="_PRC-FY02 Regoal details" xfId="1661" xr:uid="{00000000-0005-0000-0000-000069050000}"/>
    <cellStyle name="_prelim bridges" xfId="1662" xr:uid="{00000000-0005-0000-0000-00006A050000}"/>
    <cellStyle name="_Q1'06 P&amp;L - August Update V2" xfId="1663" xr:uid="{00000000-0005-0000-0000-00006B050000}"/>
    <cellStyle name="_Q1'06 P&amp;L - August Update V2_Acquisition Schedules" xfId="1664" xr:uid="{00000000-0005-0000-0000-00006C050000}"/>
    <cellStyle name="_Q1'06 P&amp;L - August Update V2_Japan_Top_Deals_by_Theater_Profile_Sep_wk3" xfId="1665" xr:uid="{00000000-0005-0000-0000-00006D050000}"/>
    <cellStyle name="_Q1'06 P&amp;L - August Update V2_Japan_Top_Deals_by_Theater_Profile_Sep_wk3_Acquisition Schedules" xfId="1666" xr:uid="{00000000-0005-0000-0000-00006E050000}"/>
    <cellStyle name="_Q1'06 P&amp;L - August Update V2_Japan_Top_Deals_Q2_Wk4 (2)" xfId="1667" xr:uid="{00000000-0005-0000-0000-00006F050000}"/>
    <cellStyle name="_Q1'06 P&amp;L - August Update V2_Japan_Top_Deals_Q2_Wk4 (2)_Acquisition Schedules" xfId="1668" xr:uid="{00000000-0005-0000-0000-000070050000}"/>
    <cellStyle name="_Q1'06 P&amp;L - August Update V2_Japan_Top_Deals_Q2_Wk7" xfId="1669" xr:uid="{00000000-0005-0000-0000-000071050000}"/>
    <cellStyle name="_Q1'06 P&amp;L - August Update V2_Japan_Top_Deals_Q2_Wk7_Acquisition Schedules" xfId="1670" xr:uid="{00000000-0005-0000-0000-000072050000}"/>
    <cellStyle name="_Q1'06 Rev  COGS Forecast-Oct06 Final" xfId="1671" xr:uid="{00000000-0005-0000-0000-000073050000}"/>
    <cellStyle name="_Q107 Revenue Highlights" xfId="1672" xr:uid="{00000000-0005-0000-0000-000074050000}"/>
    <cellStyle name="_Q108 SBM COST WORK FILE IS UPLOAD" xfId="1673" xr:uid="{00000000-0005-0000-0000-000075050000}"/>
    <cellStyle name="_Q108WK-5" xfId="1674" xr:uid="{00000000-0005-0000-0000-000076050000}"/>
    <cellStyle name="_Q2 PL and Rev Forecast -- JANUARY 2006 WWSP-Q2 (3)" xfId="1675" xr:uid="{00000000-0005-0000-0000-000077050000}"/>
    <cellStyle name="_Q2 PL and Rev Forecast -- JANUARY 2006 WWSP-Q2 (3)_Acquisition Schedules" xfId="1676" xr:uid="{00000000-0005-0000-0000-000078050000}"/>
    <cellStyle name="_Q2_Bkgs_Bridge_Nov021" xfId="1677" xr:uid="{00000000-0005-0000-0000-000079050000}"/>
    <cellStyle name="_Q2_Bkgs_Bridge_Nov021_Acquisition Schedules" xfId="1678" xr:uid="{00000000-0005-0000-0000-00007A050000}"/>
    <cellStyle name="_Q2_Bkgs_Bridge_Nov021_ANZ FY04 Goaling" xfId="1679" xr:uid="{00000000-0005-0000-0000-00007B050000}"/>
    <cellStyle name="_Q2_Bkgs_Bridge_Nov021_ANZ FY04 Goaling_Acquisition Schedules" xfId="1680" xr:uid="{00000000-0005-0000-0000-00007C050000}"/>
    <cellStyle name="_Q2_Bkgs_Bridge_Nov021_APAC AS Aug'05 WD3 Flash" xfId="1681" xr:uid="{00000000-0005-0000-0000-00007D050000}"/>
    <cellStyle name="_Q2_Bkgs_Bridge_Nov021_APAC AS Aug'05 WD3 Flash_Acquisition Schedules" xfId="1682" xr:uid="{00000000-0005-0000-0000-00007E050000}"/>
    <cellStyle name="_Q2_Bkgs_Bridge_Nov021_APAC Support Bookings - May03" xfId="1683" xr:uid="{00000000-0005-0000-0000-00007F050000}"/>
    <cellStyle name="_Q2_Bkgs_Bridge_Nov021_APAC Support Bookings - May03_Acquisition Schedules" xfId="1684" xr:uid="{00000000-0005-0000-0000-000080050000}"/>
    <cellStyle name="_Q2_Bkgs_Bridge_Nov021_APAC Weekly Commit - FY04Q2W01" xfId="1685" xr:uid="{00000000-0005-0000-0000-000081050000}"/>
    <cellStyle name="_Q2_Bkgs_Bridge_Nov021_APAC Weekly Commit - FY04Q2W01_Acquisition Schedules" xfId="1686" xr:uid="{00000000-0005-0000-0000-000082050000}"/>
    <cellStyle name="_Q2_Bkgs_Bridge_Nov021_AS WD1 Flash Charts - Apr'05" xfId="1687" xr:uid="{00000000-0005-0000-0000-000083050000}"/>
    <cellStyle name="_Q2_Bkgs_Bridge_Nov021_AS WD1 Flash Charts - Apr'05_Acquisition Schedules" xfId="1688" xr:uid="{00000000-0005-0000-0000-000084050000}"/>
    <cellStyle name="_Q2_Bkgs_Bridge_Nov021_AS WD1 Flash Charts - May'05" xfId="1689" xr:uid="{00000000-0005-0000-0000-000085050000}"/>
    <cellStyle name="_Q2_Bkgs_Bridge_Nov021_AS WD1 Flash Charts - May'05_Acquisition Schedules" xfId="1690" xr:uid="{00000000-0005-0000-0000-000086050000}"/>
    <cellStyle name="_Q2_Bkgs_Bridge_Nov021_AS WD3 Flash Charts - Apr'05" xfId="1691" xr:uid="{00000000-0005-0000-0000-000087050000}"/>
    <cellStyle name="_Q2_Bkgs_Bridge_Nov021_AS WD3 Flash Charts - Apr'05_Acquisition Schedules" xfId="1692" xr:uid="{00000000-0005-0000-0000-000088050000}"/>
    <cellStyle name="_Q2_Bkgs_Bridge_Nov021_AS WD3 Flash Charts - Mar'05v1" xfId="1693" xr:uid="{00000000-0005-0000-0000-000089050000}"/>
    <cellStyle name="_Q2_Bkgs_Bridge_Nov021_AS WD3 Flash Charts - Mar'05v1_Acquisition Schedules" xfId="1694" xr:uid="{00000000-0005-0000-0000-00008A050000}"/>
    <cellStyle name="_Q2_Bkgs_Bridge_Nov021_CA WD1 Flash Charts - Sep'05" xfId="1695" xr:uid="{00000000-0005-0000-0000-00008B050000}"/>
    <cellStyle name="_Q2_Bkgs_Bridge_Nov021_CA WD1 Flash Charts - Sep'05_Acquisition Schedules" xfId="1696" xr:uid="{00000000-0005-0000-0000-00008C050000}"/>
    <cellStyle name="_Q2_Bkgs_Bridge_Nov021_CAWW Bookings Bridge Mar02" xfId="1697" xr:uid="{00000000-0005-0000-0000-00008D050000}"/>
    <cellStyle name="_Q2_Bkgs_Bridge_Nov021_CAWW Bookings Bridge Mar02_Acquisition Schedules" xfId="1698" xr:uid="{00000000-0005-0000-0000-00008E050000}"/>
    <cellStyle name="_Q2_Bkgs_Bridge_Nov021_Forecast Accuracy &amp; Linearity" xfId="1699" xr:uid="{00000000-0005-0000-0000-00008F050000}"/>
    <cellStyle name="_Q2_Bkgs_Bridge_Nov021_Forecast Accuracy &amp; Linearity_Acquisition Schedules" xfId="1700" xr:uid="{00000000-0005-0000-0000-000090050000}"/>
    <cellStyle name="_Q2_Bkgs_Bridge_Nov021_FY04 Korea Goaling" xfId="1701" xr:uid="{00000000-0005-0000-0000-000091050000}"/>
    <cellStyle name="_Q2_Bkgs_Bridge_Nov021_FY04 Korea Goaling_Acquisition Schedules" xfId="1702" xr:uid="{00000000-0005-0000-0000-000092050000}"/>
    <cellStyle name="_Q2_Bkgs_Bridge_Nov021_JAPAN Support Bookings -Aug02" xfId="1703" xr:uid="{00000000-0005-0000-0000-000093050000}"/>
    <cellStyle name="_Q2_Bkgs_Bridge_Nov021_JAPAN Support Bookings -Aug02_Acquisition Schedules" xfId="1704" xr:uid="{00000000-0005-0000-0000-000094050000}"/>
    <cellStyle name="_Q2_Bkgs_Bridge_Nov021_WD1APAC Summary-26-04-05 FY05 ------1" xfId="1705" xr:uid="{00000000-0005-0000-0000-000095050000}"/>
    <cellStyle name="_Q2_Bkgs_Bridge_Nov021_WD1APAC Summary-26-04-05 FY05 ------1_Acquisition Schedules" xfId="1706" xr:uid="{00000000-0005-0000-0000-000096050000}"/>
    <cellStyle name="_Q2'03 By Region By Offering FINAL fff_report_new Version2" xfId="1707" xr:uid="{00000000-0005-0000-0000-000097050000}"/>
    <cellStyle name="_Q2'03 By Region By Offering FINAL fff_report_new Version2_Acquisition Schedules" xfId="1708" xr:uid="{00000000-0005-0000-0000-000098050000}"/>
    <cellStyle name="_Q2'03_M1Upd_Bookings_rev_by_TheaterFinal" xfId="1709" xr:uid="{00000000-0005-0000-0000-000099050000}"/>
    <cellStyle name="_Q2'03_M1Upd_Bookings_rev_by_TheaterFinal_Acquisition Schedules" xfId="1710" xr:uid="{00000000-0005-0000-0000-00009A050000}"/>
    <cellStyle name="_Q204 booking vs plan-final" xfId="1711" xr:uid="{00000000-0005-0000-0000-00009B050000}"/>
    <cellStyle name="_Q204 booking vs plan-final_Acquisition Schedules" xfId="1712" xr:uid="{00000000-0005-0000-0000-00009C050000}"/>
    <cellStyle name="_Q2'05 buydown Allocation by PF" xfId="1713" xr:uid="{00000000-0005-0000-0000-00009D050000}"/>
    <cellStyle name="_Q207 Revenue Highlights_Adjusted" xfId="1714" xr:uid="{00000000-0005-0000-0000-00009E050000}"/>
    <cellStyle name="_Q208 Apples to Apples" xfId="1715" xr:uid="{00000000-0005-0000-0000-00009F050000}"/>
    <cellStyle name="_Q208 SBM COST WORK FILE IS UPLOAD" xfId="1716" xr:uid="{00000000-0005-0000-0000-0000A0050000}"/>
    <cellStyle name="_Q2-Q4 Outlook template US-1" xfId="1717" xr:uid="{00000000-0005-0000-0000-0000A1050000}"/>
    <cellStyle name="_Q2-Q4 Outlook template US-1_Acquisition Schedules" xfId="1718" xr:uid="{00000000-0005-0000-0000-0000A2050000}"/>
    <cellStyle name="_Q3 07 Supply chain Bridge Final Version" xfId="1719" xr:uid="{00000000-0005-0000-0000-0000A3050000}"/>
    <cellStyle name="_Q3 Customer Revenue" xfId="1720" xr:uid="{00000000-0005-0000-0000-0000A4050000}"/>
    <cellStyle name="_Q3 Customer Revenue 2" xfId="1721" xr:uid="{00000000-0005-0000-0000-0000A5050000}"/>
    <cellStyle name="_Q3 Customer Revenue 3" xfId="1722" xr:uid="{00000000-0005-0000-0000-0000A6050000}"/>
    <cellStyle name="_Q3 Customer Revenue 4" xfId="1723" xr:uid="{00000000-0005-0000-0000-0000A7050000}"/>
    <cellStyle name="_Q3 Customer Revenue 5" xfId="1724" xr:uid="{00000000-0005-0000-0000-0000A8050000}"/>
    <cellStyle name="_Q3 Customer Revenue 6" xfId="1725" xr:uid="{00000000-0005-0000-0000-0000A9050000}"/>
    <cellStyle name="_Q3 Customer Revenue 7" xfId="1726" xr:uid="{00000000-0005-0000-0000-0000AA050000}"/>
    <cellStyle name="_Q3 Customer Revenue 8" xfId="1727" xr:uid="{00000000-0005-0000-0000-0000AB050000}"/>
    <cellStyle name="_Q3 FY07 Rev_Cogs ADJ FCST-Mar'07 Wk11" xfId="1728" xr:uid="{00000000-0005-0000-0000-0000AC050000}"/>
    <cellStyle name="_Q3 FY07 Rev_Cogs ADJ FCST-Mar'07 Wk13" xfId="1729" xr:uid="{00000000-0005-0000-0000-0000AD050000}"/>
    <cellStyle name="_Q3 P &amp; L" xfId="1730" xr:uid="{00000000-0005-0000-0000-0000AE050000}"/>
    <cellStyle name="_Q3 P &amp; L_Acquisition Schedules" xfId="1731" xr:uid="{00000000-0005-0000-0000-0000AF050000}"/>
    <cellStyle name="_Q3 PL and Rev Forecast -- FEBRUARY 2006 WWSP-Q2" xfId="1732" xr:uid="{00000000-0005-0000-0000-0000B0050000}"/>
    <cellStyle name="_Q3 PL and Rev Forecast -- FEBRUARY 2006 WWSP-Q2_Acquisition Schedules" xfId="1733" xr:uid="{00000000-0005-0000-0000-0000B1050000}"/>
    <cellStyle name="_Q3'02 Ops Call_Feb'02" xfId="1734" xr:uid="{00000000-0005-0000-0000-0000B2050000}"/>
    <cellStyle name="_Q3'02 Ops Call_Feb'02_Acquisition Schedules" xfId="1735" xr:uid="{00000000-0005-0000-0000-0000B3050000}"/>
    <cellStyle name="_Q3'02 Ops Call_Feb'02_ANZ FY04 Goaling" xfId="1736" xr:uid="{00000000-0005-0000-0000-0000B4050000}"/>
    <cellStyle name="_Q3'02 Ops Call_Feb'02_ANZ FY04 Goaling_Acquisition Schedules" xfId="1737" xr:uid="{00000000-0005-0000-0000-0000B5050000}"/>
    <cellStyle name="_Q3'02 Ops Call_Feb'02_APAC AS Aug'05 WD3 Flash" xfId="1738" xr:uid="{00000000-0005-0000-0000-0000B6050000}"/>
    <cellStyle name="_Q3'02 Ops Call_Feb'02_APAC AS Aug'05 WD3 Flash_Acquisition Schedules" xfId="1739" xr:uid="{00000000-0005-0000-0000-0000B7050000}"/>
    <cellStyle name="_Q3'02 Ops Call_Feb'02_APAC Weekly Commit - FY04Q2W01" xfId="1740" xr:uid="{00000000-0005-0000-0000-0000B8050000}"/>
    <cellStyle name="_Q3'02 Ops Call_Feb'02_APAC Weekly Commit - FY04Q2W01_Acquisition Schedules" xfId="1741" xr:uid="{00000000-0005-0000-0000-0000B9050000}"/>
    <cellStyle name="_Q3'02 Ops Call_Feb'02_AS WD1 Flash Charts - Apr'05" xfId="1742" xr:uid="{00000000-0005-0000-0000-0000BA050000}"/>
    <cellStyle name="_Q3'02 Ops Call_Feb'02_AS WD1 Flash Charts - Apr'05_Acquisition Schedules" xfId="1743" xr:uid="{00000000-0005-0000-0000-0000BB050000}"/>
    <cellStyle name="_Q3'02 Ops Call_Feb'02_AS WD1 Flash Charts - May'05" xfId="1744" xr:uid="{00000000-0005-0000-0000-0000BC050000}"/>
    <cellStyle name="_Q3'02 Ops Call_Feb'02_AS WD1 Flash Charts - May'05_Acquisition Schedules" xfId="1745" xr:uid="{00000000-0005-0000-0000-0000BD050000}"/>
    <cellStyle name="_Q3'02 Ops Call_Feb'02_AS WD3 Flash Charts - Apr'05" xfId="1746" xr:uid="{00000000-0005-0000-0000-0000BE050000}"/>
    <cellStyle name="_Q3'02 Ops Call_Feb'02_AS WD3 Flash Charts - Apr'05_Acquisition Schedules" xfId="1747" xr:uid="{00000000-0005-0000-0000-0000BF050000}"/>
    <cellStyle name="_Q3'02 Ops Call_Feb'02_AS WD3 Flash Charts - Mar'05v1" xfId="1748" xr:uid="{00000000-0005-0000-0000-0000C0050000}"/>
    <cellStyle name="_Q3'02 Ops Call_Feb'02_AS WD3 Flash Charts - Mar'05v1_Acquisition Schedules" xfId="1749" xr:uid="{00000000-0005-0000-0000-0000C1050000}"/>
    <cellStyle name="_Q3'02 Ops Call_Feb'02_CA WD1 Flash Charts - Sep'05" xfId="1750" xr:uid="{00000000-0005-0000-0000-0000C2050000}"/>
    <cellStyle name="_Q3'02 Ops Call_Feb'02_CA WD1 Flash Charts - Sep'05_Acquisition Schedules" xfId="1751" xr:uid="{00000000-0005-0000-0000-0000C3050000}"/>
    <cellStyle name="_Q3'02 Ops Call_Feb'02_Forecast Accuracy &amp; Linearity" xfId="1752" xr:uid="{00000000-0005-0000-0000-0000C4050000}"/>
    <cellStyle name="_Q3'02 Ops Call_Feb'02_Forecast Accuracy &amp; Linearity_Acquisition Schedules" xfId="1753" xr:uid="{00000000-0005-0000-0000-0000C5050000}"/>
    <cellStyle name="_Q3'02 Ops Call_Feb'02_FY04 Korea Goaling" xfId="1754" xr:uid="{00000000-0005-0000-0000-0000C6050000}"/>
    <cellStyle name="_Q3'02 Ops Call_Feb'02_FY04 Korea Goaling_Acquisition Schedules" xfId="1755" xr:uid="{00000000-0005-0000-0000-0000C7050000}"/>
    <cellStyle name="_Q3'02 Ops Call_Feb'02_WD1APAC Summary-26-04-05 FY05 ------1" xfId="1756" xr:uid="{00000000-0005-0000-0000-0000C8050000}"/>
    <cellStyle name="_Q3'02 Ops Call_Feb'02_WD1APAC Summary-26-04-05 FY05 ------1_Acquisition Schedules" xfId="1757" xr:uid="{00000000-0005-0000-0000-0000C9050000}"/>
    <cellStyle name="_Q3'02 Ops Commit Call_Jan'02" xfId="1758" xr:uid="{00000000-0005-0000-0000-0000CA050000}"/>
    <cellStyle name="_Q3'02 Ops Commit Call_Jan'02_Acquisition Schedules" xfId="1759" xr:uid="{00000000-0005-0000-0000-0000CB050000}"/>
    <cellStyle name="_Q3'02 Ops Commit Call_Jan'02_ANZ FY04 Goaling" xfId="1760" xr:uid="{00000000-0005-0000-0000-0000CC050000}"/>
    <cellStyle name="_Q3'02 Ops Commit Call_Jan'02_ANZ FY04 Goaling_Acquisition Schedules" xfId="1761" xr:uid="{00000000-0005-0000-0000-0000CD050000}"/>
    <cellStyle name="_Q3'02 Ops Commit Call_Jan'02_APAC AS Aug'05 WD3 Flash" xfId="1762" xr:uid="{00000000-0005-0000-0000-0000CE050000}"/>
    <cellStyle name="_Q3'02 Ops Commit Call_Jan'02_APAC AS Aug'05 WD3 Flash_Acquisition Schedules" xfId="1763" xr:uid="{00000000-0005-0000-0000-0000CF050000}"/>
    <cellStyle name="_Q3'02 Ops Commit Call_Jan'02_APAC Weekly Commit - FY04Q2W01" xfId="1764" xr:uid="{00000000-0005-0000-0000-0000D0050000}"/>
    <cellStyle name="_Q3'02 Ops Commit Call_Jan'02_APAC Weekly Commit - FY04Q2W01_Acquisition Schedules" xfId="1765" xr:uid="{00000000-0005-0000-0000-0000D1050000}"/>
    <cellStyle name="_Q3'02 Ops Commit Call_Jan'02_AS WD1 Flash Charts - Apr'05" xfId="1766" xr:uid="{00000000-0005-0000-0000-0000D2050000}"/>
    <cellStyle name="_Q3'02 Ops Commit Call_Jan'02_AS WD1 Flash Charts - Apr'05_Acquisition Schedules" xfId="1767" xr:uid="{00000000-0005-0000-0000-0000D3050000}"/>
    <cellStyle name="_Q3'02 Ops Commit Call_Jan'02_AS WD1 Flash Charts - May'05" xfId="1768" xr:uid="{00000000-0005-0000-0000-0000D4050000}"/>
    <cellStyle name="_Q3'02 Ops Commit Call_Jan'02_AS WD1 Flash Charts - May'05_Acquisition Schedules" xfId="1769" xr:uid="{00000000-0005-0000-0000-0000D5050000}"/>
    <cellStyle name="_Q3'02 Ops Commit Call_Jan'02_AS WD3 Flash Charts - Apr'05" xfId="1770" xr:uid="{00000000-0005-0000-0000-0000D6050000}"/>
    <cellStyle name="_Q3'02 Ops Commit Call_Jan'02_AS WD3 Flash Charts - Apr'05_Acquisition Schedules" xfId="1771" xr:uid="{00000000-0005-0000-0000-0000D7050000}"/>
    <cellStyle name="_Q3'02 Ops Commit Call_Jan'02_AS WD3 Flash Charts - Mar'05v1" xfId="1772" xr:uid="{00000000-0005-0000-0000-0000D8050000}"/>
    <cellStyle name="_Q3'02 Ops Commit Call_Jan'02_AS WD3 Flash Charts - Mar'05v1_Acquisition Schedules" xfId="1773" xr:uid="{00000000-0005-0000-0000-0000D9050000}"/>
    <cellStyle name="_Q3'02 Ops Commit Call_Jan'02_CA WD1 Flash Charts - Sep'05" xfId="1774" xr:uid="{00000000-0005-0000-0000-0000DA050000}"/>
    <cellStyle name="_Q3'02 Ops Commit Call_Jan'02_CA WD1 Flash Charts - Sep'05_Acquisition Schedules" xfId="1775" xr:uid="{00000000-0005-0000-0000-0000DB050000}"/>
    <cellStyle name="_Q3'02 Ops Commit Call_Jan'02_Forecast Accuracy &amp; Linearity" xfId="1776" xr:uid="{00000000-0005-0000-0000-0000DC050000}"/>
    <cellStyle name="_Q3'02 Ops Commit Call_Jan'02_Forecast Accuracy &amp; Linearity_Acquisition Schedules" xfId="1777" xr:uid="{00000000-0005-0000-0000-0000DD050000}"/>
    <cellStyle name="_Q3'02 Ops Commit Call_Jan'02_FY04 Korea Goaling" xfId="1778" xr:uid="{00000000-0005-0000-0000-0000DE050000}"/>
    <cellStyle name="_Q3'02 Ops Commit Call_Jan'02_FY04 Korea Goaling_Acquisition Schedules" xfId="1779" xr:uid="{00000000-0005-0000-0000-0000DF050000}"/>
    <cellStyle name="_Q3'02 Ops Commit Call_Jan'02_WD1APAC Summary-26-04-05 FY05 ------1" xfId="1780" xr:uid="{00000000-0005-0000-0000-0000E0050000}"/>
    <cellStyle name="_Q3'02 Ops Commit Call_Jan'02_WD1APAC Summary-26-04-05 FY05 ------1_Acquisition Schedules" xfId="1781" xr:uid="{00000000-0005-0000-0000-0000E1050000}"/>
    <cellStyle name="_Q302 weeklybookings_Q3 Wk5" xfId="1782" xr:uid="{00000000-0005-0000-0000-0000E2050000}"/>
    <cellStyle name="_Q302 weeklybookings_Q3 Wk9" xfId="1783" xr:uid="{00000000-0005-0000-0000-0000E3050000}"/>
    <cellStyle name="_Q3'06 Bookings Summary" xfId="1784" xr:uid="{00000000-0005-0000-0000-0000E4050000}"/>
    <cellStyle name="_Q3'06 Bookings Summary_Acquisition Schedules" xfId="1785" xr:uid="{00000000-0005-0000-0000-0000E5050000}"/>
    <cellStyle name="_Q307 SBM COST WORK FILE IS UPLOAD" xfId="1786" xr:uid="{00000000-0005-0000-0000-0000E6050000}"/>
    <cellStyle name="_Q3FY07 Wk5 Non 2 Tier New Format-FINAL VER " xfId="1787" xr:uid="{00000000-0005-0000-0000-0000E7050000}"/>
    <cellStyle name="_Q4 FY03 WW Renewal Update_MAY" xfId="1788" xr:uid="{00000000-0005-0000-0000-0000E8050000}"/>
    <cellStyle name="_Q4 FY03 WW Renewal Update_MAY_Acquisition Schedules" xfId="1789" xr:uid="{00000000-0005-0000-0000-0000E9050000}"/>
    <cellStyle name="_Q4 FY03 WW Renewal Update_MAY_APAC AS Aug'05 WD3 Flash" xfId="1790" xr:uid="{00000000-0005-0000-0000-0000EA050000}"/>
    <cellStyle name="_Q4 FY03 WW Renewal Update_MAY_APAC AS Aug'05 WD3 Flash_Acquisition Schedules" xfId="1791" xr:uid="{00000000-0005-0000-0000-0000EB050000}"/>
    <cellStyle name="_Q4 FY03 WW Renewal Update_MAY_AS Variance Analysis_Aug07" xfId="1792" xr:uid="{00000000-0005-0000-0000-0000EC050000}"/>
    <cellStyle name="_Q4 FY03 WW Renewal Update_MAY_AS Variance Analysis_Aug07_Acquisition Schedules" xfId="1793" xr:uid="{00000000-0005-0000-0000-0000ED050000}"/>
    <cellStyle name="_Q4 FY03 WW Renewal Update_MAY_AS WD1 Flash Charts - Apr'05" xfId="1794" xr:uid="{00000000-0005-0000-0000-0000EE050000}"/>
    <cellStyle name="_Q4 FY03 WW Renewal Update_MAY_AS WD1 Flash Charts - Apr'05_Acquisition Schedules" xfId="1795" xr:uid="{00000000-0005-0000-0000-0000EF050000}"/>
    <cellStyle name="_Q4 FY03 WW Renewal Update_MAY_AS WD1 Flash Charts - May'05" xfId="1796" xr:uid="{00000000-0005-0000-0000-0000F0050000}"/>
    <cellStyle name="_Q4 FY03 WW Renewal Update_MAY_AS WD1 Flash Charts - May'05_Acquisition Schedules" xfId="1797" xr:uid="{00000000-0005-0000-0000-0000F1050000}"/>
    <cellStyle name="_Q4 FY03 WW Renewal Update_MAY_AS WD3 Flash Charts - Apr'05" xfId="1798" xr:uid="{00000000-0005-0000-0000-0000F2050000}"/>
    <cellStyle name="_Q4 FY03 WW Renewal Update_MAY_AS WD3 Flash Charts - Apr'05_Acquisition Schedules" xfId="1799" xr:uid="{00000000-0005-0000-0000-0000F3050000}"/>
    <cellStyle name="_Q4 FY03 WW Renewal Update_MAY_AS WD3 Flash Charts - Mar'05v1" xfId="1800" xr:uid="{00000000-0005-0000-0000-0000F4050000}"/>
    <cellStyle name="_Q4 FY03 WW Renewal Update_MAY_AS WD3 Flash Charts - Mar'05v1_Acquisition Schedules" xfId="1801" xr:uid="{00000000-0005-0000-0000-0000F5050000}"/>
    <cellStyle name="_Q4 FY03 WW Renewal Update_MAY_CA WD1 Flash Charts - Sep'05" xfId="1802" xr:uid="{00000000-0005-0000-0000-0000F6050000}"/>
    <cellStyle name="_Q4 FY03 WW Renewal Update_MAY_CA WD1 Flash Charts - Sep'05_Acquisition Schedules" xfId="1803" xr:uid="{00000000-0005-0000-0000-0000F7050000}"/>
    <cellStyle name="_Q4 FY03 WW Renewal Update_MAY_Target Template" xfId="1804" xr:uid="{00000000-0005-0000-0000-0000F8050000}"/>
    <cellStyle name="_Q4 FY03 WW Renewal Update_MAY_Target Template_Acquisition Schedules" xfId="1805" xr:uid="{00000000-0005-0000-0000-0000F9050000}"/>
    <cellStyle name="_Q4 FY07 Rev ADJ BOQ" xfId="1806" xr:uid="{00000000-0005-0000-0000-0000FA050000}"/>
    <cellStyle name="_Q4 P&amp;L and Rev Forecast -- JULY 2004 SP-Q4" xfId="1807" xr:uid="{00000000-0005-0000-0000-0000FB050000}"/>
    <cellStyle name="_Q4 P&amp;L and Rev Forecast -- JULY 2004 SP-Q4_Acquisition Schedules" xfId="1808" xr:uid="{00000000-0005-0000-0000-0000FC050000}"/>
    <cellStyle name="_Q402 weeklybookings_Q4 Wk1" xfId="1809" xr:uid="{00000000-0005-0000-0000-0000FD050000}"/>
    <cellStyle name="_Q402 weeklybookings_Q4 Wk5" xfId="1810" xr:uid="{00000000-0005-0000-0000-0000FE050000}"/>
    <cellStyle name="_Q402 weeklybookings_Q4 Wk9" xfId="1811" xr:uid="{00000000-0005-0000-0000-0000FF050000}"/>
    <cellStyle name="_Q405 US Final Commit" xfId="1812" xr:uid="{00000000-0005-0000-0000-000000060000}"/>
    <cellStyle name="_Q405 US Final Commit_Acquisition Schedules" xfId="1813" xr:uid="{00000000-0005-0000-0000-000001060000}"/>
    <cellStyle name="_Q405 US Preliminary Commit v3" xfId="1814" xr:uid="{00000000-0005-0000-0000-000002060000}"/>
    <cellStyle name="_Q405 US Preliminary Commit v3_Acquisition Schedules" xfId="1815" xr:uid="{00000000-0005-0000-0000-000003060000}"/>
    <cellStyle name="_Q406 Apples to Apples_HW-SW-SVC_new segment view" xfId="1816" xr:uid="{00000000-0005-0000-0000-000004060000}"/>
    <cellStyle name="_Q407 Revenue Highlights" xfId="1817" xr:uid="{00000000-0005-0000-0000-000005060000}"/>
    <cellStyle name="_Q407 SBM COST WORK FILE IS UPLOAD" xfId="1818" xr:uid="{00000000-0005-0000-0000-000006060000}"/>
    <cellStyle name="_Raw Data" xfId="1819" xr:uid="{00000000-0005-0000-0000-000007060000}"/>
    <cellStyle name="_Reno P&amp;L1" xfId="1820" xr:uid="{00000000-0005-0000-0000-000008060000}"/>
    <cellStyle name="_Reno P&amp;L1_Acquisition Schedules" xfId="1821" xr:uid="{00000000-0005-0000-0000-000009060000}"/>
    <cellStyle name="_Reno PL1" xfId="1822" xr:uid="{00000000-0005-0000-0000-00000A060000}"/>
    <cellStyle name="_Reno PL1_Acquisition Schedules" xfId="1823" xr:uid="{00000000-0005-0000-0000-00000B060000}"/>
    <cellStyle name="_Restated PL's working file with emerging" xfId="1824" xr:uid="{00000000-0005-0000-0000-00000C060000}"/>
    <cellStyle name="_RESULTS" xfId="1825" xr:uid="{00000000-0005-0000-0000-00000D060000}"/>
    <cellStyle name="_Rev ADJ Data Input Sheet" xfId="1826" xr:uid="{00000000-0005-0000-0000-00000E060000}"/>
    <cellStyle name="_Rev Adj Fcst" xfId="1827" xr:uid="{00000000-0005-0000-0000-00000F060000}"/>
    <cellStyle name="_Rev Adj New" xfId="1828" xr:uid="{00000000-0005-0000-0000-000010060000}"/>
    <cellStyle name="_Revenue Highlights - business segment view_Q406" xfId="1829" xr:uid="{00000000-0005-0000-0000-000011060000}"/>
    <cellStyle name="_Revenue Transfer Analysis_NovFy05a" xfId="1830" xr:uid="{00000000-0005-0000-0000-000012060000}"/>
    <cellStyle name="_Revenue Transfer Analysis_NovFy05a 2" xfId="1831" xr:uid="{00000000-0005-0000-0000-000013060000}"/>
    <cellStyle name="_Revenue Transfer Analysis_NovFy05a 3" xfId="1832" xr:uid="{00000000-0005-0000-0000-000014060000}"/>
    <cellStyle name="_Revenue Transfer Analysis_NovFy05a 4" xfId="1833" xr:uid="{00000000-0005-0000-0000-000015060000}"/>
    <cellStyle name="_Revenue Transfer Analysis_NovFy05a 5" xfId="1834" xr:uid="{00000000-0005-0000-0000-000016060000}"/>
    <cellStyle name="_Revenue Transfer Analysis_NovFy05a 6" xfId="1835" xr:uid="{00000000-0005-0000-0000-000017060000}"/>
    <cellStyle name="_Revenue Transfer Analysis_NovFy05a 7" xfId="1836" xr:uid="{00000000-0005-0000-0000-000018060000}"/>
    <cellStyle name="_Revenue Transfer Analysis_NovFy05a 8" xfId="1837" xr:uid="{00000000-0005-0000-0000-000019060000}"/>
    <cellStyle name="_Revenue Transfer Analysis_NovFy05a_Acquisition Schedules" xfId="1838" xr:uid="{00000000-0005-0000-0000-00001A060000}"/>
    <cellStyle name="_Round Q1'09" xfId="1839" xr:uid="{00000000-0005-0000-0000-00001B060000}"/>
    <cellStyle name="_Round Q1'09_1" xfId="1840" xr:uid="{00000000-0005-0000-0000-00001C060000}"/>
    <cellStyle name="_RSA Revenue by Class and Geo Backlog Bookings Final 10 05 06" xfId="1841" xr:uid="{00000000-0005-0000-0000-00001D060000}"/>
    <cellStyle name="_RSPTG New Excel Template" xfId="1842" xr:uid="{00000000-0005-0000-0000-00001E060000}"/>
    <cellStyle name="_RSPTG New Excel Template 2" xfId="1843" xr:uid="{00000000-0005-0000-0000-00001F060000}"/>
    <cellStyle name="_RSPTG Templates in excel (3)" xfId="1844" xr:uid="{00000000-0005-0000-0000-000020060000}"/>
    <cellStyle name="_RSPTG Templates in excel (3) 2" xfId="1845" xr:uid="{00000000-0005-0000-0000-000021060000}"/>
    <cellStyle name="_Sample" xfId="1846" xr:uid="{00000000-0005-0000-0000-000022060000}"/>
    <cellStyle name="_Sample 2" xfId="1847" xr:uid="{00000000-0005-0000-0000-000023060000}"/>
    <cellStyle name="_Sample 3" xfId="1848" xr:uid="{00000000-0005-0000-0000-000024060000}"/>
    <cellStyle name="_Sample 4" xfId="1849" xr:uid="{00000000-0005-0000-0000-000025060000}"/>
    <cellStyle name="_Sample 5" xfId="1850" xr:uid="{00000000-0005-0000-0000-000026060000}"/>
    <cellStyle name="_Sample 6" xfId="1851" xr:uid="{00000000-0005-0000-0000-000027060000}"/>
    <cellStyle name="_Sample 7" xfId="1852" xr:uid="{00000000-0005-0000-0000-000028060000}"/>
    <cellStyle name="_Sample 8" xfId="1853" xr:uid="{00000000-0005-0000-0000-000029060000}"/>
    <cellStyle name="_Sample_Acquisition Schedules" xfId="1854" xr:uid="{00000000-0005-0000-0000-00002A060000}"/>
    <cellStyle name="_SASIA Goals for GPS (regoal)" xfId="1855" xr:uid="{00000000-0005-0000-0000-00002B060000}"/>
    <cellStyle name="_SASIA Goals for GPS (regoal)_Acquisition Schedules" xfId="1856" xr:uid="{00000000-0005-0000-0000-00002C060000}"/>
    <cellStyle name="_SASIA Goals for GPS (regoal)_APAC AS Aug'05 WD3 Flash" xfId="1857" xr:uid="{00000000-0005-0000-0000-00002D060000}"/>
    <cellStyle name="_SASIA Goals for GPS (regoal)_APAC AS Aug'05 WD3 Flash_Acquisition Schedules" xfId="1858" xr:uid="{00000000-0005-0000-0000-00002E060000}"/>
    <cellStyle name="_SASIA Goals for GPS (regoal)_APAC AS Oct'06 WD3 Flash" xfId="1859" xr:uid="{00000000-0005-0000-0000-00002F060000}"/>
    <cellStyle name="_SASIA Goals for GPS (regoal)_APAC AS Oct'06 WD3 Flash_Acquisition Schedules" xfId="1860" xr:uid="{00000000-0005-0000-0000-000030060000}"/>
    <cellStyle name="_SASIA Goals for GPS (regoal)_APAC Support Bookings - Jun03" xfId="1861" xr:uid="{00000000-0005-0000-0000-000031060000}"/>
    <cellStyle name="_SASIA Goals for GPS (regoal)_APAC Support Bookings - Jun03_Acquisition Schedules" xfId="1862" xr:uid="{00000000-0005-0000-0000-000032060000}"/>
    <cellStyle name="_SASIA Goals for GPS (regoal)_APAC Support Bookings - Jun03_APAC AS Aug'05 WD3 Flash" xfId="1863" xr:uid="{00000000-0005-0000-0000-000033060000}"/>
    <cellStyle name="_SASIA Goals for GPS (regoal)_APAC Support Bookings - Jun03_APAC AS Aug'05 WD3 Flash_Acquisition Schedules" xfId="1864" xr:uid="{00000000-0005-0000-0000-000034060000}"/>
    <cellStyle name="_SASIA Goals for GPS (regoal)_APAC Support Bookings - Jun03_AS Variance Analysis_Aug07" xfId="1865" xr:uid="{00000000-0005-0000-0000-000035060000}"/>
    <cellStyle name="_SASIA Goals for GPS (regoal)_APAC Support Bookings - Jun03_AS Variance Analysis_Aug07_Acquisition Schedules" xfId="1866" xr:uid="{00000000-0005-0000-0000-000036060000}"/>
    <cellStyle name="_SASIA Goals for GPS (regoal)_APAC Support Bookings - Jun03_AS WD1 Flash Charts - Apr'05" xfId="1867" xr:uid="{00000000-0005-0000-0000-000037060000}"/>
    <cellStyle name="_SASIA Goals for GPS (regoal)_APAC Support Bookings - Jun03_AS WD1 Flash Charts - Apr'05_Acquisition Schedules" xfId="1868" xr:uid="{00000000-0005-0000-0000-000038060000}"/>
    <cellStyle name="_SASIA Goals for GPS (regoal)_APAC Support Bookings - Jun03_AS WD1 Flash Charts - May'05" xfId="1869" xr:uid="{00000000-0005-0000-0000-000039060000}"/>
    <cellStyle name="_SASIA Goals for GPS (regoal)_APAC Support Bookings - Jun03_AS WD1 Flash Charts - May'05_Acquisition Schedules" xfId="1870" xr:uid="{00000000-0005-0000-0000-00003A060000}"/>
    <cellStyle name="_SASIA Goals for GPS (regoal)_APAC Support Bookings - Jun03_AS WD3 Flash Charts - Apr'05" xfId="1871" xr:uid="{00000000-0005-0000-0000-00003B060000}"/>
    <cellStyle name="_SASIA Goals for GPS (regoal)_APAC Support Bookings - Jun03_AS WD3 Flash Charts - Apr'05_Acquisition Schedules" xfId="1872" xr:uid="{00000000-0005-0000-0000-00003C060000}"/>
    <cellStyle name="_SASIA Goals for GPS (regoal)_APAC Support Bookings - Jun03_AS WD3 Flash Charts - Mar'05v1" xfId="1873" xr:uid="{00000000-0005-0000-0000-00003D060000}"/>
    <cellStyle name="_SASIA Goals for GPS (regoal)_APAC Support Bookings - Jun03_AS WD3 Flash Charts - Mar'05v1_Acquisition Schedules" xfId="1874" xr:uid="{00000000-0005-0000-0000-00003E060000}"/>
    <cellStyle name="_SASIA Goals for GPS (regoal)_APAC Support Bookings - Jun03_CA WD1 Flash Charts - Sep'05" xfId="1875" xr:uid="{00000000-0005-0000-0000-00003F060000}"/>
    <cellStyle name="_SASIA Goals for GPS (regoal)_APAC Support Bookings - Jun03_CA WD1 Flash Charts - Sep'05_Acquisition Schedules" xfId="1876" xr:uid="{00000000-0005-0000-0000-000040060000}"/>
    <cellStyle name="_SASIA Goals for GPS (regoal)_APAC Support Bookings - Jun03_Target Template" xfId="1877" xr:uid="{00000000-0005-0000-0000-000041060000}"/>
    <cellStyle name="_SASIA Goals for GPS (regoal)_APAC Support Bookings - Jun03_Target Template_Acquisition Schedules" xfId="1878" xr:uid="{00000000-0005-0000-0000-000042060000}"/>
    <cellStyle name="_SASIA Goals for GPS (regoal)_APAC Weekly Commit - FY04Q2W01" xfId="1879" xr:uid="{00000000-0005-0000-0000-000043060000}"/>
    <cellStyle name="_SASIA Goals for GPS (regoal)_APAC Weekly Commit - FY04Q2W01_Acquisition Schedules" xfId="1880" xr:uid="{00000000-0005-0000-0000-000044060000}"/>
    <cellStyle name="_SASIA Goals for GPS (regoal)_AS Variance Analysis_Aug07" xfId="1881" xr:uid="{00000000-0005-0000-0000-000045060000}"/>
    <cellStyle name="_SASIA Goals for GPS (regoal)_AS Variance Analysis_Aug07_Acquisition Schedules" xfId="1882" xr:uid="{00000000-0005-0000-0000-000046060000}"/>
    <cellStyle name="_SASIA Goals for GPS (regoal)_AS WD1 Flash Charts - Apr'05" xfId="1883" xr:uid="{00000000-0005-0000-0000-000047060000}"/>
    <cellStyle name="_SASIA Goals for GPS (regoal)_AS WD1 Flash Charts - Apr'05_Acquisition Schedules" xfId="1884" xr:uid="{00000000-0005-0000-0000-000048060000}"/>
    <cellStyle name="_SASIA Goals for GPS (regoal)_AS WD1 Flash Charts - May'05" xfId="1885" xr:uid="{00000000-0005-0000-0000-000049060000}"/>
    <cellStyle name="_SASIA Goals for GPS (regoal)_AS WD1 Flash Charts - May'05_Acquisition Schedules" xfId="1886" xr:uid="{00000000-0005-0000-0000-00004A060000}"/>
    <cellStyle name="_SASIA Goals for GPS (regoal)_AS WD3 Flash Charts - Apr'05" xfId="1887" xr:uid="{00000000-0005-0000-0000-00004B060000}"/>
    <cellStyle name="_SASIA Goals for GPS (regoal)_AS WD3 Flash Charts - Apr'05_Acquisition Schedules" xfId="1888" xr:uid="{00000000-0005-0000-0000-00004C060000}"/>
    <cellStyle name="_SASIA Goals for GPS (regoal)_AS WD3 Flash Charts - Mar'05v1" xfId="1889" xr:uid="{00000000-0005-0000-0000-00004D060000}"/>
    <cellStyle name="_SASIA Goals for GPS (regoal)_AS WD3 Flash Charts - Mar'05v1_Acquisition Schedules" xfId="1890" xr:uid="{00000000-0005-0000-0000-00004E060000}"/>
    <cellStyle name="_SASIA Goals for GPS (regoal)_CA WD1 Flash Charts - Sep'05" xfId="1891" xr:uid="{00000000-0005-0000-0000-00004F060000}"/>
    <cellStyle name="_SASIA Goals for GPS (regoal)_CA WD1 Flash Charts - Sep'05_Acquisition Schedules" xfId="1892" xr:uid="{00000000-0005-0000-0000-000050060000}"/>
    <cellStyle name="_SASIA Goals for GPS (regoal)_Forecast Accuracy &amp; Linearity" xfId="1893" xr:uid="{00000000-0005-0000-0000-000051060000}"/>
    <cellStyle name="_SASIA Goals for GPS (regoal)_Forecast Accuracy &amp; Linearity_Acquisition Schedules" xfId="1894" xr:uid="{00000000-0005-0000-0000-000052060000}"/>
    <cellStyle name="_SASIA Goals for GPS (regoal)_FY04 Korea Goaling" xfId="1895" xr:uid="{00000000-0005-0000-0000-000053060000}"/>
    <cellStyle name="_SASIA Goals for GPS (regoal)_FY04 Korea Goaling_Acquisition Schedules" xfId="1896" xr:uid="{00000000-0005-0000-0000-000054060000}"/>
    <cellStyle name="_SASIA Goals for GPS (regoal)_Q3'02 Ops Call_Feb'021  Korea" xfId="1897" xr:uid="{00000000-0005-0000-0000-000055060000}"/>
    <cellStyle name="_SASIA Goals for GPS (regoal)_Q3'02 Ops Call_Feb'021  Korea_Acquisition Schedules" xfId="1898" xr:uid="{00000000-0005-0000-0000-000056060000}"/>
    <cellStyle name="_SASIA Goals for GPS (regoal)_Q3'02 Ops Call_Feb'021  Korea_ANZ FY04 Goaling" xfId="1899" xr:uid="{00000000-0005-0000-0000-000057060000}"/>
    <cellStyle name="_SASIA Goals for GPS (regoal)_Q3'02 Ops Call_Feb'021  Korea_ANZ FY04 Goaling_Acquisition Schedules" xfId="1900" xr:uid="{00000000-0005-0000-0000-000058060000}"/>
    <cellStyle name="_SASIA Goals for GPS (regoal)_Q3'02 Ops Call_Feb'021  Korea_APAC AS Aug'05 WD3 Flash" xfId="1901" xr:uid="{00000000-0005-0000-0000-000059060000}"/>
    <cellStyle name="_SASIA Goals for GPS (regoal)_Q3'02 Ops Call_Feb'021  Korea_APAC AS Aug'05 WD3 Flash_Acquisition Schedules" xfId="1902" xr:uid="{00000000-0005-0000-0000-00005A060000}"/>
    <cellStyle name="_SASIA Goals for GPS (regoal)_Q3'02 Ops Call_Feb'021  Korea_APAC Weekly Commit - FY04Q2W01" xfId="1903" xr:uid="{00000000-0005-0000-0000-00005B060000}"/>
    <cellStyle name="_SASIA Goals for GPS (regoal)_Q3'02 Ops Call_Feb'021  Korea_APAC Weekly Commit - FY04Q2W01_Acquisition Schedules" xfId="1904" xr:uid="{00000000-0005-0000-0000-00005C060000}"/>
    <cellStyle name="_SASIA Goals for GPS (regoal)_Q3'02 Ops Call_Feb'021  Korea_AS WD1 Flash Charts - Apr'05" xfId="1905" xr:uid="{00000000-0005-0000-0000-00005D060000}"/>
    <cellStyle name="_SASIA Goals for GPS (regoal)_Q3'02 Ops Call_Feb'021  Korea_AS WD1 Flash Charts - Apr'05_Acquisition Schedules" xfId="1906" xr:uid="{00000000-0005-0000-0000-00005E060000}"/>
    <cellStyle name="_SASIA Goals for GPS (regoal)_Q3'02 Ops Call_Feb'021  Korea_AS WD1 Flash Charts - May'05" xfId="1907" xr:uid="{00000000-0005-0000-0000-00005F060000}"/>
    <cellStyle name="_SASIA Goals for GPS (regoal)_Q3'02 Ops Call_Feb'021  Korea_AS WD1 Flash Charts - May'05_Acquisition Schedules" xfId="1908" xr:uid="{00000000-0005-0000-0000-000060060000}"/>
    <cellStyle name="_SASIA Goals for GPS (regoal)_Q3'02 Ops Call_Feb'021  Korea_AS WD3 Flash Charts - Apr'05" xfId="1909" xr:uid="{00000000-0005-0000-0000-000061060000}"/>
    <cellStyle name="_SASIA Goals for GPS (regoal)_Q3'02 Ops Call_Feb'021  Korea_AS WD3 Flash Charts - Apr'05_Acquisition Schedules" xfId="1910" xr:uid="{00000000-0005-0000-0000-000062060000}"/>
    <cellStyle name="_SASIA Goals for GPS (regoal)_Q3'02 Ops Call_Feb'021  Korea_AS WD3 Flash Charts - Mar'05v1" xfId="1911" xr:uid="{00000000-0005-0000-0000-000063060000}"/>
    <cellStyle name="_SASIA Goals for GPS (regoal)_Q3'02 Ops Call_Feb'021  Korea_AS WD3 Flash Charts - Mar'05v1_Acquisition Schedules" xfId="1912" xr:uid="{00000000-0005-0000-0000-000064060000}"/>
    <cellStyle name="_SASIA Goals for GPS (regoal)_Q3'02 Ops Call_Feb'021  Korea_CA WD1 Flash Charts - Sep'05" xfId="1913" xr:uid="{00000000-0005-0000-0000-000065060000}"/>
    <cellStyle name="_SASIA Goals for GPS (regoal)_Q3'02 Ops Call_Feb'021  Korea_CA WD1 Flash Charts - Sep'05_Acquisition Schedules" xfId="1914" xr:uid="{00000000-0005-0000-0000-000066060000}"/>
    <cellStyle name="_SASIA Goals for GPS (regoal)_Q3'02 Ops Call_Feb'021  Korea_Forecast Accuracy &amp; Linearity" xfId="1915" xr:uid="{00000000-0005-0000-0000-000067060000}"/>
    <cellStyle name="_SASIA Goals for GPS (regoal)_Q3'02 Ops Call_Feb'021  Korea_Forecast Accuracy &amp; Linearity_Acquisition Schedules" xfId="1916" xr:uid="{00000000-0005-0000-0000-000068060000}"/>
    <cellStyle name="_SASIA Goals for GPS (regoal)_Q3'02 Ops Call_Feb'021  Korea_FY04 Korea Goaling" xfId="1917" xr:uid="{00000000-0005-0000-0000-000069060000}"/>
    <cellStyle name="_SASIA Goals for GPS (regoal)_Q3'02 Ops Call_Feb'021  Korea_FY04 Korea Goaling_Acquisition Schedules" xfId="1918" xr:uid="{00000000-0005-0000-0000-00006A060000}"/>
    <cellStyle name="_SASIA Goals for GPS (regoal)_Q3'02 Ops Call_Feb'021  Korea_WD1APAC Summary-26-04-05 FY05 ------1" xfId="1919" xr:uid="{00000000-0005-0000-0000-00006B060000}"/>
    <cellStyle name="_SASIA Goals for GPS (regoal)_Q3'02 Ops Call_Feb'021  Korea_WD1APAC Summary-26-04-05 FY05 ------1_Acquisition Schedules" xfId="1920" xr:uid="{00000000-0005-0000-0000-00006C060000}"/>
    <cellStyle name="_SASIA Goals for GPS (regoal)_Target Template" xfId="1921" xr:uid="{00000000-0005-0000-0000-00006D060000}"/>
    <cellStyle name="_SASIA Goals for GPS (regoal)_Target Template_Acquisition Schedules" xfId="1922" xr:uid="{00000000-0005-0000-0000-00006E060000}"/>
    <cellStyle name="_SASIA Goals for GPS (regoal)_WD1APAC Summary-26-04-05 FY05 ------1" xfId="1923" xr:uid="{00000000-0005-0000-0000-00006F060000}"/>
    <cellStyle name="_SASIA Goals for GPS (regoal)_WD1APAC Summary-26-04-05 FY05 ------1_Acquisition Schedules" xfId="1924" xr:uid="{00000000-0005-0000-0000-000070060000}"/>
    <cellStyle name="_Scientific Atlanta" xfId="1925" xr:uid="{00000000-0005-0000-0000-000071060000}"/>
    <cellStyle name="_SEC_B_Q107" xfId="1926" xr:uid="{00000000-0005-0000-0000-000072060000}"/>
    <cellStyle name="_SEC_B_Q107 2" xfId="1927" xr:uid="{00000000-0005-0000-0000-000073060000}"/>
    <cellStyle name="_SEC_B_Q107 3" xfId="1928" xr:uid="{00000000-0005-0000-0000-000074060000}"/>
    <cellStyle name="_SEC_B_Q107 4" xfId="1929" xr:uid="{00000000-0005-0000-0000-000075060000}"/>
    <cellStyle name="_SEC_B_Q107 5" xfId="1930" xr:uid="{00000000-0005-0000-0000-000076060000}"/>
    <cellStyle name="_SEC_B_Q107 6" xfId="1931" xr:uid="{00000000-0005-0000-0000-000077060000}"/>
    <cellStyle name="_SEC_B_Q107 7" xfId="1932" xr:uid="{00000000-0005-0000-0000-000078060000}"/>
    <cellStyle name="_SEC_B_Q107 8" xfId="1933" xr:uid="{00000000-0005-0000-0000-000079060000}"/>
    <cellStyle name="_Section 13-Discounts" xfId="1934" xr:uid="{00000000-0005-0000-0000-00007A060000}"/>
    <cellStyle name="_Section 13-Discounts_Acquisition Schedules" xfId="1935" xr:uid="{00000000-0005-0000-0000-00007B060000}"/>
    <cellStyle name="_Sept '07 Close Prelim" xfId="1936" xr:uid="{00000000-0005-0000-0000-00007C060000}"/>
    <cellStyle name="_Service_Dec03local33" xfId="1937" xr:uid="{00000000-0005-0000-0000-00007D060000}"/>
    <cellStyle name="_Service_Dec03local33_Acquisition Schedules" xfId="1938" xr:uid="{00000000-0005-0000-0000-00007E060000}"/>
    <cellStyle name="_Service_Oct051" xfId="1939" xr:uid="{00000000-0005-0000-0000-00007F060000}"/>
    <cellStyle name="_Service_Oct051_Acquisition Schedules" xfId="1940" xr:uid="{00000000-0005-0000-0000-000080060000}"/>
    <cellStyle name="_Sheet1" xfId="1941" xr:uid="{00000000-0005-0000-0000-000081060000}"/>
    <cellStyle name="_Sheet1 2" xfId="1942" xr:uid="{00000000-0005-0000-0000-000082060000}"/>
    <cellStyle name="_Sheet1 3" xfId="1943" xr:uid="{00000000-0005-0000-0000-000083060000}"/>
    <cellStyle name="_Sheet1 4" xfId="1944" xr:uid="{00000000-0005-0000-0000-000084060000}"/>
    <cellStyle name="_Sheet1 5" xfId="1945" xr:uid="{00000000-0005-0000-0000-000085060000}"/>
    <cellStyle name="_Sheet1 6" xfId="1946" xr:uid="{00000000-0005-0000-0000-000086060000}"/>
    <cellStyle name="_Sheet1 7" xfId="1947" xr:uid="{00000000-0005-0000-0000-000087060000}"/>
    <cellStyle name="_Sheet1 8" xfId="1948" xr:uid="{00000000-0005-0000-0000-000088060000}"/>
    <cellStyle name="_Sheet1_Acquisition Schedules" xfId="1949" xr:uid="{00000000-0005-0000-0000-000089060000}"/>
    <cellStyle name="_Sheet1_AS Variance Analysis_JUL-06 (2)" xfId="1950" xr:uid="{00000000-0005-0000-0000-00008A060000}"/>
    <cellStyle name="_Sheet1_AS Variance Analysis_JUL-06 (2)_Acquisition Schedules" xfId="1951" xr:uid="{00000000-0005-0000-0000-00008B060000}"/>
    <cellStyle name="_Sheet1_Raw Data" xfId="1952" xr:uid="{00000000-0005-0000-0000-00008C060000}"/>
    <cellStyle name="_Sheet2" xfId="1953" xr:uid="{00000000-0005-0000-0000-00008D060000}"/>
    <cellStyle name="_Sheet6" xfId="1954" xr:uid="{00000000-0005-0000-0000-00008E060000}"/>
    <cellStyle name="_Sheet6 2" xfId="1955" xr:uid="{00000000-0005-0000-0000-00008F060000}"/>
    <cellStyle name="_Sheet6 3" xfId="1956" xr:uid="{00000000-0005-0000-0000-000090060000}"/>
    <cellStyle name="_Sheet6 4" xfId="1957" xr:uid="{00000000-0005-0000-0000-000091060000}"/>
    <cellStyle name="_Sheet6 5" xfId="1958" xr:uid="{00000000-0005-0000-0000-000092060000}"/>
    <cellStyle name="_Sheet6 6" xfId="1959" xr:uid="{00000000-0005-0000-0000-000093060000}"/>
    <cellStyle name="_Sheet6 7" xfId="1960" xr:uid="{00000000-0005-0000-0000-000094060000}"/>
    <cellStyle name="_Sheet6 8" xfId="1961" xr:uid="{00000000-0005-0000-0000-000095060000}"/>
    <cellStyle name="_Sheet7" xfId="1962" xr:uid="{00000000-0005-0000-0000-000096060000}"/>
    <cellStyle name="_Sheet7 2" xfId="1963" xr:uid="{00000000-0005-0000-0000-000097060000}"/>
    <cellStyle name="_Sheet7 3" xfId="1964" xr:uid="{00000000-0005-0000-0000-000098060000}"/>
    <cellStyle name="_Sheet7 4" xfId="1965" xr:uid="{00000000-0005-0000-0000-000099060000}"/>
    <cellStyle name="_Sheet7 5" xfId="1966" xr:uid="{00000000-0005-0000-0000-00009A060000}"/>
    <cellStyle name="_Sheet7 6" xfId="1967" xr:uid="{00000000-0005-0000-0000-00009B060000}"/>
    <cellStyle name="_Sheet7 7" xfId="1968" xr:uid="{00000000-0005-0000-0000-00009C060000}"/>
    <cellStyle name="_Sheet7 8" xfId="1969" xr:uid="{00000000-0005-0000-0000-00009D060000}"/>
    <cellStyle name="_SJ_BPA Cisco Excess Breakdown 04-04-07" xfId="1970" xr:uid="{00000000-0005-0000-0000-00009E060000}"/>
    <cellStyle name="_SLR E&amp;O Reserve April FY06" xfId="1971" xr:uid="{00000000-0005-0000-0000-00009F060000}"/>
    <cellStyle name="_SNI Purchase Final" xfId="1972" xr:uid="{00000000-0005-0000-0000-0000A0060000}"/>
    <cellStyle name="_Southern P&amp;L -FINAL" xfId="1973" xr:uid="{00000000-0005-0000-0000-0000A1060000}"/>
    <cellStyle name="_Southern P&amp;L -FINAL_Acquisition Schedules" xfId="1974" xr:uid="{00000000-0005-0000-0000-0000A2060000}"/>
    <cellStyle name="_SP Sum - Final Tie (2)" xfId="1975" xr:uid="{00000000-0005-0000-0000-0000A3060000}"/>
    <cellStyle name="_SP Sum - Final Tie (2)_Acquisition Schedules" xfId="1976" xr:uid="{00000000-0005-0000-0000-0000A4060000}"/>
    <cellStyle name="_SPA Demantra Load file Dec FY09" xfId="1977" xr:uid="{00000000-0005-0000-0000-0000A5060000}"/>
    <cellStyle name="_SPA Demantra Load file Dec FY09 2" xfId="1978" xr:uid="{00000000-0005-0000-0000-0000A6060000}"/>
    <cellStyle name="_SPA Demantra Load file Nov FY09" xfId="1979" xr:uid="{00000000-0005-0000-0000-0000A7060000}"/>
    <cellStyle name="_SPA Demantra Load file Nov FY09 2" xfId="1980" xr:uid="{00000000-0005-0000-0000-0000A8060000}"/>
    <cellStyle name="_SRG_SPA_Oct FY09 Forecast" xfId="1981" xr:uid="{00000000-0005-0000-0000-0000A9060000}"/>
    <cellStyle name="_SRG_SPA_Oct FY09 Forecast 2" xfId="1982" xr:uid="{00000000-0005-0000-0000-0000AA060000}"/>
    <cellStyle name="_SubHeading" xfId="1983" xr:uid="{00000000-0005-0000-0000-0000AB060000}"/>
    <cellStyle name="_SubHeading_Financials_v2" xfId="1984" xr:uid="{00000000-0005-0000-0000-0000AC060000}"/>
    <cellStyle name="_SubHeading_Financials_v2_Book1 (3)" xfId="1985" xr:uid="{00000000-0005-0000-0000-0000AD060000}"/>
    <cellStyle name="_Sub-K Accruals_Jun 02" xfId="1986" xr:uid="{00000000-0005-0000-0000-0000AE060000}"/>
    <cellStyle name="_Sub-K Accruals_Jun 02_Acquisition Schedules" xfId="1987" xr:uid="{00000000-0005-0000-0000-0000AF060000}"/>
    <cellStyle name="_Subscription REV" xfId="1988" xr:uid="{00000000-0005-0000-0000-0000B0060000}"/>
    <cellStyle name="_Subscription REV Q2" xfId="1989" xr:uid="{00000000-0005-0000-0000-0000B1060000}"/>
    <cellStyle name="_Subscription REV Q2_Acquisition Schedules" xfId="1990" xr:uid="{00000000-0005-0000-0000-0000B2060000}"/>
    <cellStyle name="_Subscription REV Q3" xfId="1991" xr:uid="{00000000-0005-0000-0000-0000B3060000}"/>
    <cellStyle name="_Subscription REV Q3_Acquisition Schedules" xfId="1992" xr:uid="{00000000-0005-0000-0000-0000B4060000}"/>
    <cellStyle name="_Subscription REV Q4" xfId="1993" xr:uid="{00000000-0005-0000-0000-0000B5060000}"/>
    <cellStyle name="_Subscription REV Q4_Acquisition Schedules" xfId="1994" xr:uid="{00000000-0005-0000-0000-0000B6060000}"/>
    <cellStyle name="_Subscription REV_Acquisition Schedules" xfId="1995" xr:uid="{00000000-0005-0000-0000-0000B7060000}"/>
    <cellStyle name="_Summary of Input" xfId="1996" xr:uid="{00000000-0005-0000-0000-0000B8060000}"/>
    <cellStyle name="_Summary of Input_Acquisition Schedules" xfId="1997" xr:uid="{00000000-0005-0000-0000-0000B9060000}"/>
    <cellStyle name="_Summary of Input_ANZ FY04 Goaling" xfId="1998" xr:uid="{00000000-0005-0000-0000-0000BA060000}"/>
    <cellStyle name="_Summary of Input_ANZ FY04 Goaling_Acquisition Schedules" xfId="1999" xr:uid="{00000000-0005-0000-0000-0000BB060000}"/>
    <cellStyle name="_Summary of Input_APAC AS Aug'05 WD3 Flash" xfId="2000" xr:uid="{00000000-0005-0000-0000-0000BC060000}"/>
    <cellStyle name="_Summary of Input_APAC AS Aug'05 WD3 Flash_Acquisition Schedules" xfId="2001" xr:uid="{00000000-0005-0000-0000-0000BD060000}"/>
    <cellStyle name="_Summary of Input_APAC Weekly Commit - FY04Q2W01" xfId="2002" xr:uid="{00000000-0005-0000-0000-0000BE060000}"/>
    <cellStyle name="_Summary of Input_APAC Weekly Commit - FY04Q2W01_Acquisition Schedules" xfId="2003" xr:uid="{00000000-0005-0000-0000-0000BF060000}"/>
    <cellStyle name="_Summary of Input_AS WD1 Flash Charts - Apr'05" xfId="2004" xr:uid="{00000000-0005-0000-0000-0000C0060000}"/>
    <cellStyle name="_Summary of Input_AS WD1 Flash Charts - Apr'05_Acquisition Schedules" xfId="2005" xr:uid="{00000000-0005-0000-0000-0000C1060000}"/>
    <cellStyle name="_Summary of Input_AS WD1 Flash Charts - May'05" xfId="2006" xr:uid="{00000000-0005-0000-0000-0000C2060000}"/>
    <cellStyle name="_Summary of Input_AS WD1 Flash Charts - May'05_Acquisition Schedules" xfId="2007" xr:uid="{00000000-0005-0000-0000-0000C3060000}"/>
    <cellStyle name="_Summary of Input_AS WD3 Flash Charts - Apr'05" xfId="2008" xr:uid="{00000000-0005-0000-0000-0000C4060000}"/>
    <cellStyle name="_Summary of Input_AS WD3 Flash Charts - Apr'05_Acquisition Schedules" xfId="2009" xr:uid="{00000000-0005-0000-0000-0000C5060000}"/>
    <cellStyle name="_Summary of Input_AS WD3 Flash Charts - Mar'05v1" xfId="2010" xr:uid="{00000000-0005-0000-0000-0000C6060000}"/>
    <cellStyle name="_Summary of Input_AS WD3 Flash Charts - Mar'05v1_Acquisition Schedules" xfId="2011" xr:uid="{00000000-0005-0000-0000-0000C7060000}"/>
    <cellStyle name="_Summary of Input_CA WD1 Flash Charts - Sep'05" xfId="2012" xr:uid="{00000000-0005-0000-0000-0000C8060000}"/>
    <cellStyle name="_Summary of Input_CA WD1 Flash Charts - Sep'05_Acquisition Schedules" xfId="2013" xr:uid="{00000000-0005-0000-0000-0000C9060000}"/>
    <cellStyle name="_Summary of Input_Forecast Accuracy &amp; Linearity" xfId="2014" xr:uid="{00000000-0005-0000-0000-0000CA060000}"/>
    <cellStyle name="_Summary of Input_Forecast Accuracy &amp; Linearity_Acquisition Schedules" xfId="2015" xr:uid="{00000000-0005-0000-0000-0000CB060000}"/>
    <cellStyle name="_Summary of Input_FY04 Korea Goaling" xfId="2016" xr:uid="{00000000-0005-0000-0000-0000CC060000}"/>
    <cellStyle name="_Summary of Input_FY04 Korea Goaling_Acquisition Schedules" xfId="2017" xr:uid="{00000000-0005-0000-0000-0000CD060000}"/>
    <cellStyle name="_Summary of Input_WD1APAC Summary-26-04-05 FY05 ------1" xfId="2018" xr:uid="{00000000-0005-0000-0000-0000CE060000}"/>
    <cellStyle name="_Summary of Input_WD1APAC Summary-26-04-05 FY05 ------1_Acquisition Schedules" xfId="2019" xr:uid="{00000000-0005-0000-0000-0000CF060000}"/>
    <cellStyle name="_Summary Sheets" xfId="2020" xr:uid="{00000000-0005-0000-0000-0000D0060000}"/>
    <cellStyle name="_Summary Sheets_Acquisition Schedules" xfId="2021" xr:uid="{00000000-0005-0000-0000-0000D1060000}"/>
    <cellStyle name="_Summary Sheets_ANZ FY04 Goaling" xfId="2022" xr:uid="{00000000-0005-0000-0000-0000D2060000}"/>
    <cellStyle name="_Summary Sheets_ANZ FY04 Goaling_Acquisition Schedules" xfId="2023" xr:uid="{00000000-0005-0000-0000-0000D3060000}"/>
    <cellStyle name="_Summary Sheets_CA COGS FY'07 Guidance (7)" xfId="2024" xr:uid="{00000000-0005-0000-0000-0000D4060000}"/>
    <cellStyle name="_Summary Sheets_CA COGS FY'07 Guidance (7)_Acquisition Schedules" xfId="2025" xr:uid="{00000000-0005-0000-0000-0000D5060000}"/>
    <cellStyle name="_Summary Sheets_EMEA - FY05 actuals_FINAL" xfId="2026" xr:uid="{00000000-0005-0000-0000-0000D6060000}"/>
    <cellStyle name="_Summary Sheets_EMEA - FY05 actuals_FINAL_Acquisition Schedules" xfId="2027" xr:uid="{00000000-0005-0000-0000-0000D7060000}"/>
    <cellStyle name="_Summary Sheets_EMEA CA Commit FY05 - Q4M1W3" xfId="2028" xr:uid="{00000000-0005-0000-0000-0000D8060000}"/>
    <cellStyle name="_Summary Sheets_EMEA CA Commit FY05 - Q4M1W3_Acquisition Schedules" xfId="2029" xr:uid="{00000000-0005-0000-0000-0000D9060000}"/>
    <cellStyle name="_Summary Sheets_FY04 Korea Goaling" xfId="2030" xr:uid="{00000000-0005-0000-0000-0000DA060000}"/>
    <cellStyle name="_Summary Sheets_FY04 Korea Goaling_Acquisition Schedules" xfId="2031" xr:uid="{00000000-0005-0000-0000-0000DB060000}"/>
    <cellStyle name="_Summary Sheets_FY04 Plan Book" xfId="2032" xr:uid="{00000000-0005-0000-0000-0000DC060000}"/>
    <cellStyle name="_Summary Sheets_FY04 Plan Book_Acquisition Schedules" xfId="2033" xr:uid="{00000000-0005-0000-0000-0000DD060000}"/>
    <cellStyle name="_Summary Sheets_FY04 Plan Book_APAC AS Aug'05 WD3 Flash" xfId="2034" xr:uid="{00000000-0005-0000-0000-0000DE060000}"/>
    <cellStyle name="_Summary Sheets_FY04 Plan Book_APAC AS Aug'05 WD3 Flash_Acquisition Schedules" xfId="2035" xr:uid="{00000000-0005-0000-0000-0000DF060000}"/>
    <cellStyle name="_Summary Sheets_FY04 Plan Book_AS WD1 Flash Charts - Apr'05" xfId="2036" xr:uid="{00000000-0005-0000-0000-0000E0060000}"/>
    <cellStyle name="_Summary Sheets_FY04 Plan Book_AS WD1 Flash Charts - Apr'05_Acquisition Schedules" xfId="2037" xr:uid="{00000000-0005-0000-0000-0000E1060000}"/>
    <cellStyle name="_Summary Sheets_FY04 Plan Book_AS WD1 Flash Charts - May'05" xfId="2038" xr:uid="{00000000-0005-0000-0000-0000E2060000}"/>
    <cellStyle name="_Summary Sheets_FY04 Plan Book_AS WD1 Flash Charts - May'05_Acquisition Schedules" xfId="2039" xr:uid="{00000000-0005-0000-0000-0000E3060000}"/>
    <cellStyle name="_Summary Sheets_FY04 Plan Book_AS WD3 Flash Charts - Apr'05" xfId="2040" xr:uid="{00000000-0005-0000-0000-0000E4060000}"/>
    <cellStyle name="_Summary Sheets_FY04 Plan Book_AS WD3 Flash Charts - Apr'05_Acquisition Schedules" xfId="2041" xr:uid="{00000000-0005-0000-0000-0000E5060000}"/>
    <cellStyle name="_Summary Sheets_FY04 Plan Book_AS WD3 Flash Charts - Mar'05v1" xfId="2042" xr:uid="{00000000-0005-0000-0000-0000E6060000}"/>
    <cellStyle name="_Summary Sheets_FY04 Plan Book_AS WD3 Flash Charts - Mar'05v1_Acquisition Schedules" xfId="2043" xr:uid="{00000000-0005-0000-0000-0000E7060000}"/>
    <cellStyle name="_Summary Sheets_FY04 Plan Book_CA WD1 Flash Charts - Sep'05" xfId="2044" xr:uid="{00000000-0005-0000-0000-0000E8060000}"/>
    <cellStyle name="_Summary Sheets_FY04 Plan Book_CA WD1 Flash Charts - Sep'05_Acquisition Schedules" xfId="2045" xr:uid="{00000000-0005-0000-0000-0000E9060000}"/>
    <cellStyle name="_Summary Sheets_P12 Jul FY03 ASIA PAC BOOK FCST - Final" xfId="2046" xr:uid="{00000000-0005-0000-0000-0000EA060000}"/>
    <cellStyle name="_Summary Sheets_P12 Jul FY03 ASIA PAC BOOK FCST - Final_Acquisition Schedules" xfId="2047" xr:uid="{00000000-0005-0000-0000-0000EB060000}"/>
    <cellStyle name="_Summary Sheets_P12 Jul FY03 ASIA PAC BOOK FCST - Final_APAC AS Aug'05 WD3 Flash" xfId="2048" xr:uid="{00000000-0005-0000-0000-0000EC060000}"/>
    <cellStyle name="_Summary Sheets_P12 Jul FY03 ASIA PAC BOOK FCST - Final_APAC AS Aug'05 WD3 Flash_Acquisition Schedules" xfId="2049" xr:uid="{00000000-0005-0000-0000-0000ED060000}"/>
    <cellStyle name="_Summary Sheets_P12 Jul FY03 ASIA PAC BOOK FCST - Final_AS WD1 Flash Charts - Apr'05" xfId="2050" xr:uid="{00000000-0005-0000-0000-0000EE060000}"/>
    <cellStyle name="_Summary Sheets_P12 Jul FY03 ASIA PAC BOOK FCST - Final_AS WD1 Flash Charts - Apr'05_Acquisition Schedules" xfId="2051" xr:uid="{00000000-0005-0000-0000-0000EF060000}"/>
    <cellStyle name="_Summary Sheets_P12 Jul FY03 ASIA PAC BOOK FCST - Final_AS WD1 Flash Charts - May'05" xfId="2052" xr:uid="{00000000-0005-0000-0000-0000F0060000}"/>
    <cellStyle name="_Summary Sheets_P12 Jul FY03 ASIA PAC BOOK FCST - Final_AS WD1 Flash Charts - May'05_Acquisition Schedules" xfId="2053" xr:uid="{00000000-0005-0000-0000-0000F1060000}"/>
    <cellStyle name="_Summary Sheets_P12 Jul FY03 ASIA PAC BOOK FCST - Final_AS WD3 Flash Charts - Apr'05" xfId="2054" xr:uid="{00000000-0005-0000-0000-0000F2060000}"/>
    <cellStyle name="_Summary Sheets_P12 Jul FY03 ASIA PAC BOOK FCST - Final_AS WD3 Flash Charts - Apr'05_Acquisition Schedules" xfId="2055" xr:uid="{00000000-0005-0000-0000-0000F3060000}"/>
    <cellStyle name="_Summary Sheets_P12 Jul FY03 ASIA PAC BOOK FCST - Final_AS WD3 Flash Charts - Mar'05v1" xfId="2056" xr:uid="{00000000-0005-0000-0000-0000F4060000}"/>
    <cellStyle name="_Summary Sheets_P12 Jul FY03 ASIA PAC BOOK FCST - Final_AS WD3 Flash Charts - Mar'05v1_Acquisition Schedules" xfId="2057" xr:uid="{00000000-0005-0000-0000-0000F5060000}"/>
    <cellStyle name="_Summary Sheets_P12 Jul FY03 ASIA PAC BOOK FCST - Final_CA WD1 Flash Charts - Sep'05" xfId="2058" xr:uid="{00000000-0005-0000-0000-0000F6060000}"/>
    <cellStyle name="_Summary Sheets_P12 Jul FY03 ASIA PAC BOOK FCST - Final_CA WD1 Flash Charts - Sep'05_Acquisition Schedules" xfId="2059" xr:uid="{00000000-0005-0000-0000-0000F7060000}"/>
    <cellStyle name="_summary.14.10" xfId="2060" xr:uid="{00000000-0005-0000-0000-0000F8060000}"/>
    <cellStyle name="_summary.21.101" xfId="2061" xr:uid="{00000000-0005-0000-0000-0000F9060000}"/>
    <cellStyle name="_summary.4.11" xfId="2062" xr:uid="{00000000-0005-0000-0000-0000FA060000}"/>
    <cellStyle name="_Supply Chain Bridge Q4 07" xfId="2063" xr:uid="{00000000-0005-0000-0000-0000FB060000}"/>
    <cellStyle name="_Table" xfId="2064" xr:uid="{00000000-0005-0000-0000-0000FC060000}"/>
    <cellStyle name="_Table 2" xfId="2065" xr:uid="{00000000-0005-0000-0000-0000FD060000}"/>
    <cellStyle name="_Table 2_Acquisition Schedules" xfId="2066" xr:uid="{00000000-0005-0000-0000-0000FE060000}"/>
    <cellStyle name="_Table_Book1 (3)" xfId="2067" xr:uid="{00000000-0005-0000-0000-0000FF060000}"/>
    <cellStyle name="_Table_Book1 (3)_Q111 PR_NEW_2" xfId="2068" xr:uid="{00000000-0005-0000-0000-000000070000}"/>
    <cellStyle name="_Table_Book1 (3)_Reconciliation of GAAP to Non-GAAP Adjusted_3" xfId="2069" xr:uid="{00000000-0005-0000-0000-000001070000}"/>
    <cellStyle name="_Table_Book1 (3)_Reconciliation of NI &amp; EPS_2" xfId="2070" xr:uid="{00000000-0005-0000-0000-000002070000}"/>
    <cellStyle name="_Table_Financials_v2" xfId="2071" xr:uid="{00000000-0005-0000-0000-000003070000}"/>
    <cellStyle name="_Table_Financials_v2_Book1 (3)" xfId="2072" xr:uid="{00000000-0005-0000-0000-000004070000}"/>
    <cellStyle name="_Table_Financials_v2_Book1 (3)_Q111 PR_NEW_2" xfId="2073" xr:uid="{00000000-0005-0000-0000-000005070000}"/>
    <cellStyle name="_Table_Financials_v2_Book1 (3)_Reconciliation of GAAP to Non-GAAP Adjusted_3" xfId="2074" xr:uid="{00000000-0005-0000-0000-000006070000}"/>
    <cellStyle name="_Table_Financials_v2_Book1 (3)_Reconciliation of NI &amp; EPS_2" xfId="2075" xr:uid="{00000000-0005-0000-0000-000007070000}"/>
    <cellStyle name="_Table_Financials_v2_Q111 PR_NEW_2" xfId="2076" xr:uid="{00000000-0005-0000-0000-000008070000}"/>
    <cellStyle name="_Table_Financials_v2_Reconciliation of GAAP to Non-GAAP Adjusted_3" xfId="2077" xr:uid="{00000000-0005-0000-0000-000009070000}"/>
    <cellStyle name="_Table_Financials_v2_Reconciliation of NI &amp; EPS_2" xfId="2078" xr:uid="{00000000-0005-0000-0000-00000A070000}"/>
    <cellStyle name="_Table_Q111 PR_NEW_2" xfId="2079" xr:uid="{00000000-0005-0000-0000-00000B070000}"/>
    <cellStyle name="_Table_Reconciliation of GAAP to Non-GAAP Adjusted_3" xfId="2080" xr:uid="{00000000-0005-0000-0000-00000C070000}"/>
    <cellStyle name="_Table_Reconciliation of NI &amp; EPS_2" xfId="2081" xr:uid="{00000000-0005-0000-0000-00000D070000}"/>
    <cellStyle name="_TableHead" xfId="2082" xr:uid="{00000000-0005-0000-0000-00000E070000}"/>
    <cellStyle name="_TableHead_Book1 (3)" xfId="2083" xr:uid="{00000000-0005-0000-0000-00000F070000}"/>
    <cellStyle name="_TableHead_Book1 (3)_Q111 PR_NEW_2" xfId="2084" xr:uid="{00000000-0005-0000-0000-000010070000}"/>
    <cellStyle name="_TableHead_Book1 (3)_Reconciliation of GAAP to Non-GAAP Adjusted_3" xfId="2085" xr:uid="{00000000-0005-0000-0000-000011070000}"/>
    <cellStyle name="_TableHead_Book1 (3)_Reconciliation of NI &amp; EPS_2" xfId="2086" xr:uid="{00000000-0005-0000-0000-000012070000}"/>
    <cellStyle name="_TableHead_Financials_v2" xfId="2087" xr:uid="{00000000-0005-0000-0000-000013070000}"/>
    <cellStyle name="_TableHead_Financials_v2_Book1 (3)" xfId="2088" xr:uid="{00000000-0005-0000-0000-000014070000}"/>
    <cellStyle name="_TableHead_Financials_v2_Book1 (3)_Q111 PR_NEW_2" xfId="2089" xr:uid="{00000000-0005-0000-0000-000015070000}"/>
    <cellStyle name="_TableHead_Financials_v2_Book1 (3)_Reconciliation of GAAP to Non-GAAP Adjusted_3" xfId="2090" xr:uid="{00000000-0005-0000-0000-000016070000}"/>
    <cellStyle name="_TableHead_Financials_v2_Book1 (3)_Reconciliation of NI &amp; EPS_2" xfId="2091" xr:uid="{00000000-0005-0000-0000-000017070000}"/>
    <cellStyle name="_TableHead_Financials_v2_Q111 PR_NEW_2" xfId="2092" xr:uid="{00000000-0005-0000-0000-000018070000}"/>
    <cellStyle name="_TableHead_Financials_v2_Reconciliation of GAAP to Non-GAAP Adjusted_3" xfId="2093" xr:uid="{00000000-0005-0000-0000-000019070000}"/>
    <cellStyle name="_TableHead_Financials_v2_Reconciliation of NI &amp; EPS_2" xfId="2094" xr:uid="{00000000-0005-0000-0000-00001A070000}"/>
    <cellStyle name="_TableHead_Q111 PR_NEW_2" xfId="2095" xr:uid="{00000000-0005-0000-0000-00001B070000}"/>
    <cellStyle name="_TableHead_Reconciliation of GAAP to Non-GAAP Adjusted_3" xfId="2096" xr:uid="{00000000-0005-0000-0000-00001C070000}"/>
    <cellStyle name="_TableHead_Reconciliation of NI &amp; EPS_2" xfId="2097" xr:uid="{00000000-0005-0000-0000-00001D070000}"/>
    <cellStyle name="_TableRowHead" xfId="2098" xr:uid="{00000000-0005-0000-0000-00001E070000}"/>
    <cellStyle name="_TableRowHead_Financials_v2" xfId="2099" xr:uid="{00000000-0005-0000-0000-00001F070000}"/>
    <cellStyle name="_TableRowHead_Financials_v2_Book1 (3)" xfId="2100" xr:uid="{00000000-0005-0000-0000-000020070000}"/>
    <cellStyle name="_TableSuperHead" xfId="2101" xr:uid="{00000000-0005-0000-0000-000021070000}"/>
    <cellStyle name="_TableSuperHead_Financials_v2" xfId="2102" xr:uid="{00000000-0005-0000-0000-000022070000}"/>
    <cellStyle name="_TableSuperHead_Financials_v2_Book1 (3)" xfId="2103" xr:uid="{00000000-0005-0000-0000-000023070000}"/>
    <cellStyle name="_Top deals Week 8" xfId="2104" xr:uid="{00000000-0005-0000-0000-000024070000}"/>
    <cellStyle name="_Top deals Week 8_Acquisition Schedules" xfId="2105" xr:uid="{00000000-0005-0000-0000-000025070000}"/>
    <cellStyle name="_Top deals Wweek 8" xfId="2106" xr:uid="{00000000-0005-0000-0000-000026070000}"/>
    <cellStyle name="_Top deals Wweek 8_Acquisition Schedules" xfId="2107" xr:uid="{00000000-0005-0000-0000-000027070000}"/>
    <cellStyle name="_TS 2006 Plan EMEA Rolf Summary 12-7-05" xfId="2108" xr:uid="{00000000-0005-0000-0000-000028070000}"/>
    <cellStyle name="_TS 2006 Plan EMEA Rolf Summary 12-7-05_Book1 (3)" xfId="2109" xr:uid="{00000000-0005-0000-0000-000029070000}"/>
    <cellStyle name="_units" xfId="2110" xr:uid="{00000000-0005-0000-0000-00002A070000}"/>
    <cellStyle name="_units 2" xfId="2111" xr:uid="{00000000-0005-0000-0000-00002B070000}"/>
    <cellStyle name="_US AS FY'05 Plan" xfId="2112" xr:uid="{00000000-0005-0000-0000-00002C070000}"/>
    <cellStyle name="_US AS FY'05 Plan_Acquisition Schedules" xfId="2113" xr:uid="{00000000-0005-0000-0000-00002D070000}"/>
    <cellStyle name="_US AS Oct Rev Fcst Details" xfId="2114" xr:uid="{00000000-0005-0000-0000-00002E070000}"/>
    <cellStyle name="_US AS Oct Rev Fcst Details_Acquisition Schedules" xfId="2115" xr:uid="{00000000-0005-0000-0000-00002F070000}"/>
    <cellStyle name="_US AS Q103 Financials1" xfId="2116" xr:uid="{00000000-0005-0000-0000-000030070000}"/>
    <cellStyle name="_US AS Q103 Financials1_Acquisition Schedules" xfId="2117" xr:uid="{00000000-0005-0000-0000-000031070000}"/>
    <cellStyle name="_US AS Update 11-22-02-revised" xfId="2118" xr:uid="{00000000-0005-0000-0000-000032070000}"/>
    <cellStyle name="_US AS Update 11-22-02-revised_Acquisition Schedules" xfId="2119" xr:uid="{00000000-0005-0000-0000-000033070000}"/>
    <cellStyle name="_US FY06 Plan Submission1" xfId="2120" xr:uid="{00000000-0005-0000-0000-000034070000}"/>
    <cellStyle name="_US FY06 Plan Submission1_Acquisition Schedules" xfId="2121" xr:uid="{00000000-0005-0000-0000-000035070000}"/>
    <cellStyle name="_USTheaterTotalPipeline" xfId="2122" xr:uid="{00000000-0005-0000-0000-000036070000}"/>
    <cellStyle name="_USTheaterTotalPipeline_Japan_Top_Deals_by_Theater_Profile_Sep_wk3" xfId="2123" xr:uid="{00000000-0005-0000-0000-000037070000}"/>
    <cellStyle name="_USTheaterTotalPipeline_Japan_Top_Deals_Q2_Wk4 (2)" xfId="2124" xr:uid="{00000000-0005-0000-0000-000038070000}"/>
    <cellStyle name="_USTheaterTotalPipeline_Japan_Top_Deals_Q2_Wk7" xfId="2125" xr:uid="{00000000-0005-0000-0000-000039070000}"/>
    <cellStyle name="_Validation Checklist Q3 FY08 MFG-031B" xfId="2126" xr:uid="{00000000-0005-0000-0000-00003A070000}"/>
    <cellStyle name="_Validation_Checklist" xfId="2127" xr:uid="{00000000-0005-0000-0000-00003B070000}"/>
    <cellStyle name="_WCM_JUL_FY07_FCST sonnyc V2 (3)" xfId="2128" xr:uid="{00000000-0005-0000-0000-00003C070000}"/>
    <cellStyle name="_WCM_JUL_FY07_FCST sonnyc V2 (3) 2" xfId="2129" xr:uid="{00000000-0005-0000-0000-00003D070000}"/>
    <cellStyle name="_WCP 9-14 Templates" xfId="2130" xr:uid="{00000000-0005-0000-0000-00003E070000}"/>
    <cellStyle name="_WCP 9-14 Templates_Acquisition Schedules" xfId="2131" xr:uid="{00000000-0005-0000-0000-00003F070000}"/>
    <cellStyle name="_WCP 9-26_European Theater (3)" xfId="2132" xr:uid="{00000000-0005-0000-0000-000040070000}"/>
    <cellStyle name="_WCP 9-26_European Theater (3) (2)" xfId="2133" xr:uid="{00000000-0005-0000-0000-000041070000}"/>
    <cellStyle name="_WCP 9-26_European Theater (3) (2)_Acquisition Schedules" xfId="2134" xr:uid="{00000000-0005-0000-0000-000042070000}"/>
    <cellStyle name="_WCP 9-26_European Theater (3)_Acquisition Schedules" xfId="2135" xr:uid="{00000000-0005-0000-0000-000043070000}"/>
    <cellStyle name="_WCP wd-1" xfId="2136" xr:uid="{00000000-0005-0000-0000-000044070000}"/>
    <cellStyle name="_WCP wd-1_Acquisition Schedules" xfId="2137" xr:uid="{00000000-0005-0000-0000-000045070000}"/>
    <cellStyle name="_WebEx P&amp;L tie-out template_Sep07_092107_Final2" xfId="2138" xr:uid="{00000000-0005-0000-0000-000046070000}"/>
    <cellStyle name="_WebEx P&amp;L tie-out template_Sep07_092107_Final2_Acquisition Schedules" xfId="2139" xr:uid="{00000000-0005-0000-0000-000047070000}"/>
    <cellStyle name="_WebEx P&amp;L tie-out template_Sep07_092107_Final2_Acquisition Schedules_1" xfId="2140" xr:uid="{00000000-0005-0000-0000-000048070000}"/>
    <cellStyle name="_WEBEX_FY09 FCST v4 (Kelly 100808)" xfId="2141" xr:uid="{00000000-0005-0000-0000-000049070000}"/>
    <cellStyle name="_Weekly Bookings Scorecard as at  wk13 Q3 FY02_Part II" xfId="2142" xr:uid="{00000000-0005-0000-0000-00004A070000}"/>
    <cellStyle name="_Weekly Forecast FY06Q1 - Week03 (Jeff)" xfId="2143" xr:uid="{00000000-0005-0000-0000-00004B070000}"/>
    <cellStyle name="_Weekly Forecast FY06Q1 - Week03 (Jeff)_Acquisition Schedules" xfId="2144" xr:uid="{00000000-0005-0000-0000-00004C070000}"/>
    <cellStyle name="_weekly pack q4 week 13" xfId="2145" xr:uid="{00000000-0005-0000-0000-00004D070000}"/>
    <cellStyle name="_weekly pack q4 week 13_Acquisition Schedules" xfId="2146" xr:uid="{00000000-0005-0000-0000-00004E070000}"/>
    <cellStyle name="_WW 2nd Pass Bridge2" xfId="2147" xr:uid="{00000000-0005-0000-0000-00004F070000}"/>
    <cellStyle name="_WW Exec Upload_W7.v3" xfId="2148" xr:uid="{00000000-0005-0000-0000-000050070000}"/>
    <cellStyle name="_WW Exec Upload_W7.v3_Acquisition Schedules" xfId="2149" xr:uid="{00000000-0005-0000-0000-000051070000}"/>
    <cellStyle name="_WW Recruitment Activity wk  Ending 05-6-05 A" xfId="2150" xr:uid="{00000000-0005-0000-0000-000052070000}"/>
    <cellStyle name="_WW Recruitment Activity wk  Ending 05-6-05 A 2" xfId="2151" xr:uid="{00000000-0005-0000-0000-000053070000}"/>
    <cellStyle name="_WW Recruitment Activity wk  Ending 05-6-05 A 3" xfId="2152" xr:uid="{00000000-0005-0000-0000-000054070000}"/>
    <cellStyle name="_WW Recruitment Activity wk  Ending 05-6-05 A 4" xfId="2153" xr:uid="{00000000-0005-0000-0000-000055070000}"/>
    <cellStyle name="_WW Recruitment Activity wk  Ending 05-6-05 A 5" xfId="2154" xr:uid="{00000000-0005-0000-0000-000056070000}"/>
    <cellStyle name="_WW Recruitment Activity wk  Ending 05-6-05 A 6" xfId="2155" xr:uid="{00000000-0005-0000-0000-000057070000}"/>
    <cellStyle name="_WW Recruitment Activity wk  Ending 05-6-05 A 7" xfId="2156" xr:uid="{00000000-0005-0000-0000-000058070000}"/>
    <cellStyle name="_WW Recruitment Activity wk  Ending 05-6-05 A 8" xfId="2157" xr:uid="{00000000-0005-0000-0000-000059070000}"/>
    <cellStyle name="_WW Recruitment Activity wk  Ending 05-6-05 A_Acquisition Schedules" xfId="2158" xr:uid="{00000000-0005-0000-0000-00005A070000}"/>
    <cellStyle name="¦__x001d_" xfId="2159" xr:uid="{00000000-0005-0000-0000-00005B070000}"/>
    <cellStyle name="¦n" xfId="2160" xr:uid="{00000000-0005-0000-0000-00005C070000}"/>
    <cellStyle name="¦X­p" xfId="2161" xr:uid="{00000000-0005-0000-0000-00005D070000}"/>
    <cellStyle name="¿é¤J" xfId="2162" xr:uid="{00000000-0005-0000-0000-00005E070000}"/>
    <cellStyle name="¿é¥X" xfId="2163" xr:uid="{00000000-0005-0000-0000-00005F070000}"/>
    <cellStyle name="’Ê‰Ý [0.00]_Region Orders (2)" xfId="2164" xr:uid="{00000000-0005-0000-0000-000060070000}"/>
    <cellStyle name="’Ê‰Ý_Region Orders (2)" xfId="2165" xr:uid="{00000000-0005-0000-0000-000061070000}"/>
    <cellStyle name="¤¤µ¥" xfId="2166" xr:uid="{00000000-0005-0000-0000-000062070000}"/>
    <cellStyle name="=C:\WINDOWS\SYSTEM32\COMMAND.COM" xfId="2167" xr:uid="{00000000-0005-0000-0000-000063070000}"/>
    <cellStyle name="=C:\WINNT35\SYSTEM32\COMMAND.COM" xfId="2168" xr:uid="{00000000-0005-0000-0000-000064070000}"/>
    <cellStyle name="»¡©ú¤å¦r" xfId="2169" xr:uid="{00000000-0005-0000-0000-000065070000}"/>
    <cellStyle name="»²¦â1" xfId="2170" xr:uid="{00000000-0005-0000-0000-000066070000}"/>
    <cellStyle name="»²¦â2" xfId="2171" xr:uid="{00000000-0005-0000-0000-000067070000}"/>
    <cellStyle name="»²¦â3" xfId="2172" xr:uid="{00000000-0005-0000-0000-000068070000}"/>
    <cellStyle name="»²¦â4" xfId="2173" xr:uid="{00000000-0005-0000-0000-000069070000}"/>
    <cellStyle name="»²¦â5" xfId="2174" xr:uid="{00000000-0005-0000-0000-00006A070000}"/>
    <cellStyle name="»²¦â6" xfId="2175" xr:uid="{00000000-0005-0000-0000-00006B070000}"/>
    <cellStyle name="•\¦Ï‚Ý‚ÌƒnƒCƒp[ƒŠƒ“ƒN" xfId="2176" xr:uid="{00000000-0005-0000-0000-00006C070000}"/>
    <cellStyle name="•W€_Pacific Region P&amp;L" xfId="2177" xr:uid="{00000000-0005-0000-0000-00006D070000}"/>
    <cellStyle name="•W_Asset Schedule" xfId="2178" xr:uid="{00000000-0005-0000-0000-00006E070000}"/>
    <cellStyle name="0%" xfId="2179" xr:uid="{00000000-0005-0000-0000-00006F070000}"/>
    <cellStyle name="0% 2" xfId="2180" xr:uid="{00000000-0005-0000-0000-000070070000}"/>
    <cellStyle name="0,0_x000a__x000a_NA_x000a__x000a_" xfId="2181" xr:uid="{00000000-0005-0000-0000-000071070000}"/>
    <cellStyle name="0,0_x000d__x000a_NA_x000d__x000a_" xfId="2182" xr:uid="{00000000-0005-0000-0000-000072070000}"/>
    <cellStyle name="0,0_x000d__x000a_NA_x000d__x000a_ 2" xfId="2183" xr:uid="{00000000-0005-0000-0000-000073070000}"/>
    <cellStyle name="0,0_x000d__x000a_NA_x000d__x000a_ 3" xfId="2184" xr:uid="{00000000-0005-0000-0000-000074070000}"/>
    <cellStyle name="0.0%" xfId="2185" xr:uid="{00000000-0005-0000-0000-000075070000}"/>
    <cellStyle name="0.00%" xfId="2186" xr:uid="{00000000-0005-0000-0000-000076070000}"/>
    <cellStyle name="0.0x" xfId="2187" xr:uid="{00000000-0005-0000-0000-000077070000}"/>
    <cellStyle name="000 PN" xfId="2188" xr:uid="{00000000-0005-0000-0000-000078070000}"/>
    <cellStyle name="¼ÐÃD" xfId="2189" xr:uid="{00000000-0005-0000-0000-000079070000}"/>
    <cellStyle name="¼ÐÃD 1" xfId="2190" xr:uid="{00000000-0005-0000-0000-00007A070000}"/>
    <cellStyle name="¼ÐÃD 2" xfId="2191" xr:uid="{00000000-0005-0000-0000-00007B070000}"/>
    <cellStyle name="¼ÐÃD 3" xfId="2192" xr:uid="{00000000-0005-0000-0000-00007C070000}"/>
    <cellStyle name="¼ÐÃD 4" xfId="2193" xr:uid="{00000000-0005-0000-0000-00007D070000}"/>
    <cellStyle name="20% - »²¦â1" xfId="2194" xr:uid="{00000000-0005-0000-0000-00007E070000}"/>
    <cellStyle name="20% - »²¦â2" xfId="2195" xr:uid="{00000000-0005-0000-0000-00007F070000}"/>
    <cellStyle name="20% - »²¦â3" xfId="2196" xr:uid="{00000000-0005-0000-0000-000080070000}"/>
    <cellStyle name="20% - »²¦â4" xfId="2197" xr:uid="{00000000-0005-0000-0000-000081070000}"/>
    <cellStyle name="20% - »²¦â5" xfId="2198" xr:uid="{00000000-0005-0000-0000-000082070000}"/>
    <cellStyle name="20% - »²¦â6" xfId="2199" xr:uid="{00000000-0005-0000-0000-000083070000}"/>
    <cellStyle name="20% - Accent1 2" xfId="2200" xr:uid="{00000000-0005-0000-0000-000084070000}"/>
    <cellStyle name="20% - Accent2 2" xfId="2201" xr:uid="{00000000-0005-0000-0000-000085070000}"/>
    <cellStyle name="20% - Accent3 2" xfId="2202" xr:uid="{00000000-0005-0000-0000-000086070000}"/>
    <cellStyle name="20% - Accent4 2" xfId="2203" xr:uid="{00000000-0005-0000-0000-000087070000}"/>
    <cellStyle name="20% - Accent5 2" xfId="2204" xr:uid="{00000000-0005-0000-0000-000088070000}"/>
    <cellStyle name="20% - Accent6 2" xfId="2205" xr:uid="{00000000-0005-0000-0000-000089070000}"/>
    <cellStyle name="20% - 輔色1" xfId="2206" xr:uid="{00000000-0005-0000-0000-00008A070000}"/>
    <cellStyle name="20% - 輔色2" xfId="2207" xr:uid="{00000000-0005-0000-0000-00008B070000}"/>
    <cellStyle name="20% - 輔色3" xfId="2208" xr:uid="{00000000-0005-0000-0000-00008C070000}"/>
    <cellStyle name="20% - 輔色4" xfId="2209" xr:uid="{00000000-0005-0000-0000-00008D070000}"/>
    <cellStyle name="20% - 輔色5" xfId="2210" xr:uid="{00000000-0005-0000-0000-00008E070000}"/>
    <cellStyle name="20% - 輔色6" xfId="2211" xr:uid="{00000000-0005-0000-0000-00008F070000}"/>
    <cellStyle name="259 PN" xfId="2212" xr:uid="{00000000-0005-0000-0000-000090070000}"/>
    <cellStyle name="³Æµù" xfId="2213" xr:uid="{00000000-0005-0000-0000-000091070000}"/>
    <cellStyle name="³sµ²ªºÀx¦s®æ" xfId="2214" xr:uid="{00000000-0005-0000-0000-000092070000}"/>
    <cellStyle name="40% - »²¦â1" xfId="2215" xr:uid="{00000000-0005-0000-0000-000093070000}"/>
    <cellStyle name="40% - »²¦â2" xfId="2216" xr:uid="{00000000-0005-0000-0000-000094070000}"/>
    <cellStyle name="40% - »²¦â3" xfId="2217" xr:uid="{00000000-0005-0000-0000-000095070000}"/>
    <cellStyle name="40% - »²¦â4" xfId="2218" xr:uid="{00000000-0005-0000-0000-000096070000}"/>
    <cellStyle name="40% - »²¦â5" xfId="2219" xr:uid="{00000000-0005-0000-0000-000097070000}"/>
    <cellStyle name="40% - »²¦â6" xfId="2220" xr:uid="{00000000-0005-0000-0000-000098070000}"/>
    <cellStyle name="40% - Accent1 2" xfId="2221" xr:uid="{00000000-0005-0000-0000-000099070000}"/>
    <cellStyle name="40% - Accent2 2" xfId="2222" xr:uid="{00000000-0005-0000-0000-00009A070000}"/>
    <cellStyle name="40% - Accent3 2" xfId="2223" xr:uid="{00000000-0005-0000-0000-00009B070000}"/>
    <cellStyle name="40% - Accent4 2" xfId="2224" xr:uid="{00000000-0005-0000-0000-00009C070000}"/>
    <cellStyle name="40% - Accent5 2" xfId="2225" xr:uid="{00000000-0005-0000-0000-00009D070000}"/>
    <cellStyle name="40% - Accent6 2" xfId="2226" xr:uid="{00000000-0005-0000-0000-00009E070000}"/>
    <cellStyle name="40% - 輔色1" xfId="2227" xr:uid="{00000000-0005-0000-0000-00009F070000}"/>
    <cellStyle name="40% - 輔色2" xfId="2228" xr:uid="{00000000-0005-0000-0000-0000A0070000}"/>
    <cellStyle name="40% - 輔色3" xfId="2229" xr:uid="{00000000-0005-0000-0000-0000A1070000}"/>
    <cellStyle name="40% - 輔色4" xfId="2230" xr:uid="{00000000-0005-0000-0000-0000A2070000}"/>
    <cellStyle name="40% - 輔色5" xfId="2231" xr:uid="{00000000-0005-0000-0000-0000A3070000}"/>
    <cellStyle name="40% - 輔色6" xfId="2232" xr:uid="{00000000-0005-0000-0000-0000A4070000}"/>
    <cellStyle name="6-0" xfId="2233" xr:uid="{00000000-0005-0000-0000-0000A5070000}"/>
    <cellStyle name="60% - »²¦â1" xfId="2234" xr:uid="{00000000-0005-0000-0000-0000A6070000}"/>
    <cellStyle name="60% - »²¦â2" xfId="2235" xr:uid="{00000000-0005-0000-0000-0000A7070000}"/>
    <cellStyle name="60% - »²¦â3" xfId="2236" xr:uid="{00000000-0005-0000-0000-0000A8070000}"/>
    <cellStyle name="60% - »²¦â4" xfId="2237" xr:uid="{00000000-0005-0000-0000-0000A9070000}"/>
    <cellStyle name="60% - »²¦â5" xfId="2238" xr:uid="{00000000-0005-0000-0000-0000AA070000}"/>
    <cellStyle name="60% - »²¦â6" xfId="2239" xr:uid="{00000000-0005-0000-0000-0000AB070000}"/>
    <cellStyle name="60% - Accent1 2" xfId="2240" xr:uid="{00000000-0005-0000-0000-0000AC070000}"/>
    <cellStyle name="60% - Accent2 2" xfId="2241" xr:uid="{00000000-0005-0000-0000-0000AD070000}"/>
    <cellStyle name="60% - Accent3 2" xfId="2242" xr:uid="{00000000-0005-0000-0000-0000AE070000}"/>
    <cellStyle name="60% - Accent4 2" xfId="2243" xr:uid="{00000000-0005-0000-0000-0000AF070000}"/>
    <cellStyle name="60% - Accent5 2" xfId="2244" xr:uid="{00000000-0005-0000-0000-0000B0070000}"/>
    <cellStyle name="60% - Accent6 2" xfId="2245" xr:uid="{00000000-0005-0000-0000-0000B1070000}"/>
    <cellStyle name="60% - 輔色1" xfId="2246" xr:uid="{00000000-0005-0000-0000-0000B2070000}"/>
    <cellStyle name="60% - 輔色2" xfId="2247" xr:uid="{00000000-0005-0000-0000-0000B3070000}"/>
    <cellStyle name="60% - 輔色3" xfId="2248" xr:uid="{00000000-0005-0000-0000-0000B4070000}"/>
    <cellStyle name="60% - 輔色4" xfId="2249" xr:uid="{00000000-0005-0000-0000-0000B5070000}"/>
    <cellStyle name="60% - 輔色5" xfId="2250" xr:uid="{00000000-0005-0000-0000-0000B6070000}"/>
    <cellStyle name="60% - 輔色6" xfId="2251" xr:uid="{00000000-0005-0000-0000-0000B7070000}"/>
    <cellStyle name="600 PN" xfId="2252" xr:uid="{00000000-0005-0000-0000-0000B8070000}"/>
    <cellStyle name="700 PN" xfId="2253" xr:uid="{00000000-0005-0000-0000-0000B9070000}"/>
    <cellStyle name="700 PN 2" xfId="2254" xr:uid="{00000000-0005-0000-0000-0000BA070000}"/>
    <cellStyle name="700 PN 3" xfId="2255" xr:uid="{00000000-0005-0000-0000-0000BB070000}"/>
    <cellStyle name="700 PN 4" xfId="2256" xr:uid="{00000000-0005-0000-0000-0000BC070000}"/>
    <cellStyle name="700 PN 5" xfId="2257" xr:uid="{00000000-0005-0000-0000-0000BD070000}"/>
    <cellStyle name="700 PN 6" xfId="2258" xr:uid="{00000000-0005-0000-0000-0000BE070000}"/>
    <cellStyle name="700 PN 7" xfId="2259" xr:uid="{00000000-0005-0000-0000-0000BF070000}"/>
    <cellStyle name="700 PN 8" xfId="2260" xr:uid="{00000000-0005-0000-0000-0000C0070000}"/>
    <cellStyle name="Äµ§i¤å¦r" xfId="2261" xr:uid="{00000000-0005-0000-0000-0000C1070000}"/>
    <cellStyle name="Ãa" xfId="2262" xr:uid="{00000000-0005-0000-0000-0000C2070000}"/>
    <cellStyle name="ac" xfId="2263" xr:uid="{00000000-0005-0000-0000-0000C3070000}"/>
    <cellStyle name="Accent1 2" xfId="2264" xr:uid="{00000000-0005-0000-0000-0000C4070000}"/>
    <cellStyle name="Accent2 2" xfId="2265" xr:uid="{00000000-0005-0000-0000-0000C5070000}"/>
    <cellStyle name="Accent3 2" xfId="2266" xr:uid="{00000000-0005-0000-0000-0000C6070000}"/>
    <cellStyle name="Accent4 2" xfId="2267" xr:uid="{00000000-0005-0000-0000-0000C7070000}"/>
    <cellStyle name="Accent5 2" xfId="2268" xr:uid="{00000000-0005-0000-0000-0000C8070000}"/>
    <cellStyle name="Accent6 2" xfId="2269" xr:uid="{00000000-0005-0000-0000-0000C9070000}"/>
    <cellStyle name="Account Code" xfId="2270" xr:uid="{00000000-0005-0000-0000-0000CA070000}"/>
    <cellStyle name="Account Name" xfId="2271" xr:uid="{00000000-0005-0000-0000-0000CB070000}"/>
    <cellStyle name="ActivateFontColor" xfId="2272" xr:uid="{00000000-0005-0000-0000-0000CC070000}"/>
    <cellStyle name="active" xfId="2273" xr:uid="{00000000-0005-0000-0000-0000CD070000}"/>
    <cellStyle name="active 2" xfId="2274" xr:uid="{00000000-0005-0000-0000-0000CE070000}"/>
    <cellStyle name="Actual Date" xfId="2275" xr:uid="{00000000-0005-0000-0000-0000CF070000}"/>
    <cellStyle name="Actual Date 2" xfId="2276" xr:uid="{00000000-0005-0000-0000-0000D0070000}"/>
    <cellStyle name="Actual Date 3" xfId="2277" xr:uid="{00000000-0005-0000-0000-0000D1070000}"/>
    <cellStyle name="Actual Date 4" xfId="2278" xr:uid="{00000000-0005-0000-0000-0000D2070000}"/>
    <cellStyle name="Actual Date 5" xfId="2279" xr:uid="{00000000-0005-0000-0000-0000D3070000}"/>
    <cellStyle name="Actual Date 6" xfId="2280" xr:uid="{00000000-0005-0000-0000-0000D4070000}"/>
    <cellStyle name="Actual Date 7" xfId="2281" xr:uid="{00000000-0005-0000-0000-0000D5070000}"/>
    <cellStyle name="Actual Date 8" xfId="2282" xr:uid="{00000000-0005-0000-0000-0000D6070000}"/>
    <cellStyle name="ÀË¬dÀx¦s®æ" xfId="2283" xr:uid="{00000000-0005-0000-0000-0000D7070000}"/>
    <cellStyle name="aPrice" xfId="2284" xr:uid="{00000000-0005-0000-0000-0000D8070000}"/>
    <cellStyle name="args.style" xfId="2285" xr:uid="{00000000-0005-0000-0000-0000D9070000}"/>
    <cellStyle name="args.style 2" xfId="2286" xr:uid="{00000000-0005-0000-0000-0000DA070000}"/>
    <cellStyle name="args.style 3" xfId="2287" xr:uid="{00000000-0005-0000-0000-0000DB070000}"/>
    <cellStyle name="args.style 4" xfId="2288" xr:uid="{00000000-0005-0000-0000-0000DC070000}"/>
    <cellStyle name="args.style 5" xfId="2289" xr:uid="{00000000-0005-0000-0000-0000DD070000}"/>
    <cellStyle name="args.style 6" xfId="2290" xr:uid="{00000000-0005-0000-0000-0000DE070000}"/>
    <cellStyle name="args.style 7" xfId="2291" xr:uid="{00000000-0005-0000-0000-0000DF070000}"/>
    <cellStyle name="args.style 8" xfId="2292" xr:uid="{00000000-0005-0000-0000-0000E0070000}"/>
    <cellStyle name="Arial 10" xfId="2293" xr:uid="{00000000-0005-0000-0000-0000E1070000}"/>
    <cellStyle name="Arial 12" xfId="2294" xr:uid="{00000000-0005-0000-0000-0000E2070000}"/>
    <cellStyle name="Arial10b" xfId="2295" xr:uid="{00000000-0005-0000-0000-0000E3070000}"/>
    <cellStyle name="Arial10b 2" xfId="2296" xr:uid="{00000000-0005-0000-0000-0000E4070000}"/>
    <cellStyle name="Arial10b 3" xfId="2297" xr:uid="{00000000-0005-0000-0000-0000E5070000}"/>
    <cellStyle name="Arial10b 4" xfId="2298" xr:uid="{00000000-0005-0000-0000-0000E6070000}"/>
    <cellStyle name="Arial10b 5" xfId="2299" xr:uid="{00000000-0005-0000-0000-0000E7070000}"/>
    <cellStyle name="Arial10b 6" xfId="2300" xr:uid="{00000000-0005-0000-0000-0000E8070000}"/>
    <cellStyle name="Arial10b 7" xfId="2301" xr:uid="{00000000-0005-0000-0000-0000E9070000}"/>
    <cellStyle name="Arial10b 8" xfId="2302" xr:uid="{00000000-0005-0000-0000-0000EA070000}"/>
    <cellStyle name="AutoFormat Options" xfId="2303" xr:uid="{00000000-0005-0000-0000-0000EB070000}"/>
    <cellStyle name="AutoFormat Options 10" xfId="2304" xr:uid="{00000000-0005-0000-0000-0000EC070000}"/>
    <cellStyle name="AutoFormat Options 10 2" xfId="2305" xr:uid="{00000000-0005-0000-0000-0000ED070000}"/>
    <cellStyle name="AutoFormat Options 11" xfId="2306" xr:uid="{00000000-0005-0000-0000-0000EE070000}"/>
    <cellStyle name="AutoFormat Options 11 2" xfId="2307" xr:uid="{00000000-0005-0000-0000-0000EF070000}"/>
    <cellStyle name="AutoFormat Options 2" xfId="2308" xr:uid="{00000000-0005-0000-0000-0000F0070000}"/>
    <cellStyle name="AutoFormat Options 2 2" xfId="2309" xr:uid="{00000000-0005-0000-0000-0000F1070000}"/>
    <cellStyle name="AutoFormat Options 3" xfId="2310" xr:uid="{00000000-0005-0000-0000-0000F2070000}"/>
    <cellStyle name="AutoFormat Options 3 2" xfId="2311" xr:uid="{00000000-0005-0000-0000-0000F3070000}"/>
    <cellStyle name="AutoFormat Options 4" xfId="2312" xr:uid="{00000000-0005-0000-0000-0000F4070000}"/>
    <cellStyle name="AutoFormat Options 4 2" xfId="2313" xr:uid="{00000000-0005-0000-0000-0000F5070000}"/>
    <cellStyle name="AutoFormat Options 5" xfId="2314" xr:uid="{00000000-0005-0000-0000-0000F6070000}"/>
    <cellStyle name="AutoFormat Options 5 2" xfId="2315" xr:uid="{00000000-0005-0000-0000-0000F7070000}"/>
    <cellStyle name="AutoFormat Options 6" xfId="2316" xr:uid="{00000000-0005-0000-0000-0000F8070000}"/>
    <cellStyle name="AutoFormat Options 6 2" xfId="2317" xr:uid="{00000000-0005-0000-0000-0000F9070000}"/>
    <cellStyle name="AutoFormat Options 7" xfId="2318" xr:uid="{00000000-0005-0000-0000-0000FA070000}"/>
    <cellStyle name="AutoFormat Options 7 2" xfId="2319" xr:uid="{00000000-0005-0000-0000-0000FB070000}"/>
    <cellStyle name="AutoFormat Options 8" xfId="2320" xr:uid="{00000000-0005-0000-0000-0000FC070000}"/>
    <cellStyle name="AutoFormat Options 8 2" xfId="2321" xr:uid="{00000000-0005-0000-0000-0000FD070000}"/>
    <cellStyle name="AutoFormat Options 9" xfId="2322" xr:uid="{00000000-0005-0000-0000-0000FE070000}"/>
    <cellStyle name="AutoFormat Options 9 2" xfId="2323" xr:uid="{00000000-0005-0000-0000-0000FF070000}"/>
    <cellStyle name="Background (,0)" xfId="2324" xr:uid="{00000000-0005-0000-0000-000000080000}"/>
    <cellStyle name="background grid" xfId="2325" xr:uid="{00000000-0005-0000-0000-000001080000}"/>
    <cellStyle name="Bad 2" xfId="2326" xr:uid="{00000000-0005-0000-0000-000002080000}"/>
    <cellStyle name="Black" xfId="2327" xr:uid="{00000000-0005-0000-0000-000003080000}"/>
    <cellStyle name="blank" xfId="2328" xr:uid="{00000000-0005-0000-0000-000004080000}"/>
    <cellStyle name="blue" xfId="2329" xr:uid="{00000000-0005-0000-0000-000005080000}"/>
    <cellStyle name="Body" xfId="2330" xr:uid="{00000000-0005-0000-0000-000006080000}"/>
    <cellStyle name="Body 2" xfId="2331" xr:uid="{00000000-0005-0000-0000-000007080000}"/>
    <cellStyle name="Bold grid (,0)" xfId="2332" xr:uid="{00000000-0005-0000-0000-000008080000}"/>
    <cellStyle name="Border" xfId="2333" xr:uid="{00000000-0005-0000-0000-000009080000}"/>
    <cellStyle name="Border table" xfId="2334" xr:uid="{00000000-0005-0000-0000-00000A080000}"/>
    <cellStyle name="Bottom" xfId="2335" xr:uid="{00000000-0005-0000-0000-00000B080000}"/>
    <cellStyle name="British Pound" xfId="2336" xr:uid="{00000000-0005-0000-0000-00000C080000}"/>
    <cellStyle name="c" xfId="2337" xr:uid="{00000000-0005-0000-0000-00000D080000}"/>
    <cellStyle name="Ç¥ÁØ_¿ù°£¿ä¾àº¸°í" xfId="2338" xr:uid="{00000000-0005-0000-0000-00000E080000}"/>
    <cellStyle name="C600 PN" xfId="2339" xr:uid="{00000000-0005-0000-0000-00000F080000}"/>
    <cellStyle name="C600 PN 2" xfId="2340" xr:uid="{00000000-0005-0000-0000-000010080000}"/>
    <cellStyle name="C600 PN 3" xfId="2341" xr:uid="{00000000-0005-0000-0000-000011080000}"/>
    <cellStyle name="C600 PN 4" xfId="2342" xr:uid="{00000000-0005-0000-0000-000012080000}"/>
    <cellStyle name="C600 PN 5" xfId="2343" xr:uid="{00000000-0005-0000-0000-000013080000}"/>
    <cellStyle name="C600 PN 6" xfId="2344" xr:uid="{00000000-0005-0000-0000-000014080000}"/>
    <cellStyle name="C600 PN 7" xfId="2345" xr:uid="{00000000-0005-0000-0000-000015080000}"/>
    <cellStyle name="C600 PN 8" xfId="2346" xr:uid="{00000000-0005-0000-0000-000016080000}"/>
    <cellStyle name="Calc Currency (0)" xfId="2347" xr:uid="{00000000-0005-0000-0000-000017080000}"/>
    <cellStyle name="Calc Currency (0) 10" xfId="2348" xr:uid="{00000000-0005-0000-0000-000018080000}"/>
    <cellStyle name="Calc Currency (0) 11" xfId="2349" xr:uid="{00000000-0005-0000-0000-000019080000}"/>
    <cellStyle name="Calc Currency (0) 12" xfId="2350" xr:uid="{00000000-0005-0000-0000-00001A080000}"/>
    <cellStyle name="Calc Currency (0) 13" xfId="2351" xr:uid="{00000000-0005-0000-0000-00001B080000}"/>
    <cellStyle name="Calc Currency (0) 14" xfId="2352" xr:uid="{00000000-0005-0000-0000-00001C080000}"/>
    <cellStyle name="Calc Currency (0) 15" xfId="2353" xr:uid="{00000000-0005-0000-0000-00001D080000}"/>
    <cellStyle name="Calc Currency (0) 16" xfId="2354" xr:uid="{00000000-0005-0000-0000-00001E080000}"/>
    <cellStyle name="Calc Currency (0) 17" xfId="2355" xr:uid="{00000000-0005-0000-0000-00001F080000}"/>
    <cellStyle name="Calc Currency (0) 18" xfId="2356" xr:uid="{00000000-0005-0000-0000-000020080000}"/>
    <cellStyle name="Calc Currency (0) 19" xfId="2357" xr:uid="{00000000-0005-0000-0000-000021080000}"/>
    <cellStyle name="Calc Currency (0) 2" xfId="2358" xr:uid="{00000000-0005-0000-0000-000022080000}"/>
    <cellStyle name="Calc Currency (0) 2 2" xfId="2359" xr:uid="{00000000-0005-0000-0000-000023080000}"/>
    <cellStyle name="Calc Currency (0) 20" xfId="2360" xr:uid="{00000000-0005-0000-0000-000024080000}"/>
    <cellStyle name="Calc Currency (0) 21" xfId="2361" xr:uid="{00000000-0005-0000-0000-000025080000}"/>
    <cellStyle name="Calc Currency (0) 22" xfId="2362" xr:uid="{00000000-0005-0000-0000-000026080000}"/>
    <cellStyle name="Calc Currency (0) 23" xfId="2363" xr:uid="{00000000-0005-0000-0000-000027080000}"/>
    <cellStyle name="Calc Currency (0) 24" xfId="2364" xr:uid="{00000000-0005-0000-0000-000028080000}"/>
    <cellStyle name="Calc Currency (0) 25" xfId="2365" xr:uid="{00000000-0005-0000-0000-000029080000}"/>
    <cellStyle name="Calc Currency (0) 26" xfId="2366" xr:uid="{00000000-0005-0000-0000-00002A080000}"/>
    <cellStyle name="Calc Currency (0) 27" xfId="2367" xr:uid="{00000000-0005-0000-0000-00002B080000}"/>
    <cellStyle name="Calc Currency (0) 28" xfId="2368" xr:uid="{00000000-0005-0000-0000-00002C080000}"/>
    <cellStyle name="Calc Currency (0) 29" xfId="2369" xr:uid="{00000000-0005-0000-0000-00002D080000}"/>
    <cellStyle name="Calc Currency (0) 3" xfId="2370" xr:uid="{00000000-0005-0000-0000-00002E080000}"/>
    <cellStyle name="Calc Currency (0) 3 2" xfId="2371" xr:uid="{00000000-0005-0000-0000-00002F080000}"/>
    <cellStyle name="Calc Currency (0) 30" xfId="2372" xr:uid="{00000000-0005-0000-0000-000030080000}"/>
    <cellStyle name="Calc Currency (0) 4" xfId="2373" xr:uid="{00000000-0005-0000-0000-000031080000}"/>
    <cellStyle name="Calc Currency (0) 4 2" xfId="2374" xr:uid="{00000000-0005-0000-0000-000032080000}"/>
    <cellStyle name="Calc Currency (0) 5" xfId="2375" xr:uid="{00000000-0005-0000-0000-000033080000}"/>
    <cellStyle name="Calc Currency (0) 5 2" xfId="2376" xr:uid="{00000000-0005-0000-0000-000034080000}"/>
    <cellStyle name="Calc Currency (0) 6" xfId="2377" xr:uid="{00000000-0005-0000-0000-000035080000}"/>
    <cellStyle name="Calc Currency (0) 6 2" xfId="2378" xr:uid="{00000000-0005-0000-0000-000036080000}"/>
    <cellStyle name="Calc Currency (0) 7" xfId="2379" xr:uid="{00000000-0005-0000-0000-000037080000}"/>
    <cellStyle name="Calc Currency (0) 7 2" xfId="2380" xr:uid="{00000000-0005-0000-0000-000038080000}"/>
    <cellStyle name="Calc Currency (0) 8" xfId="2381" xr:uid="{00000000-0005-0000-0000-000039080000}"/>
    <cellStyle name="Calc Currency (0) 8 2" xfId="2382" xr:uid="{00000000-0005-0000-0000-00003A080000}"/>
    <cellStyle name="Calc Currency (0) 9" xfId="2383" xr:uid="{00000000-0005-0000-0000-00003B080000}"/>
    <cellStyle name="Calc Currency (2)" xfId="2384" xr:uid="{00000000-0005-0000-0000-00003C080000}"/>
    <cellStyle name="Calc Currency (2) 10" xfId="2385" xr:uid="{00000000-0005-0000-0000-00003D080000}"/>
    <cellStyle name="Calc Currency (2) 11" xfId="2386" xr:uid="{00000000-0005-0000-0000-00003E080000}"/>
    <cellStyle name="Calc Currency (2) 2" xfId="2387" xr:uid="{00000000-0005-0000-0000-00003F080000}"/>
    <cellStyle name="Calc Currency (2) 3" xfId="2388" xr:uid="{00000000-0005-0000-0000-000040080000}"/>
    <cellStyle name="Calc Currency (2) 4" xfId="2389" xr:uid="{00000000-0005-0000-0000-000041080000}"/>
    <cellStyle name="Calc Currency (2) 5" xfId="2390" xr:uid="{00000000-0005-0000-0000-000042080000}"/>
    <cellStyle name="Calc Currency (2) 6" xfId="2391" xr:uid="{00000000-0005-0000-0000-000043080000}"/>
    <cellStyle name="Calc Currency (2) 7" xfId="2392" xr:uid="{00000000-0005-0000-0000-000044080000}"/>
    <cellStyle name="Calc Currency (2) 8" xfId="2393" xr:uid="{00000000-0005-0000-0000-000045080000}"/>
    <cellStyle name="Calc Currency (2) 9" xfId="2394" xr:uid="{00000000-0005-0000-0000-000046080000}"/>
    <cellStyle name="Calc Percent (0)" xfId="2395" xr:uid="{00000000-0005-0000-0000-000047080000}"/>
    <cellStyle name="Calc Percent (0) 10" xfId="2396" xr:uid="{00000000-0005-0000-0000-000048080000}"/>
    <cellStyle name="Calc Percent (0) 11" xfId="2397" xr:uid="{00000000-0005-0000-0000-000049080000}"/>
    <cellStyle name="Calc Percent (0) 2" xfId="2398" xr:uid="{00000000-0005-0000-0000-00004A080000}"/>
    <cellStyle name="Calc Percent (0) 3" xfId="2399" xr:uid="{00000000-0005-0000-0000-00004B080000}"/>
    <cellStyle name="Calc Percent (0) 4" xfId="2400" xr:uid="{00000000-0005-0000-0000-00004C080000}"/>
    <cellStyle name="Calc Percent (0) 5" xfId="2401" xr:uid="{00000000-0005-0000-0000-00004D080000}"/>
    <cellStyle name="Calc Percent (0) 6" xfId="2402" xr:uid="{00000000-0005-0000-0000-00004E080000}"/>
    <cellStyle name="Calc Percent (0) 7" xfId="2403" xr:uid="{00000000-0005-0000-0000-00004F080000}"/>
    <cellStyle name="Calc Percent (0) 8" xfId="2404" xr:uid="{00000000-0005-0000-0000-000050080000}"/>
    <cellStyle name="Calc Percent (0) 9" xfId="2405" xr:uid="{00000000-0005-0000-0000-000051080000}"/>
    <cellStyle name="Calc Percent (1)" xfId="2406" xr:uid="{00000000-0005-0000-0000-000052080000}"/>
    <cellStyle name="Calc Percent (1) 10" xfId="2407" xr:uid="{00000000-0005-0000-0000-000053080000}"/>
    <cellStyle name="Calc Percent (1) 11" xfId="2408" xr:uid="{00000000-0005-0000-0000-000054080000}"/>
    <cellStyle name="Calc Percent (1) 2" xfId="2409" xr:uid="{00000000-0005-0000-0000-000055080000}"/>
    <cellStyle name="Calc Percent (1) 3" xfId="2410" xr:uid="{00000000-0005-0000-0000-000056080000}"/>
    <cellStyle name="Calc Percent (1) 4" xfId="2411" xr:uid="{00000000-0005-0000-0000-000057080000}"/>
    <cellStyle name="Calc Percent (1) 5" xfId="2412" xr:uid="{00000000-0005-0000-0000-000058080000}"/>
    <cellStyle name="Calc Percent (1) 6" xfId="2413" xr:uid="{00000000-0005-0000-0000-000059080000}"/>
    <cellStyle name="Calc Percent (1) 7" xfId="2414" xr:uid="{00000000-0005-0000-0000-00005A080000}"/>
    <cellStyle name="Calc Percent (1) 8" xfId="2415" xr:uid="{00000000-0005-0000-0000-00005B080000}"/>
    <cellStyle name="Calc Percent (1) 9" xfId="2416" xr:uid="{00000000-0005-0000-0000-00005C080000}"/>
    <cellStyle name="Calc Percent (2)" xfId="2417" xr:uid="{00000000-0005-0000-0000-00005D080000}"/>
    <cellStyle name="Calc Percent (2) 10" xfId="2418" xr:uid="{00000000-0005-0000-0000-00005E080000}"/>
    <cellStyle name="Calc Percent (2) 11" xfId="2419" xr:uid="{00000000-0005-0000-0000-00005F080000}"/>
    <cellStyle name="Calc Percent (2) 2" xfId="2420" xr:uid="{00000000-0005-0000-0000-000060080000}"/>
    <cellStyle name="Calc Percent (2) 3" xfId="2421" xr:uid="{00000000-0005-0000-0000-000061080000}"/>
    <cellStyle name="Calc Percent (2) 4" xfId="2422" xr:uid="{00000000-0005-0000-0000-000062080000}"/>
    <cellStyle name="Calc Percent (2) 5" xfId="2423" xr:uid="{00000000-0005-0000-0000-000063080000}"/>
    <cellStyle name="Calc Percent (2) 6" xfId="2424" xr:uid="{00000000-0005-0000-0000-000064080000}"/>
    <cellStyle name="Calc Percent (2) 7" xfId="2425" xr:uid="{00000000-0005-0000-0000-000065080000}"/>
    <cellStyle name="Calc Percent (2) 8" xfId="2426" xr:uid="{00000000-0005-0000-0000-000066080000}"/>
    <cellStyle name="Calc Percent (2) 9" xfId="2427" xr:uid="{00000000-0005-0000-0000-000067080000}"/>
    <cellStyle name="Calc Units (0)" xfId="2428" xr:uid="{00000000-0005-0000-0000-000068080000}"/>
    <cellStyle name="Calc Units (0) 10" xfId="2429" xr:uid="{00000000-0005-0000-0000-000069080000}"/>
    <cellStyle name="Calc Units (0) 11" xfId="2430" xr:uid="{00000000-0005-0000-0000-00006A080000}"/>
    <cellStyle name="Calc Units (0) 2" xfId="2431" xr:uid="{00000000-0005-0000-0000-00006B080000}"/>
    <cellStyle name="Calc Units (0) 3" xfId="2432" xr:uid="{00000000-0005-0000-0000-00006C080000}"/>
    <cellStyle name="Calc Units (0) 4" xfId="2433" xr:uid="{00000000-0005-0000-0000-00006D080000}"/>
    <cellStyle name="Calc Units (0) 5" xfId="2434" xr:uid="{00000000-0005-0000-0000-00006E080000}"/>
    <cellStyle name="Calc Units (0) 6" xfId="2435" xr:uid="{00000000-0005-0000-0000-00006F080000}"/>
    <cellStyle name="Calc Units (0) 7" xfId="2436" xr:uid="{00000000-0005-0000-0000-000070080000}"/>
    <cellStyle name="Calc Units (0) 8" xfId="2437" xr:uid="{00000000-0005-0000-0000-000071080000}"/>
    <cellStyle name="Calc Units (0) 9" xfId="2438" xr:uid="{00000000-0005-0000-0000-000072080000}"/>
    <cellStyle name="Calc Units (1)" xfId="2439" xr:uid="{00000000-0005-0000-0000-000073080000}"/>
    <cellStyle name="Calc Units (1) 10" xfId="2440" xr:uid="{00000000-0005-0000-0000-000074080000}"/>
    <cellStyle name="Calc Units (1) 11" xfId="2441" xr:uid="{00000000-0005-0000-0000-000075080000}"/>
    <cellStyle name="Calc Units (1) 2" xfId="2442" xr:uid="{00000000-0005-0000-0000-000076080000}"/>
    <cellStyle name="Calc Units (1) 3" xfId="2443" xr:uid="{00000000-0005-0000-0000-000077080000}"/>
    <cellStyle name="Calc Units (1) 4" xfId="2444" xr:uid="{00000000-0005-0000-0000-000078080000}"/>
    <cellStyle name="Calc Units (1) 5" xfId="2445" xr:uid="{00000000-0005-0000-0000-000079080000}"/>
    <cellStyle name="Calc Units (1) 6" xfId="2446" xr:uid="{00000000-0005-0000-0000-00007A080000}"/>
    <cellStyle name="Calc Units (1) 7" xfId="2447" xr:uid="{00000000-0005-0000-0000-00007B080000}"/>
    <cellStyle name="Calc Units (1) 8" xfId="2448" xr:uid="{00000000-0005-0000-0000-00007C080000}"/>
    <cellStyle name="Calc Units (1) 9" xfId="2449" xr:uid="{00000000-0005-0000-0000-00007D080000}"/>
    <cellStyle name="Calc Units (2)" xfId="2450" xr:uid="{00000000-0005-0000-0000-00007E080000}"/>
    <cellStyle name="Calc Units (2) 10" xfId="2451" xr:uid="{00000000-0005-0000-0000-00007F080000}"/>
    <cellStyle name="Calc Units (2) 11" xfId="2452" xr:uid="{00000000-0005-0000-0000-000080080000}"/>
    <cellStyle name="Calc Units (2) 2" xfId="2453" xr:uid="{00000000-0005-0000-0000-000081080000}"/>
    <cellStyle name="Calc Units (2) 3" xfId="2454" xr:uid="{00000000-0005-0000-0000-000082080000}"/>
    <cellStyle name="Calc Units (2) 4" xfId="2455" xr:uid="{00000000-0005-0000-0000-000083080000}"/>
    <cellStyle name="Calc Units (2) 5" xfId="2456" xr:uid="{00000000-0005-0000-0000-000084080000}"/>
    <cellStyle name="Calc Units (2) 6" xfId="2457" xr:uid="{00000000-0005-0000-0000-000085080000}"/>
    <cellStyle name="Calc Units (2) 7" xfId="2458" xr:uid="{00000000-0005-0000-0000-000086080000}"/>
    <cellStyle name="Calc Units (2) 8" xfId="2459" xr:uid="{00000000-0005-0000-0000-000087080000}"/>
    <cellStyle name="Calc Units (2) 9" xfId="2460" xr:uid="{00000000-0005-0000-0000-000088080000}"/>
    <cellStyle name="Calculation 2" xfId="2461" xr:uid="{00000000-0005-0000-0000-000089080000}"/>
    <cellStyle name="Centered Heading" xfId="2462" xr:uid="{00000000-0005-0000-0000-00008A080000}"/>
    <cellStyle name="Check Cell 2" xfId="2463" xr:uid="{00000000-0005-0000-0000-00008B080000}"/>
    <cellStyle name="clear - Style2" xfId="2464" xr:uid="{00000000-0005-0000-0000-00008C080000}"/>
    <cellStyle name="Cmnt - Style1" xfId="2465" xr:uid="{00000000-0005-0000-0000-00008D080000}"/>
    <cellStyle name="Co. Names" xfId="2466" xr:uid="{00000000-0005-0000-0000-00008E080000}"/>
    <cellStyle name="Col Heading" xfId="2467" xr:uid="{00000000-0005-0000-0000-00008F080000}"/>
    <cellStyle name="Col Heading 10" xfId="2468" xr:uid="{00000000-0005-0000-0000-000090080000}"/>
    <cellStyle name="Col Heading 11" xfId="2469" xr:uid="{00000000-0005-0000-0000-000091080000}"/>
    <cellStyle name="Col Heading 12" xfId="2470" xr:uid="{00000000-0005-0000-0000-000092080000}"/>
    <cellStyle name="Col Heading 13" xfId="2471" xr:uid="{00000000-0005-0000-0000-000093080000}"/>
    <cellStyle name="Col Heading 14" xfId="2472" xr:uid="{00000000-0005-0000-0000-000094080000}"/>
    <cellStyle name="Col Heading 15" xfId="2473" xr:uid="{00000000-0005-0000-0000-000095080000}"/>
    <cellStyle name="Col Heading 16" xfId="2474" xr:uid="{00000000-0005-0000-0000-000096080000}"/>
    <cellStyle name="Col Heading 17" xfId="2475" xr:uid="{00000000-0005-0000-0000-000097080000}"/>
    <cellStyle name="Col Heading 18" xfId="2476" xr:uid="{00000000-0005-0000-0000-000098080000}"/>
    <cellStyle name="Col Heading 19" xfId="2477" xr:uid="{00000000-0005-0000-0000-000099080000}"/>
    <cellStyle name="Col Heading 2" xfId="2478" xr:uid="{00000000-0005-0000-0000-00009A080000}"/>
    <cellStyle name="Col Heading 2 2" xfId="2479" xr:uid="{00000000-0005-0000-0000-00009B080000}"/>
    <cellStyle name="Col Heading 2_Top 20-IR" xfId="2480" xr:uid="{00000000-0005-0000-0000-00009C080000}"/>
    <cellStyle name="Col Heading 20" xfId="2481" xr:uid="{00000000-0005-0000-0000-00009D080000}"/>
    <cellStyle name="Col Heading 21" xfId="2482" xr:uid="{00000000-0005-0000-0000-00009E080000}"/>
    <cellStyle name="Col Heading 22" xfId="2483" xr:uid="{00000000-0005-0000-0000-00009F080000}"/>
    <cellStyle name="Col Heading 23" xfId="2484" xr:uid="{00000000-0005-0000-0000-0000A0080000}"/>
    <cellStyle name="Col Heading 24" xfId="2485" xr:uid="{00000000-0005-0000-0000-0000A1080000}"/>
    <cellStyle name="Col Heading 25" xfId="2486" xr:uid="{00000000-0005-0000-0000-0000A2080000}"/>
    <cellStyle name="Col Heading 26" xfId="2487" xr:uid="{00000000-0005-0000-0000-0000A3080000}"/>
    <cellStyle name="Col Heading 27" xfId="2488" xr:uid="{00000000-0005-0000-0000-0000A4080000}"/>
    <cellStyle name="Col Heading 28" xfId="2489" xr:uid="{00000000-0005-0000-0000-0000A5080000}"/>
    <cellStyle name="Col Heading 29" xfId="2490" xr:uid="{00000000-0005-0000-0000-0000A6080000}"/>
    <cellStyle name="Col Heading 3" xfId="2491" xr:uid="{00000000-0005-0000-0000-0000A7080000}"/>
    <cellStyle name="Col Heading 3 2" xfId="2492" xr:uid="{00000000-0005-0000-0000-0000A8080000}"/>
    <cellStyle name="Col Heading 3_Top 20-IR" xfId="2493" xr:uid="{00000000-0005-0000-0000-0000A9080000}"/>
    <cellStyle name="Col Heading 30" xfId="2494" xr:uid="{00000000-0005-0000-0000-0000AA080000}"/>
    <cellStyle name="Col Heading 31" xfId="2495" xr:uid="{00000000-0005-0000-0000-0000AB080000}"/>
    <cellStyle name="Col Heading 32" xfId="2496" xr:uid="{00000000-0005-0000-0000-0000AC080000}"/>
    <cellStyle name="Col Heading 33" xfId="2497" xr:uid="{00000000-0005-0000-0000-0000AD080000}"/>
    <cellStyle name="Col Heading 4" xfId="2498" xr:uid="{00000000-0005-0000-0000-0000AE080000}"/>
    <cellStyle name="Col Heading 4 2" xfId="2499" xr:uid="{00000000-0005-0000-0000-0000AF080000}"/>
    <cellStyle name="Col Heading 4_Top 20-IR" xfId="2500" xr:uid="{00000000-0005-0000-0000-0000B0080000}"/>
    <cellStyle name="Col Heading 5" xfId="2501" xr:uid="{00000000-0005-0000-0000-0000B1080000}"/>
    <cellStyle name="Col Heading 6" xfId="2502" xr:uid="{00000000-0005-0000-0000-0000B2080000}"/>
    <cellStyle name="Col Heading 7" xfId="2503" xr:uid="{00000000-0005-0000-0000-0000B3080000}"/>
    <cellStyle name="Col Heading 8" xfId="2504" xr:uid="{00000000-0005-0000-0000-0000B4080000}"/>
    <cellStyle name="Col Heading 9" xfId="2505" xr:uid="{00000000-0005-0000-0000-0000B5080000}"/>
    <cellStyle name="Col Heads" xfId="2506" xr:uid="{00000000-0005-0000-0000-0000B6080000}"/>
    <cellStyle name="Col Heads 2" xfId="2507" xr:uid="{00000000-0005-0000-0000-0000B7080000}"/>
    <cellStyle name="Column_Title" xfId="2508" xr:uid="{00000000-0005-0000-0000-0000B8080000}"/>
    <cellStyle name="ColumnAttributeAbovePrompt" xfId="2509" xr:uid="{00000000-0005-0000-0000-0000B9080000}"/>
    <cellStyle name="ColumnAttributeAbovePrompt 2" xfId="2510" xr:uid="{00000000-0005-0000-0000-0000BA080000}"/>
    <cellStyle name="ColumnAttributePrompt" xfId="2511" xr:uid="{00000000-0005-0000-0000-0000BB080000}"/>
    <cellStyle name="ColumnAttributePrompt 2" xfId="2512" xr:uid="{00000000-0005-0000-0000-0000BC080000}"/>
    <cellStyle name="ColumnAttributeValue" xfId="2513" xr:uid="{00000000-0005-0000-0000-0000BD080000}"/>
    <cellStyle name="ColumnAttributeValue 2" xfId="2514" xr:uid="{00000000-0005-0000-0000-0000BE080000}"/>
    <cellStyle name="ColumnHeadingPrompt" xfId="2515" xr:uid="{00000000-0005-0000-0000-0000BF080000}"/>
    <cellStyle name="ColumnHeadingPrompt 2" xfId="2516" xr:uid="{00000000-0005-0000-0000-0000C0080000}"/>
    <cellStyle name="ColumnHeadingValue" xfId="2517" xr:uid="{00000000-0005-0000-0000-0000C1080000}"/>
    <cellStyle name="ColumnHeadingValue 2" xfId="2518" xr:uid="{00000000-0005-0000-0000-0000C2080000}"/>
    <cellStyle name="columns" xfId="2519" xr:uid="{00000000-0005-0000-0000-0000C3080000}"/>
    <cellStyle name="Comma" xfId="1" builtinId="3"/>
    <cellStyle name="Comma  - Style1" xfId="2520" xr:uid="{00000000-0005-0000-0000-0000C5080000}"/>
    <cellStyle name="Comma  - Style1 2" xfId="2521" xr:uid="{00000000-0005-0000-0000-0000C6080000}"/>
    <cellStyle name="Comma  - Style2" xfId="2522" xr:uid="{00000000-0005-0000-0000-0000C7080000}"/>
    <cellStyle name="Comma  - Style3" xfId="2523" xr:uid="{00000000-0005-0000-0000-0000C8080000}"/>
    <cellStyle name="Comma  - Style4" xfId="2524" xr:uid="{00000000-0005-0000-0000-0000C9080000}"/>
    <cellStyle name="Comma  - Style5" xfId="2525" xr:uid="{00000000-0005-0000-0000-0000CA080000}"/>
    <cellStyle name="Comma  - Style6" xfId="2526" xr:uid="{00000000-0005-0000-0000-0000CB080000}"/>
    <cellStyle name="Comma  - Style7" xfId="2527" xr:uid="{00000000-0005-0000-0000-0000CC080000}"/>
    <cellStyle name="Comma  - Style8" xfId="2528" xr:uid="{00000000-0005-0000-0000-0000CD080000}"/>
    <cellStyle name="comma (,0)" xfId="2529" xr:uid="{00000000-0005-0000-0000-0000CE080000}"/>
    <cellStyle name="comma (,0) 10" xfId="2530" xr:uid="{00000000-0005-0000-0000-0000CF080000}"/>
    <cellStyle name="comma (,0) 11" xfId="2531" xr:uid="{00000000-0005-0000-0000-0000D0080000}"/>
    <cellStyle name="comma (,0) 12" xfId="2532" xr:uid="{00000000-0005-0000-0000-0000D1080000}"/>
    <cellStyle name="comma (,0) 13" xfId="2533" xr:uid="{00000000-0005-0000-0000-0000D2080000}"/>
    <cellStyle name="comma (,0) 14" xfId="2534" xr:uid="{00000000-0005-0000-0000-0000D3080000}"/>
    <cellStyle name="comma (,0) 15" xfId="2535" xr:uid="{00000000-0005-0000-0000-0000D4080000}"/>
    <cellStyle name="comma (,0) 16" xfId="2536" xr:uid="{00000000-0005-0000-0000-0000D5080000}"/>
    <cellStyle name="comma (,0) 17" xfId="2537" xr:uid="{00000000-0005-0000-0000-0000D6080000}"/>
    <cellStyle name="comma (,0) 18" xfId="2538" xr:uid="{00000000-0005-0000-0000-0000D7080000}"/>
    <cellStyle name="comma (,0) 19" xfId="2539" xr:uid="{00000000-0005-0000-0000-0000D8080000}"/>
    <cellStyle name="comma (,0) 2" xfId="2540" xr:uid="{00000000-0005-0000-0000-0000D9080000}"/>
    <cellStyle name="comma (,0) 20" xfId="2541" xr:uid="{00000000-0005-0000-0000-0000DA080000}"/>
    <cellStyle name="comma (,0) 21" xfId="2542" xr:uid="{00000000-0005-0000-0000-0000DB080000}"/>
    <cellStyle name="comma (,0) 22" xfId="2543" xr:uid="{00000000-0005-0000-0000-0000DC080000}"/>
    <cellStyle name="comma (,0) 23" xfId="2544" xr:uid="{00000000-0005-0000-0000-0000DD080000}"/>
    <cellStyle name="comma (,0) 24" xfId="2545" xr:uid="{00000000-0005-0000-0000-0000DE080000}"/>
    <cellStyle name="comma (,0) 25" xfId="2546" xr:uid="{00000000-0005-0000-0000-0000DF080000}"/>
    <cellStyle name="comma (,0) 26" xfId="2547" xr:uid="{00000000-0005-0000-0000-0000E0080000}"/>
    <cellStyle name="comma (,0) 27" xfId="2548" xr:uid="{00000000-0005-0000-0000-0000E1080000}"/>
    <cellStyle name="comma (,0) 28" xfId="2549" xr:uid="{00000000-0005-0000-0000-0000E2080000}"/>
    <cellStyle name="comma (,0) 29" xfId="2550" xr:uid="{00000000-0005-0000-0000-0000E3080000}"/>
    <cellStyle name="comma (,0) 3" xfId="2551" xr:uid="{00000000-0005-0000-0000-0000E4080000}"/>
    <cellStyle name="comma (,0) 30" xfId="2552" xr:uid="{00000000-0005-0000-0000-0000E5080000}"/>
    <cellStyle name="comma (,0) 4" xfId="2553" xr:uid="{00000000-0005-0000-0000-0000E6080000}"/>
    <cellStyle name="comma (,0) 5" xfId="2554" xr:uid="{00000000-0005-0000-0000-0000E7080000}"/>
    <cellStyle name="comma (,0) 6" xfId="2555" xr:uid="{00000000-0005-0000-0000-0000E8080000}"/>
    <cellStyle name="comma (,0) 7" xfId="2556" xr:uid="{00000000-0005-0000-0000-0000E9080000}"/>
    <cellStyle name="comma (,0) 8" xfId="2557" xr:uid="{00000000-0005-0000-0000-0000EA080000}"/>
    <cellStyle name="comma (,0) 9" xfId="2558" xr:uid="{00000000-0005-0000-0000-0000EB080000}"/>
    <cellStyle name="comma (,1)" xfId="2559" xr:uid="{00000000-0005-0000-0000-0000EC080000}"/>
    <cellStyle name="comma (,1) 2" xfId="2560" xr:uid="{00000000-0005-0000-0000-0000ED080000}"/>
    <cellStyle name="comma (,1) 3" xfId="2561" xr:uid="{00000000-0005-0000-0000-0000EE080000}"/>
    <cellStyle name="comma (,1) 4" xfId="2562" xr:uid="{00000000-0005-0000-0000-0000EF080000}"/>
    <cellStyle name="comma (,2)" xfId="2563" xr:uid="{00000000-0005-0000-0000-0000F0080000}"/>
    <cellStyle name="comma (,2) 2" xfId="2564" xr:uid="{00000000-0005-0000-0000-0000F1080000}"/>
    <cellStyle name="comma (,2) 3" xfId="2565" xr:uid="{00000000-0005-0000-0000-0000F2080000}"/>
    <cellStyle name="comma (,2) 4" xfId="2566" xr:uid="{00000000-0005-0000-0000-0000F3080000}"/>
    <cellStyle name="comma (0)" xfId="2567" xr:uid="{00000000-0005-0000-0000-0000F4080000}"/>
    <cellStyle name="comma (K0)" xfId="2568" xr:uid="{00000000-0005-0000-0000-0000F5080000}"/>
    <cellStyle name="comma (K0) 10" xfId="2569" xr:uid="{00000000-0005-0000-0000-0000F6080000}"/>
    <cellStyle name="comma (K0) 11" xfId="2570" xr:uid="{00000000-0005-0000-0000-0000F7080000}"/>
    <cellStyle name="comma (K0) 12" xfId="2571" xr:uid="{00000000-0005-0000-0000-0000F8080000}"/>
    <cellStyle name="comma (K0) 13" xfId="2572" xr:uid="{00000000-0005-0000-0000-0000F9080000}"/>
    <cellStyle name="comma (K0) 14" xfId="2573" xr:uid="{00000000-0005-0000-0000-0000FA080000}"/>
    <cellStyle name="comma (K0) 15" xfId="2574" xr:uid="{00000000-0005-0000-0000-0000FB080000}"/>
    <cellStyle name="comma (K0) 16" xfId="2575" xr:uid="{00000000-0005-0000-0000-0000FC080000}"/>
    <cellStyle name="comma (K0) 17" xfId="2576" xr:uid="{00000000-0005-0000-0000-0000FD080000}"/>
    <cellStyle name="comma (K0) 18" xfId="2577" xr:uid="{00000000-0005-0000-0000-0000FE080000}"/>
    <cellStyle name="comma (K0) 19" xfId="2578" xr:uid="{00000000-0005-0000-0000-0000FF080000}"/>
    <cellStyle name="comma (K0) 2" xfId="2579" xr:uid="{00000000-0005-0000-0000-000000090000}"/>
    <cellStyle name="comma (K0) 20" xfId="2580" xr:uid="{00000000-0005-0000-0000-000001090000}"/>
    <cellStyle name="comma (K0) 21" xfId="2581" xr:uid="{00000000-0005-0000-0000-000002090000}"/>
    <cellStyle name="comma (K0) 22" xfId="2582" xr:uid="{00000000-0005-0000-0000-000003090000}"/>
    <cellStyle name="comma (K0) 23" xfId="2583" xr:uid="{00000000-0005-0000-0000-000004090000}"/>
    <cellStyle name="comma (K0) 24" xfId="2584" xr:uid="{00000000-0005-0000-0000-000005090000}"/>
    <cellStyle name="comma (K0) 25" xfId="2585" xr:uid="{00000000-0005-0000-0000-000006090000}"/>
    <cellStyle name="comma (K0) 26" xfId="2586" xr:uid="{00000000-0005-0000-0000-000007090000}"/>
    <cellStyle name="comma (K0) 27" xfId="2587" xr:uid="{00000000-0005-0000-0000-000008090000}"/>
    <cellStyle name="comma (K0) 28" xfId="2588" xr:uid="{00000000-0005-0000-0000-000009090000}"/>
    <cellStyle name="comma (K0) 29" xfId="2589" xr:uid="{00000000-0005-0000-0000-00000A090000}"/>
    <cellStyle name="comma (K0) 3" xfId="2590" xr:uid="{00000000-0005-0000-0000-00000B090000}"/>
    <cellStyle name="comma (K0) 30" xfId="2591" xr:uid="{00000000-0005-0000-0000-00000C090000}"/>
    <cellStyle name="comma (K0) 4" xfId="2592" xr:uid="{00000000-0005-0000-0000-00000D090000}"/>
    <cellStyle name="comma (K0) 5" xfId="2593" xr:uid="{00000000-0005-0000-0000-00000E090000}"/>
    <cellStyle name="comma (K0) 6" xfId="2594" xr:uid="{00000000-0005-0000-0000-00000F090000}"/>
    <cellStyle name="comma (K0) 7" xfId="2595" xr:uid="{00000000-0005-0000-0000-000010090000}"/>
    <cellStyle name="comma (K0) 8" xfId="2596" xr:uid="{00000000-0005-0000-0000-000011090000}"/>
    <cellStyle name="comma (K0) 9" xfId="2597" xr:uid="{00000000-0005-0000-0000-000012090000}"/>
    <cellStyle name="comma (K1)" xfId="2598" xr:uid="{00000000-0005-0000-0000-000013090000}"/>
    <cellStyle name="comma (K1) 2" xfId="2599" xr:uid="{00000000-0005-0000-0000-000014090000}"/>
    <cellStyle name="comma (K1) 3" xfId="2600" xr:uid="{00000000-0005-0000-0000-000015090000}"/>
    <cellStyle name="comma (K1) 4" xfId="2601" xr:uid="{00000000-0005-0000-0000-000016090000}"/>
    <cellStyle name="comma (M0)" xfId="2602" xr:uid="{00000000-0005-0000-0000-000017090000}"/>
    <cellStyle name="comma (M0) 2" xfId="2603" xr:uid="{00000000-0005-0000-0000-000018090000}"/>
    <cellStyle name="comma (M0) 3" xfId="2604" xr:uid="{00000000-0005-0000-0000-000019090000}"/>
    <cellStyle name="comma (M0) 4" xfId="2605" xr:uid="{00000000-0005-0000-0000-00001A090000}"/>
    <cellStyle name="comma (M1)" xfId="2606" xr:uid="{00000000-0005-0000-0000-00001B090000}"/>
    <cellStyle name="comma (M1) 2" xfId="2607" xr:uid="{00000000-0005-0000-0000-00001C090000}"/>
    <cellStyle name="comma (M1) 3" xfId="2608" xr:uid="{00000000-0005-0000-0000-00001D090000}"/>
    <cellStyle name="comma (M1) 4" xfId="2609" xr:uid="{00000000-0005-0000-0000-00001E090000}"/>
    <cellStyle name="Comma [00]" xfId="2610" xr:uid="{00000000-0005-0000-0000-00001F090000}"/>
    <cellStyle name="Comma [00] 10" xfId="2611" xr:uid="{00000000-0005-0000-0000-000020090000}"/>
    <cellStyle name="Comma [00] 11" xfId="2612" xr:uid="{00000000-0005-0000-0000-000021090000}"/>
    <cellStyle name="Comma [00] 2" xfId="2613" xr:uid="{00000000-0005-0000-0000-000022090000}"/>
    <cellStyle name="Comma [00] 3" xfId="2614" xr:uid="{00000000-0005-0000-0000-000023090000}"/>
    <cellStyle name="Comma [00] 4" xfId="2615" xr:uid="{00000000-0005-0000-0000-000024090000}"/>
    <cellStyle name="Comma [00] 5" xfId="2616" xr:uid="{00000000-0005-0000-0000-000025090000}"/>
    <cellStyle name="Comma [00] 6" xfId="2617" xr:uid="{00000000-0005-0000-0000-000026090000}"/>
    <cellStyle name="Comma [00] 7" xfId="2618" xr:uid="{00000000-0005-0000-0000-000027090000}"/>
    <cellStyle name="Comma [00] 8" xfId="2619" xr:uid="{00000000-0005-0000-0000-000028090000}"/>
    <cellStyle name="Comma [00] 9" xfId="2620" xr:uid="{00000000-0005-0000-0000-000029090000}"/>
    <cellStyle name="comma [1]" xfId="2621" xr:uid="{00000000-0005-0000-0000-00002A090000}"/>
    <cellStyle name="Comma [2]" xfId="2622" xr:uid="{00000000-0005-0000-0000-00002B090000}"/>
    <cellStyle name="Comma 0" xfId="2623" xr:uid="{00000000-0005-0000-0000-00002C090000}"/>
    <cellStyle name="Comma 0*" xfId="2624" xr:uid="{00000000-0005-0000-0000-00002D090000}"/>
    <cellStyle name="Comma 10" xfId="2625" xr:uid="{00000000-0005-0000-0000-00002E090000}"/>
    <cellStyle name="Comma 10 2" xfId="2626" xr:uid="{00000000-0005-0000-0000-00002F090000}"/>
    <cellStyle name="Comma 10 3" xfId="2627" xr:uid="{00000000-0005-0000-0000-000030090000}"/>
    <cellStyle name="Comma 10 4" xfId="2628" xr:uid="{00000000-0005-0000-0000-000031090000}"/>
    <cellStyle name="Comma 10 5" xfId="2629" xr:uid="{00000000-0005-0000-0000-000032090000}"/>
    <cellStyle name="Comma 10 6" xfId="2630" xr:uid="{00000000-0005-0000-0000-000033090000}"/>
    <cellStyle name="Comma 10 7" xfId="2631" xr:uid="{00000000-0005-0000-0000-000034090000}"/>
    <cellStyle name="Comma 10 8" xfId="2632" xr:uid="{00000000-0005-0000-0000-000035090000}"/>
    <cellStyle name="Comma 10 9" xfId="2633" xr:uid="{00000000-0005-0000-0000-000036090000}"/>
    <cellStyle name="Comma 11" xfId="2634" xr:uid="{00000000-0005-0000-0000-000037090000}"/>
    <cellStyle name="Comma 11 2" xfId="2635" xr:uid="{00000000-0005-0000-0000-000038090000}"/>
    <cellStyle name="Comma 11 3" xfId="2636" xr:uid="{00000000-0005-0000-0000-000039090000}"/>
    <cellStyle name="Comma 11 4" xfId="2637" xr:uid="{00000000-0005-0000-0000-00003A090000}"/>
    <cellStyle name="Comma 11 5" xfId="2638" xr:uid="{00000000-0005-0000-0000-00003B090000}"/>
    <cellStyle name="Comma 11 6" xfId="2639" xr:uid="{00000000-0005-0000-0000-00003C090000}"/>
    <cellStyle name="Comma 11 7" xfId="2640" xr:uid="{00000000-0005-0000-0000-00003D090000}"/>
    <cellStyle name="Comma 11 8" xfId="2641" xr:uid="{00000000-0005-0000-0000-00003E090000}"/>
    <cellStyle name="Comma 11 9" xfId="2642" xr:uid="{00000000-0005-0000-0000-00003F090000}"/>
    <cellStyle name="Comma 12" xfId="2643" xr:uid="{00000000-0005-0000-0000-000040090000}"/>
    <cellStyle name="Comma 12 2" xfId="2644" xr:uid="{00000000-0005-0000-0000-000041090000}"/>
    <cellStyle name="Comma 12 3" xfId="2645" xr:uid="{00000000-0005-0000-0000-000042090000}"/>
    <cellStyle name="Comma 12 4" xfId="2646" xr:uid="{00000000-0005-0000-0000-000043090000}"/>
    <cellStyle name="Comma 12 5" xfId="2647" xr:uid="{00000000-0005-0000-0000-000044090000}"/>
    <cellStyle name="Comma 12 6" xfId="2648" xr:uid="{00000000-0005-0000-0000-000045090000}"/>
    <cellStyle name="Comma 12 7" xfId="2649" xr:uid="{00000000-0005-0000-0000-000046090000}"/>
    <cellStyle name="Comma 12 8" xfId="2650" xr:uid="{00000000-0005-0000-0000-000047090000}"/>
    <cellStyle name="Comma 12 9" xfId="2651" xr:uid="{00000000-0005-0000-0000-000048090000}"/>
    <cellStyle name="Comma 13" xfId="2652" xr:uid="{00000000-0005-0000-0000-000049090000}"/>
    <cellStyle name="Comma 13 2" xfId="2653" xr:uid="{00000000-0005-0000-0000-00004A090000}"/>
    <cellStyle name="Comma 13 3" xfId="2654" xr:uid="{00000000-0005-0000-0000-00004B090000}"/>
    <cellStyle name="Comma 13 4" xfId="2655" xr:uid="{00000000-0005-0000-0000-00004C090000}"/>
    <cellStyle name="Comma 13 5" xfId="2656" xr:uid="{00000000-0005-0000-0000-00004D090000}"/>
    <cellStyle name="Comma 13 6" xfId="2657" xr:uid="{00000000-0005-0000-0000-00004E090000}"/>
    <cellStyle name="Comma 13 7" xfId="2658" xr:uid="{00000000-0005-0000-0000-00004F090000}"/>
    <cellStyle name="Comma 13 8" xfId="2659" xr:uid="{00000000-0005-0000-0000-000050090000}"/>
    <cellStyle name="Comma 13 9" xfId="2660" xr:uid="{00000000-0005-0000-0000-000051090000}"/>
    <cellStyle name="Comma 14" xfId="2661" xr:uid="{00000000-0005-0000-0000-000052090000}"/>
    <cellStyle name="Comma 14 2" xfId="2662" xr:uid="{00000000-0005-0000-0000-000053090000}"/>
    <cellStyle name="Comma 14 3" xfId="2663" xr:uid="{00000000-0005-0000-0000-000054090000}"/>
    <cellStyle name="Comma 14 4" xfId="2664" xr:uid="{00000000-0005-0000-0000-000055090000}"/>
    <cellStyle name="Comma 14 5" xfId="2665" xr:uid="{00000000-0005-0000-0000-000056090000}"/>
    <cellStyle name="Comma 14 6" xfId="2666" xr:uid="{00000000-0005-0000-0000-000057090000}"/>
    <cellStyle name="Comma 14 7" xfId="2667" xr:uid="{00000000-0005-0000-0000-000058090000}"/>
    <cellStyle name="Comma 14 8" xfId="2668" xr:uid="{00000000-0005-0000-0000-000059090000}"/>
    <cellStyle name="Comma 14 9" xfId="2669" xr:uid="{00000000-0005-0000-0000-00005A090000}"/>
    <cellStyle name="Comma 15" xfId="2670" xr:uid="{00000000-0005-0000-0000-00005B090000}"/>
    <cellStyle name="Comma 16" xfId="2671" xr:uid="{00000000-0005-0000-0000-00005C090000}"/>
    <cellStyle name="Comma 17" xfId="2672" xr:uid="{00000000-0005-0000-0000-00005D090000}"/>
    <cellStyle name="Comma 18" xfId="2673" xr:uid="{00000000-0005-0000-0000-00005E090000}"/>
    <cellStyle name="Comma 19" xfId="2674" xr:uid="{00000000-0005-0000-0000-00005F090000}"/>
    <cellStyle name="Comma 2" xfId="2" xr:uid="{00000000-0005-0000-0000-000060090000}"/>
    <cellStyle name="Comma 2 10" xfId="2675" xr:uid="{00000000-0005-0000-0000-000061090000}"/>
    <cellStyle name="Comma 2 2" xfId="243" xr:uid="{00000000-0005-0000-0000-000062090000}"/>
    <cellStyle name="Comma 2 2 2" xfId="258" xr:uid="{00000000-0005-0000-0000-000063090000}"/>
    <cellStyle name="Comma 2 2 2 2" xfId="2676" xr:uid="{00000000-0005-0000-0000-000064090000}"/>
    <cellStyle name="Comma 2 2 3" xfId="2677" xr:uid="{00000000-0005-0000-0000-000065090000}"/>
    <cellStyle name="Comma 2 2 4" xfId="2678" xr:uid="{00000000-0005-0000-0000-000066090000}"/>
    <cellStyle name="Comma 2 3" xfId="2679" xr:uid="{00000000-0005-0000-0000-000067090000}"/>
    <cellStyle name="Comma 2 3 2" xfId="2680" xr:uid="{00000000-0005-0000-0000-000068090000}"/>
    <cellStyle name="Comma 2 3 3" xfId="2681" xr:uid="{00000000-0005-0000-0000-000069090000}"/>
    <cellStyle name="Comma 2 3 4" xfId="2682" xr:uid="{00000000-0005-0000-0000-00006A090000}"/>
    <cellStyle name="Comma 2 4" xfId="2683" xr:uid="{00000000-0005-0000-0000-00006B090000}"/>
    <cellStyle name="Comma 2 5" xfId="2684" xr:uid="{00000000-0005-0000-0000-00006C090000}"/>
    <cellStyle name="Comma 2 6" xfId="2685" xr:uid="{00000000-0005-0000-0000-00006D090000}"/>
    <cellStyle name="Comma 2 7" xfId="2686" xr:uid="{00000000-0005-0000-0000-00006E090000}"/>
    <cellStyle name="Comma 2 8" xfId="2687" xr:uid="{00000000-0005-0000-0000-00006F090000}"/>
    <cellStyle name="Comma 2 9" xfId="2688" xr:uid="{00000000-0005-0000-0000-000070090000}"/>
    <cellStyle name="Comma 20" xfId="2689" xr:uid="{00000000-0005-0000-0000-000071090000}"/>
    <cellStyle name="Comma 21" xfId="2690" xr:uid="{00000000-0005-0000-0000-000072090000}"/>
    <cellStyle name="Comma 22" xfId="2691" xr:uid="{00000000-0005-0000-0000-000073090000}"/>
    <cellStyle name="Comma 23" xfId="2692" xr:uid="{00000000-0005-0000-0000-000074090000}"/>
    <cellStyle name="Comma 24" xfId="2693" xr:uid="{00000000-0005-0000-0000-000075090000}"/>
    <cellStyle name="Comma 25" xfId="2694" xr:uid="{00000000-0005-0000-0000-000076090000}"/>
    <cellStyle name="Comma 26" xfId="2695" xr:uid="{00000000-0005-0000-0000-000077090000}"/>
    <cellStyle name="Comma 27" xfId="2696" xr:uid="{00000000-0005-0000-0000-000078090000}"/>
    <cellStyle name="Comma 28" xfId="2697" xr:uid="{00000000-0005-0000-0000-000079090000}"/>
    <cellStyle name="Comma 29" xfId="2698" xr:uid="{00000000-0005-0000-0000-00007A090000}"/>
    <cellStyle name="Comma 3" xfId="3" xr:uid="{00000000-0005-0000-0000-00007B090000}"/>
    <cellStyle name="Comma 3 10" xfId="2699" xr:uid="{00000000-0005-0000-0000-00007C090000}"/>
    <cellStyle name="Comma 3 11" xfId="2700" xr:uid="{00000000-0005-0000-0000-00007D090000}"/>
    <cellStyle name="Comma 3 2" xfId="244" xr:uid="{00000000-0005-0000-0000-00007E090000}"/>
    <cellStyle name="Comma 3 2 2" xfId="259" xr:uid="{00000000-0005-0000-0000-00007F090000}"/>
    <cellStyle name="Comma 3 2 3" xfId="2701" xr:uid="{00000000-0005-0000-0000-000080090000}"/>
    <cellStyle name="Comma 3 3" xfId="2702" xr:uid="{00000000-0005-0000-0000-000081090000}"/>
    <cellStyle name="Comma 3 4" xfId="2703" xr:uid="{00000000-0005-0000-0000-000082090000}"/>
    <cellStyle name="Comma 3 5" xfId="2704" xr:uid="{00000000-0005-0000-0000-000083090000}"/>
    <cellStyle name="Comma 3 6" xfId="2705" xr:uid="{00000000-0005-0000-0000-000084090000}"/>
    <cellStyle name="Comma 3 7" xfId="2706" xr:uid="{00000000-0005-0000-0000-000085090000}"/>
    <cellStyle name="Comma 3 8" xfId="2707" xr:uid="{00000000-0005-0000-0000-000086090000}"/>
    <cellStyle name="Comma 3 9" xfId="2708" xr:uid="{00000000-0005-0000-0000-000087090000}"/>
    <cellStyle name="Comma 4" xfId="4" xr:uid="{00000000-0005-0000-0000-000088090000}"/>
    <cellStyle name="Comma 4 2" xfId="2709" xr:uid="{00000000-0005-0000-0000-000089090000}"/>
    <cellStyle name="Comma 4 3" xfId="2710" xr:uid="{00000000-0005-0000-0000-00008A090000}"/>
    <cellStyle name="Comma 4 4" xfId="2711" xr:uid="{00000000-0005-0000-0000-00008B090000}"/>
    <cellStyle name="Comma 4 5" xfId="2712" xr:uid="{00000000-0005-0000-0000-00008C090000}"/>
    <cellStyle name="Comma 4 6" xfId="2713" xr:uid="{00000000-0005-0000-0000-00008D090000}"/>
    <cellStyle name="Comma 4 7" xfId="2714" xr:uid="{00000000-0005-0000-0000-00008E090000}"/>
    <cellStyle name="Comma 4 8" xfId="2715" xr:uid="{00000000-0005-0000-0000-00008F090000}"/>
    <cellStyle name="Comma 4 9" xfId="2716" xr:uid="{00000000-0005-0000-0000-000090090000}"/>
    <cellStyle name="Comma 5" xfId="119" xr:uid="{00000000-0005-0000-0000-000091090000}"/>
    <cellStyle name="Comma 5 10" xfId="2717" xr:uid="{00000000-0005-0000-0000-000092090000}"/>
    <cellStyle name="Comma 5 11" xfId="2718" xr:uid="{00000000-0005-0000-0000-000093090000}"/>
    <cellStyle name="Comma 5 2" xfId="260" xr:uid="{00000000-0005-0000-0000-000094090000}"/>
    <cellStyle name="Comma 5 2 2" xfId="2719" xr:uid="{00000000-0005-0000-0000-000095090000}"/>
    <cellStyle name="Comma 5 3" xfId="2720" xr:uid="{00000000-0005-0000-0000-000096090000}"/>
    <cellStyle name="Comma 5 4" xfId="2721" xr:uid="{00000000-0005-0000-0000-000097090000}"/>
    <cellStyle name="Comma 5 5" xfId="2722" xr:uid="{00000000-0005-0000-0000-000098090000}"/>
    <cellStyle name="Comma 5 6" xfId="2723" xr:uid="{00000000-0005-0000-0000-000099090000}"/>
    <cellStyle name="Comma 5 7" xfId="2724" xr:uid="{00000000-0005-0000-0000-00009A090000}"/>
    <cellStyle name="Comma 5 8" xfId="2725" xr:uid="{00000000-0005-0000-0000-00009B090000}"/>
    <cellStyle name="Comma 5 9" xfId="2726" xr:uid="{00000000-0005-0000-0000-00009C090000}"/>
    <cellStyle name="Comma 6" xfId="261" xr:uid="{00000000-0005-0000-0000-00009D090000}"/>
    <cellStyle name="Comma 6 2" xfId="2727" xr:uid="{00000000-0005-0000-0000-00009E090000}"/>
    <cellStyle name="Comma 6 3" xfId="2728" xr:uid="{00000000-0005-0000-0000-00009F090000}"/>
    <cellStyle name="Comma 7" xfId="262" xr:uid="{00000000-0005-0000-0000-0000A0090000}"/>
    <cellStyle name="Comma 7 2" xfId="2729" xr:uid="{00000000-0005-0000-0000-0000A1090000}"/>
    <cellStyle name="Comma 7 3" xfId="2730" xr:uid="{00000000-0005-0000-0000-0000A2090000}"/>
    <cellStyle name="Comma 7 4" xfId="2731" xr:uid="{00000000-0005-0000-0000-0000A3090000}"/>
    <cellStyle name="Comma 7 5" xfId="2732" xr:uid="{00000000-0005-0000-0000-0000A4090000}"/>
    <cellStyle name="Comma 7 6" xfId="2733" xr:uid="{00000000-0005-0000-0000-0000A5090000}"/>
    <cellStyle name="Comma 7 7" xfId="2734" xr:uid="{00000000-0005-0000-0000-0000A6090000}"/>
    <cellStyle name="Comma 7 8" xfId="2735" xr:uid="{00000000-0005-0000-0000-0000A7090000}"/>
    <cellStyle name="Comma 7 9" xfId="2736" xr:uid="{00000000-0005-0000-0000-0000A8090000}"/>
    <cellStyle name="Comma 8" xfId="2737" xr:uid="{00000000-0005-0000-0000-0000A9090000}"/>
    <cellStyle name="Comma 8 2" xfId="2738" xr:uid="{00000000-0005-0000-0000-0000AA090000}"/>
    <cellStyle name="Comma 8 3" xfId="2739" xr:uid="{00000000-0005-0000-0000-0000AB090000}"/>
    <cellStyle name="Comma 8 4" xfId="2740" xr:uid="{00000000-0005-0000-0000-0000AC090000}"/>
    <cellStyle name="Comma 8 5" xfId="2741" xr:uid="{00000000-0005-0000-0000-0000AD090000}"/>
    <cellStyle name="Comma 8 6" xfId="2742" xr:uid="{00000000-0005-0000-0000-0000AE090000}"/>
    <cellStyle name="Comma 8 7" xfId="2743" xr:uid="{00000000-0005-0000-0000-0000AF090000}"/>
    <cellStyle name="Comma 8 8" xfId="2744" xr:uid="{00000000-0005-0000-0000-0000B0090000}"/>
    <cellStyle name="Comma 8 9" xfId="2745" xr:uid="{00000000-0005-0000-0000-0000B1090000}"/>
    <cellStyle name="Comma 9" xfId="2746" xr:uid="{00000000-0005-0000-0000-0000B2090000}"/>
    <cellStyle name="Comma 9 2" xfId="2747" xr:uid="{00000000-0005-0000-0000-0000B3090000}"/>
    <cellStyle name="Comma 9 3" xfId="2748" xr:uid="{00000000-0005-0000-0000-0000B4090000}"/>
    <cellStyle name="Comma 9 4" xfId="2749" xr:uid="{00000000-0005-0000-0000-0000B5090000}"/>
    <cellStyle name="Comma 9 5" xfId="2750" xr:uid="{00000000-0005-0000-0000-0000B6090000}"/>
    <cellStyle name="Comma 9 6" xfId="2751" xr:uid="{00000000-0005-0000-0000-0000B7090000}"/>
    <cellStyle name="Comma 9 7" xfId="2752" xr:uid="{00000000-0005-0000-0000-0000B8090000}"/>
    <cellStyle name="Comma 9 8" xfId="2753" xr:uid="{00000000-0005-0000-0000-0000B9090000}"/>
    <cellStyle name="Comma 9 9" xfId="2754" xr:uid="{00000000-0005-0000-0000-0000BA090000}"/>
    <cellStyle name="comma zerodec" xfId="2755" xr:uid="{00000000-0005-0000-0000-0000BB090000}"/>
    <cellStyle name="Comma,0" xfId="2756" xr:uid="{00000000-0005-0000-0000-0000BC090000}"/>
    <cellStyle name="Comma,1" xfId="2757" xr:uid="{00000000-0005-0000-0000-0000BD090000}"/>
    <cellStyle name="Comma,2" xfId="2758" xr:uid="{00000000-0005-0000-0000-0000BE090000}"/>
    <cellStyle name="Comma0" xfId="2759" xr:uid="{00000000-0005-0000-0000-0000BF090000}"/>
    <cellStyle name="Comma0 - Modelo1" xfId="2760" xr:uid="{00000000-0005-0000-0000-0000C0090000}"/>
    <cellStyle name="Comma0 - Style1" xfId="2761" xr:uid="{00000000-0005-0000-0000-0000C1090000}"/>
    <cellStyle name="Comma0 - Style3" xfId="2762" xr:uid="{00000000-0005-0000-0000-0000C2090000}"/>
    <cellStyle name="Comma0 2" xfId="2763" xr:uid="{00000000-0005-0000-0000-0000C3090000}"/>
    <cellStyle name="Comma0 3" xfId="2764" xr:uid="{00000000-0005-0000-0000-0000C4090000}"/>
    <cellStyle name="Comma0 4" xfId="2765" xr:uid="{00000000-0005-0000-0000-0000C5090000}"/>
    <cellStyle name="Comma0 5" xfId="2766" xr:uid="{00000000-0005-0000-0000-0000C6090000}"/>
    <cellStyle name="Comma0 6" xfId="2767" xr:uid="{00000000-0005-0000-0000-0000C7090000}"/>
    <cellStyle name="Comma0 7" xfId="2768" xr:uid="{00000000-0005-0000-0000-0000C8090000}"/>
    <cellStyle name="Comma0 8" xfId="2769" xr:uid="{00000000-0005-0000-0000-0000C9090000}"/>
    <cellStyle name="Comma0_Book1 (3)" xfId="2770" xr:uid="{00000000-0005-0000-0000-0000CA090000}"/>
    <cellStyle name="Comma1 - Modelo2" xfId="2771" xr:uid="{00000000-0005-0000-0000-0000CB090000}"/>
    <cellStyle name="Comma1 - Style2" xfId="2772" xr:uid="{00000000-0005-0000-0000-0000CC090000}"/>
    <cellStyle name="Company Name" xfId="2773" xr:uid="{00000000-0005-0000-0000-0000CD090000}"/>
    <cellStyle name="Compressed" xfId="2774" xr:uid="{00000000-0005-0000-0000-0000CE090000}"/>
    <cellStyle name="Compressed 2" xfId="2775" xr:uid="{00000000-0005-0000-0000-0000CF090000}"/>
    <cellStyle name="Compressed 3" xfId="2776" xr:uid="{00000000-0005-0000-0000-0000D0090000}"/>
    <cellStyle name="Compressed 4" xfId="2777" xr:uid="{00000000-0005-0000-0000-0000D1090000}"/>
    <cellStyle name="Compressed 5" xfId="2778" xr:uid="{00000000-0005-0000-0000-0000D2090000}"/>
    <cellStyle name="Compressed 6" xfId="2779" xr:uid="{00000000-0005-0000-0000-0000D3090000}"/>
    <cellStyle name="Compressed 7" xfId="2780" xr:uid="{00000000-0005-0000-0000-0000D4090000}"/>
    <cellStyle name="Compressed 8" xfId="2781" xr:uid="{00000000-0005-0000-0000-0000D5090000}"/>
    <cellStyle name="COMPS" xfId="2782" xr:uid="{00000000-0005-0000-0000-0000D6090000}"/>
    <cellStyle name="ContentsHyperlink" xfId="2783" xr:uid="{00000000-0005-0000-0000-0000D7090000}"/>
    <cellStyle name="ContentsHyperlink 2" xfId="2784" xr:uid="{00000000-0005-0000-0000-0000D8090000}"/>
    <cellStyle name="ContentsHyperlink 3" xfId="2785" xr:uid="{00000000-0005-0000-0000-0000D9090000}"/>
    <cellStyle name="ContentsHyperlink 4" xfId="2786" xr:uid="{00000000-0005-0000-0000-0000DA090000}"/>
    <cellStyle name="ContentsHyperlink 5" xfId="2787" xr:uid="{00000000-0005-0000-0000-0000DB090000}"/>
    <cellStyle name="ContentsHyperlink 6" xfId="2788" xr:uid="{00000000-0005-0000-0000-0000DC090000}"/>
    <cellStyle name="ContentsHyperlink 7" xfId="2789" xr:uid="{00000000-0005-0000-0000-0000DD090000}"/>
    <cellStyle name="ContentsHyperlink 8" xfId="2790" xr:uid="{00000000-0005-0000-0000-0000DE090000}"/>
    <cellStyle name="Contracts" xfId="2791" xr:uid="{00000000-0005-0000-0000-0000DF090000}"/>
    <cellStyle name="Copied" xfId="2792" xr:uid="{00000000-0005-0000-0000-0000E0090000}"/>
    <cellStyle name="Copied 2" xfId="2793" xr:uid="{00000000-0005-0000-0000-0000E1090000}"/>
    <cellStyle name="Copied 3" xfId="2794" xr:uid="{00000000-0005-0000-0000-0000E2090000}"/>
    <cellStyle name="Copied 4" xfId="2795" xr:uid="{00000000-0005-0000-0000-0000E3090000}"/>
    <cellStyle name="Copied 5" xfId="2796" xr:uid="{00000000-0005-0000-0000-0000E4090000}"/>
    <cellStyle name="Copied 6" xfId="2797" xr:uid="{00000000-0005-0000-0000-0000E5090000}"/>
    <cellStyle name="Copied 7" xfId="2798" xr:uid="{00000000-0005-0000-0000-0000E6090000}"/>
    <cellStyle name="Copied 8" xfId="2799" xr:uid="{00000000-0005-0000-0000-0000E7090000}"/>
    <cellStyle name="COST1" xfId="2800" xr:uid="{00000000-0005-0000-0000-0000E8090000}"/>
    <cellStyle name="COST1 2" xfId="2801" xr:uid="{00000000-0005-0000-0000-0000E9090000}"/>
    <cellStyle name="COST1 3" xfId="2802" xr:uid="{00000000-0005-0000-0000-0000EA090000}"/>
    <cellStyle name="COST1 4" xfId="2803" xr:uid="{00000000-0005-0000-0000-0000EB090000}"/>
    <cellStyle name="COST1 5" xfId="2804" xr:uid="{00000000-0005-0000-0000-0000EC090000}"/>
    <cellStyle name="COST1 6" xfId="2805" xr:uid="{00000000-0005-0000-0000-0000ED090000}"/>
    <cellStyle name="COST1 7" xfId="2806" xr:uid="{00000000-0005-0000-0000-0000EE090000}"/>
    <cellStyle name="COST1 8" xfId="2807" xr:uid="{00000000-0005-0000-0000-0000EF090000}"/>
    <cellStyle name="Cover Date" xfId="2808" xr:uid="{00000000-0005-0000-0000-0000F0090000}"/>
    <cellStyle name="Cover Subtitle" xfId="2809" xr:uid="{00000000-0005-0000-0000-0000F1090000}"/>
    <cellStyle name="Cover Title" xfId="2810" xr:uid="{00000000-0005-0000-0000-0000F2090000}"/>
    <cellStyle name="cross_pull" xfId="2811" xr:uid="{00000000-0005-0000-0000-0000F3090000}"/>
    <cellStyle name="Currency" xfId="5" builtinId="4"/>
    <cellStyle name="Currency (,0)" xfId="2812" xr:uid="{00000000-0005-0000-0000-0000F5090000}"/>
    <cellStyle name="Currency (,0) 2" xfId="2813" xr:uid="{00000000-0005-0000-0000-0000F6090000}"/>
    <cellStyle name="Currency (,0) 3" xfId="2814" xr:uid="{00000000-0005-0000-0000-0000F7090000}"/>
    <cellStyle name="Currency (,0) 4" xfId="2815" xr:uid="{00000000-0005-0000-0000-0000F8090000}"/>
    <cellStyle name="currency (,1)" xfId="2816" xr:uid="{00000000-0005-0000-0000-0000F9090000}"/>
    <cellStyle name="currency (,1) 2" xfId="2817" xr:uid="{00000000-0005-0000-0000-0000FA090000}"/>
    <cellStyle name="currency (,1) 3" xfId="2818" xr:uid="{00000000-0005-0000-0000-0000FB090000}"/>
    <cellStyle name="currency (,1) 4" xfId="2819" xr:uid="{00000000-0005-0000-0000-0000FC090000}"/>
    <cellStyle name="currency (,2)" xfId="2820" xr:uid="{00000000-0005-0000-0000-0000FD090000}"/>
    <cellStyle name="currency (,2) 2" xfId="2821" xr:uid="{00000000-0005-0000-0000-0000FE090000}"/>
    <cellStyle name="currency (,2) 3" xfId="2822" xr:uid="{00000000-0005-0000-0000-0000FF090000}"/>
    <cellStyle name="currency (,2) 4" xfId="2823" xr:uid="{00000000-0005-0000-0000-0000000A0000}"/>
    <cellStyle name="currency (,3)" xfId="2824" xr:uid="{00000000-0005-0000-0000-0000010A0000}"/>
    <cellStyle name="currency (K0)" xfId="2825" xr:uid="{00000000-0005-0000-0000-0000020A0000}"/>
    <cellStyle name="currency (K0) 10" xfId="2826" xr:uid="{00000000-0005-0000-0000-0000030A0000}"/>
    <cellStyle name="currency (K0) 11" xfId="2827" xr:uid="{00000000-0005-0000-0000-0000040A0000}"/>
    <cellStyle name="currency (K0) 12" xfId="2828" xr:uid="{00000000-0005-0000-0000-0000050A0000}"/>
    <cellStyle name="currency (K0) 13" xfId="2829" xr:uid="{00000000-0005-0000-0000-0000060A0000}"/>
    <cellStyle name="currency (K0) 14" xfId="2830" xr:uid="{00000000-0005-0000-0000-0000070A0000}"/>
    <cellStyle name="currency (K0) 15" xfId="2831" xr:uid="{00000000-0005-0000-0000-0000080A0000}"/>
    <cellStyle name="currency (K0) 16" xfId="2832" xr:uid="{00000000-0005-0000-0000-0000090A0000}"/>
    <cellStyle name="currency (K0) 17" xfId="2833" xr:uid="{00000000-0005-0000-0000-00000A0A0000}"/>
    <cellStyle name="currency (K0) 18" xfId="2834" xr:uid="{00000000-0005-0000-0000-00000B0A0000}"/>
    <cellStyle name="currency (K0) 19" xfId="2835" xr:uid="{00000000-0005-0000-0000-00000C0A0000}"/>
    <cellStyle name="currency (K0) 2" xfId="2836" xr:uid="{00000000-0005-0000-0000-00000D0A0000}"/>
    <cellStyle name="currency (K0) 20" xfId="2837" xr:uid="{00000000-0005-0000-0000-00000E0A0000}"/>
    <cellStyle name="currency (K0) 21" xfId="2838" xr:uid="{00000000-0005-0000-0000-00000F0A0000}"/>
    <cellStyle name="currency (K0) 22" xfId="2839" xr:uid="{00000000-0005-0000-0000-0000100A0000}"/>
    <cellStyle name="currency (K0) 23" xfId="2840" xr:uid="{00000000-0005-0000-0000-0000110A0000}"/>
    <cellStyle name="currency (K0) 24" xfId="2841" xr:uid="{00000000-0005-0000-0000-0000120A0000}"/>
    <cellStyle name="currency (K0) 25" xfId="2842" xr:uid="{00000000-0005-0000-0000-0000130A0000}"/>
    <cellStyle name="currency (K0) 26" xfId="2843" xr:uid="{00000000-0005-0000-0000-0000140A0000}"/>
    <cellStyle name="currency (K0) 27" xfId="2844" xr:uid="{00000000-0005-0000-0000-0000150A0000}"/>
    <cellStyle name="currency (K0) 28" xfId="2845" xr:uid="{00000000-0005-0000-0000-0000160A0000}"/>
    <cellStyle name="currency (K0) 29" xfId="2846" xr:uid="{00000000-0005-0000-0000-0000170A0000}"/>
    <cellStyle name="currency (K0) 3" xfId="2847" xr:uid="{00000000-0005-0000-0000-0000180A0000}"/>
    <cellStyle name="currency (K0) 30" xfId="2848" xr:uid="{00000000-0005-0000-0000-0000190A0000}"/>
    <cellStyle name="currency (K0) 4" xfId="2849" xr:uid="{00000000-0005-0000-0000-00001A0A0000}"/>
    <cellStyle name="currency (K0) 5" xfId="2850" xr:uid="{00000000-0005-0000-0000-00001B0A0000}"/>
    <cellStyle name="currency (K0) 6" xfId="2851" xr:uid="{00000000-0005-0000-0000-00001C0A0000}"/>
    <cellStyle name="currency (K0) 7" xfId="2852" xr:uid="{00000000-0005-0000-0000-00001D0A0000}"/>
    <cellStyle name="currency (K0) 8" xfId="2853" xr:uid="{00000000-0005-0000-0000-00001E0A0000}"/>
    <cellStyle name="currency (K0) 9" xfId="2854" xr:uid="{00000000-0005-0000-0000-00001F0A0000}"/>
    <cellStyle name="currency (K1)" xfId="2855" xr:uid="{00000000-0005-0000-0000-0000200A0000}"/>
    <cellStyle name="currency (K1) 2" xfId="2856" xr:uid="{00000000-0005-0000-0000-0000210A0000}"/>
    <cellStyle name="currency (K1) 3" xfId="2857" xr:uid="{00000000-0005-0000-0000-0000220A0000}"/>
    <cellStyle name="currency (K1) 4" xfId="2858" xr:uid="{00000000-0005-0000-0000-0000230A0000}"/>
    <cellStyle name="currency (K㰰)" xfId="2859" xr:uid="{00000000-0005-0000-0000-0000240A0000}"/>
    <cellStyle name="currency (M0)" xfId="2860" xr:uid="{00000000-0005-0000-0000-0000250A0000}"/>
    <cellStyle name="currency (M0) 2" xfId="2861" xr:uid="{00000000-0005-0000-0000-0000260A0000}"/>
    <cellStyle name="currency (M0) 3" xfId="2862" xr:uid="{00000000-0005-0000-0000-0000270A0000}"/>
    <cellStyle name="currency (M0) 4" xfId="2863" xr:uid="{00000000-0005-0000-0000-0000280A0000}"/>
    <cellStyle name="currency (M1)" xfId="2864" xr:uid="{00000000-0005-0000-0000-0000290A0000}"/>
    <cellStyle name="currency (M1) 2" xfId="2865" xr:uid="{00000000-0005-0000-0000-00002A0A0000}"/>
    <cellStyle name="currency (M1) 3" xfId="2866" xr:uid="{00000000-0005-0000-0000-00002B0A0000}"/>
    <cellStyle name="currency (M1) 4" xfId="2867" xr:uid="{00000000-0005-0000-0000-00002C0A0000}"/>
    <cellStyle name="Currency [0] _KOL0698" xfId="2868" xr:uid="{00000000-0005-0000-0000-00002D0A0000}"/>
    <cellStyle name="Currency [00]" xfId="2869" xr:uid="{00000000-0005-0000-0000-00002E0A0000}"/>
    <cellStyle name="Currency [00] 10" xfId="2870" xr:uid="{00000000-0005-0000-0000-00002F0A0000}"/>
    <cellStyle name="Currency [00] 11" xfId="2871" xr:uid="{00000000-0005-0000-0000-0000300A0000}"/>
    <cellStyle name="Currency [00] 2" xfId="2872" xr:uid="{00000000-0005-0000-0000-0000310A0000}"/>
    <cellStyle name="Currency [00] 3" xfId="2873" xr:uid="{00000000-0005-0000-0000-0000320A0000}"/>
    <cellStyle name="Currency [00] 4" xfId="2874" xr:uid="{00000000-0005-0000-0000-0000330A0000}"/>
    <cellStyle name="Currency [00] 5" xfId="2875" xr:uid="{00000000-0005-0000-0000-0000340A0000}"/>
    <cellStyle name="Currency [00] 6" xfId="2876" xr:uid="{00000000-0005-0000-0000-0000350A0000}"/>
    <cellStyle name="Currency [00] 7" xfId="2877" xr:uid="{00000000-0005-0000-0000-0000360A0000}"/>
    <cellStyle name="Currency [00] 8" xfId="2878" xr:uid="{00000000-0005-0000-0000-0000370A0000}"/>
    <cellStyle name="Currency [00] 9" xfId="2879" xr:uid="{00000000-0005-0000-0000-0000380A0000}"/>
    <cellStyle name="Currency [1]" xfId="2880" xr:uid="{00000000-0005-0000-0000-0000390A0000}"/>
    <cellStyle name="Currency [2]" xfId="2881" xr:uid="{00000000-0005-0000-0000-00003A0A0000}"/>
    <cellStyle name="Currency 0" xfId="2882" xr:uid="{00000000-0005-0000-0000-00003B0A0000}"/>
    <cellStyle name="Currency 10" xfId="263" xr:uid="{00000000-0005-0000-0000-00003C0A0000}"/>
    <cellStyle name="Currency 11" xfId="2883" xr:uid="{00000000-0005-0000-0000-00003D0A0000}"/>
    <cellStyle name="Currency 12" xfId="2884" xr:uid="{00000000-0005-0000-0000-00003E0A0000}"/>
    <cellStyle name="Currency 13" xfId="2885" xr:uid="{00000000-0005-0000-0000-00003F0A0000}"/>
    <cellStyle name="Currency 14" xfId="2886" xr:uid="{00000000-0005-0000-0000-0000400A0000}"/>
    <cellStyle name="Currency 15" xfId="2887" xr:uid="{00000000-0005-0000-0000-0000410A0000}"/>
    <cellStyle name="Currency 16" xfId="2888" xr:uid="{00000000-0005-0000-0000-0000420A0000}"/>
    <cellStyle name="Currency 17" xfId="2889" xr:uid="{00000000-0005-0000-0000-0000430A0000}"/>
    <cellStyle name="Currency 18" xfId="2890" xr:uid="{00000000-0005-0000-0000-0000440A0000}"/>
    <cellStyle name="Currency 19" xfId="2891" xr:uid="{00000000-0005-0000-0000-0000450A0000}"/>
    <cellStyle name="Currency 2" xfId="6" xr:uid="{00000000-0005-0000-0000-0000460A0000}"/>
    <cellStyle name="Currency 2 10" xfId="2892" xr:uid="{00000000-0005-0000-0000-0000470A0000}"/>
    <cellStyle name="Currency 2 100" xfId="2893" xr:uid="{00000000-0005-0000-0000-0000480A0000}"/>
    <cellStyle name="Currency 2 101" xfId="2894" xr:uid="{00000000-0005-0000-0000-0000490A0000}"/>
    <cellStyle name="Currency 2 102" xfId="2895" xr:uid="{00000000-0005-0000-0000-00004A0A0000}"/>
    <cellStyle name="Currency 2 103" xfId="2896" xr:uid="{00000000-0005-0000-0000-00004B0A0000}"/>
    <cellStyle name="Currency 2 104" xfId="2897" xr:uid="{00000000-0005-0000-0000-00004C0A0000}"/>
    <cellStyle name="Currency 2 105" xfId="2898" xr:uid="{00000000-0005-0000-0000-00004D0A0000}"/>
    <cellStyle name="Currency 2 106" xfId="2899" xr:uid="{00000000-0005-0000-0000-00004E0A0000}"/>
    <cellStyle name="Currency 2 107" xfId="2900" xr:uid="{00000000-0005-0000-0000-00004F0A0000}"/>
    <cellStyle name="Currency 2 108" xfId="2901" xr:uid="{00000000-0005-0000-0000-0000500A0000}"/>
    <cellStyle name="Currency 2 109" xfId="2902" xr:uid="{00000000-0005-0000-0000-0000510A0000}"/>
    <cellStyle name="Currency 2 11" xfId="2903" xr:uid="{00000000-0005-0000-0000-0000520A0000}"/>
    <cellStyle name="Currency 2 110" xfId="2904" xr:uid="{00000000-0005-0000-0000-0000530A0000}"/>
    <cellStyle name="Currency 2 111" xfId="2905" xr:uid="{00000000-0005-0000-0000-0000540A0000}"/>
    <cellStyle name="Currency 2 112" xfId="2906" xr:uid="{00000000-0005-0000-0000-0000550A0000}"/>
    <cellStyle name="Currency 2 113" xfId="2907" xr:uid="{00000000-0005-0000-0000-0000560A0000}"/>
    <cellStyle name="Currency 2 114" xfId="2908" xr:uid="{00000000-0005-0000-0000-0000570A0000}"/>
    <cellStyle name="Currency 2 115" xfId="2909" xr:uid="{00000000-0005-0000-0000-0000580A0000}"/>
    <cellStyle name="Currency 2 116" xfId="2910" xr:uid="{00000000-0005-0000-0000-0000590A0000}"/>
    <cellStyle name="Currency 2 117" xfId="2911" xr:uid="{00000000-0005-0000-0000-00005A0A0000}"/>
    <cellStyle name="Currency 2 118" xfId="2912" xr:uid="{00000000-0005-0000-0000-00005B0A0000}"/>
    <cellStyle name="Currency 2 119" xfId="2913" xr:uid="{00000000-0005-0000-0000-00005C0A0000}"/>
    <cellStyle name="Currency 2 12" xfId="2914" xr:uid="{00000000-0005-0000-0000-00005D0A0000}"/>
    <cellStyle name="Currency 2 120" xfId="2915" xr:uid="{00000000-0005-0000-0000-00005E0A0000}"/>
    <cellStyle name="Currency 2 121" xfId="2916" xr:uid="{00000000-0005-0000-0000-00005F0A0000}"/>
    <cellStyle name="Currency 2 122" xfId="2917" xr:uid="{00000000-0005-0000-0000-0000600A0000}"/>
    <cellStyle name="Currency 2 123" xfId="2918" xr:uid="{00000000-0005-0000-0000-0000610A0000}"/>
    <cellStyle name="Currency 2 124" xfId="2919" xr:uid="{00000000-0005-0000-0000-0000620A0000}"/>
    <cellStyle name="Currency 2 125" xfId="2920" xr:uid="{00000000-0005-0000-0000-0000630A0000}"/>
    <cellStyle name="Currency 2 126" xfId="2921" xr:uid="{00000000-0005-0000-0000-0000640A0000}"/>
    <cellStyle name="Currency 2 127" xfId="2922" xr:uid="{00000000-0005-0000-0000-0000650A0000}"/>
    <cellStyle name="Currency 2 128" xfId="2923" xr:uid="{00000000-0005-0000-0000-0000660A0000}"/>
    <cellStyle name="Currency 2 129" xfId="2924" xr:uid="{00000000-0005-0000-0000-0000670A0000}"/>
    <cellStyle name="Currency 2 13" xfId="2925" xr:uid="{00000000-0005-0000-0000-0000680A0000}"/>
    <cellStyle name="Currency 2 130" xfId="2926" xr:uid="{00000000-0005-0000-0000-0000690A0000}"/>
    <cellStyle name="Currency 2 131" xfId="2927" xr:uid="{00000000-0005-0000-0000-00006A0A0000}"/>
    <cellStyle name="Currency 2 132" xfId="2928" xr:uid="{00000000-0005-0000-0000-00006B0A0000}"/>
    <cellStyle name="Currency 2 133" xfId="2929" xr:uid="{00000000-0005-0000-0000-00006C0A0000}"/>
    <cellStyle name="Currency 2 134" xfId="2930" xr:uid="{00000000-0005-0000-0000-00006D0A0000}"/>
    <cellStyle name="Currency 2 135" xfId="2931" xr:uid="{00000000-0005-0000-0000-00006E0A0000}"/>
    <cellStyle name="Currency 2 136" xfId="2932" xr:uid="{00000000-0005-0000-0000-00006F0A0000}"/>
    <cellStyle name="Currency 2 137" xfId="2933" xr:uid="{00000000-0005-0000-0000-0000700A0000}"/>
    <cellStyle name="Currency 2 138" xfId="2934" xr:uid="{00000000-0005-0000-0000-0000710A0000}"/>
    <cellStyle name="Currency 2 139" xfId="2935" xr:uid="{00000000-0005-0000-0000-0000720A0000}"/>
    <cellStyle name="Currency 2 14" xfId="2936" xr:uid="{00000000-0005-0000-0000-0000730A0000}"/>
    <cellStyle name="Currency 2 140" xfId="2937" xr:uid="{00000000-0005-0000-0000-0000740A0000}"/>
    <cellStyle name="Currency 2 141" xfId="2938" xr:uid="{00000000-0005-0000-0000-0000750A0000}"/>
    <cellStyle name="Currency 2 142" xfId="2939" xr:uid="{00000000-0005-0000-0000-0000760A0000}"/>
    <cellStyle name="Currency 2 143" xfId="2940" xr:uid="{00000000-0005-0000-0000-0000770A0000}"/>
    <cellStyle name="Currency 2 144" xfId="2941" xr:uid="{00000000-0005-0000-0000-0000780A0000}"/>
    <cellStyle name="Currency 2 145" xfId="2942" xr:uid="{00000000-0005-0000-0000-0000790A0000}"/>
    <cellStyle name="Currency 2 146" xfId="2943" xr:uid="{00000000-0005-0000-0000-00007A0A0000}"/>
    <cellStyle name="Currency 2 147" xfId="2944" xr:uid="{00000000-0005-0000-0000-00007B0A0000}"/>
    <cellStyle name="Currency 2 148" xfId="2945" xr:uid="{00000000-0005-0000-0000-00007C0A0000}"/>
    <cellStyle name="Currency 2 149" xfId="2946" xr:uid="{00000000-0005-0000-0000-00007D0A0000}"/>
    <cellStyle name="Currency 2 15" xfId="2947" xr:uid="{00000000-0005-0000-0000-00007E0A0000}"/>
    <cellStyle name="Currency 2 150" xfId="2948" xr:uid="{00000000-0005-0000-0000-00007F0A0000}"/>
    <cellStyle name="Currency 2 151" xfId="2949" xr:uid="{00000000-0005-0000-0000-0000800A0000}"/>
    <cellStyle name="Currency 2 152" xfId="2950" xr:uid="{00000000-0005-0000-0000-0000810A0000}"/>
    <cellStyle name="Currency 2 153" xfId="2951" xr:uid="{00000000-0005-0000-0000-0000820A0000}"/>
    <cellStyle name="Currency 2 154" xfId="2952" xr:uid="{00000000-0005-0000-0000-0000830A0000}"/>
    <cellStyle name="Currency 2 155" xfId="2953" xr:uid="{00000000-0005-0000-0000-0000840A0000}"/>
    <cellStyle name="Currency 2 156" xfId="2954" xr:uid="{00000000-0005-0000-0000-0000850A0000}"/>
    <cellStyle name="Currency 2 157" xfId="2955" xr:uid="{00000000-0005-0000-0000-0000860A0000}"/>
    <cellStyle name="Currency 2 158" xfId="2956" xr:uid="{00000000-0005-0000-0000-0000870A0000}"/>
    <cellStyle name="Currency 2 159" xfId="2957" xr:uid="{00000000-0005-0000-0000-0000880A0000}"/>
    <cellStyle name="Currency 2 16" xfId="2958" xr:uid="{00000000-0005-0000-0000-0000890A0000}"/>
    <cellStyle name="Currency 2 160" xfId="2959" xr:uid="{00000000-0005-0000-0000-00008A0A0000}"/>
    <cellStyle name="Currency 2 161" xfId="2960" xr:uid="{00000000-0005-0000-0000-00008B0A0000}"/>
    <cellStyle name="Currency 2 162" xfId="2961" xr:uid="{00000000-0005-0000-0000-00008C0A0000}"/>
    <cellStyle name="Currency 2 163" xfId="2962" xr:uid="{00000000-0005-0000-0000-00008D0A0000}"/>
    <cellStyle name="Currency 2 164" xfId="2963" xr:uid="{00000000-0005-0000-0000-00008E0A0000}"/>
    <cellStyle name="Currency 2 165" xfId="2964" xr:uid="{00000000-0005-0000-0000-00008F0A0000}"/>
    <cellStyle name="Currency 2 166" xfId="2965" xr:uid="{00000000-0005-0000-0000-0000900A0000}"/>
    <cellStyle name="Currency 2 167" xfId="2966" xr:uid="{00000000-0005-0000-0000-0000910A0000}"/>
    <cellStyle name="Currency 2 168" xfId="2967" xr:uid="{00000000-0005-0000-0000-0000920A0000}"/>
    <cellStyle name="Currency 2 169" xfId="2968" xr:uid="{00000000-0005-0000-0000-0000930A0000}"/>
    <cellStyle name="Currency 2 17" xfId="2969" xr:uid="{00000000-0005-0000-0000-0000940A0000}"/>
    <cellStyle name="Currency 2 170" xfId="2970" xr:uid="{00000000-0005-0000-0000-0000950A0000}"/>
    <cellStyle name="Currency 2 171" xfId="2971" xr:uid="{00000000-0005-0000-0000-0000960A0000}"/>
    <cellStyle name="Currency 2 172" xfId="2972" xr:uid="{00000000-0005-0000-0000-0000970A0000}"/>
    <cellStyle name="Currency 2 173" xfId="2973" xr:uid="{00000000-0005-0000-0000-0000980A0000}"/>
    <cellStyle name="Currency 2 174" xfId="2974" xr:uid="{00000000-0005-0000-0000-0000990A0000}"/>
    <cellStyle name="Currency 2 175" xfId="2975" xr:uid="{00000000-0005-0000-0000-00009A0A0000}"/>
    <cellStyle name="Currency 2 176" xfId="2976" xr:uid="{00000000-0005-0000-0000-00009B0A0000}"/>
    <cellStyle name="Currency 2 177" xfId="2977" xr:uid="{00000000-0005-0000-0000-00009C0A0000}"/>
    <cellStyle name="Currency 2 178" xfId="2978" xr:uid="{00000000-0005-0000-0000-00009D0A0000}"/>
    <cellStyle name="Currency 2 179" xfId="2979" xr:uid="{00000000-0005-0000-0000-00009E0A0000}"/>
    <cellStyle name="Currency 2 18" xfId="2980" xr:uid="{00000000-0005-0000-0000-00009F0A0000}"/>
    <cellStyle name="Currency 2 180" xfId="2981" xr:uid="{00000000-0005-0000-0000-0000A00A0000}"/>
    <cellStyle name="Currency 2 181" xfId="2982" xr:uid="{00000000-0005-0000-0000-0000A10A0000}"/>
    <cellStyle name="Currency 2 182" xfId="2983" xr:uid="{00000000-0005-0000-0000-0000A20A0000}"/>
    <cellStyle name="Currency 2 183" xfId="2984" xr:uid="{00000000-0005-0000-0000-0000A30A0000}"/>
    <cellStyle name="Currency 2 184" xfId="2985" xr:uid="{00000000-0005-0000-0000-0000A40A0000}"/>
    <cellStyle name="Currency 2 185" xfId="2986" xr:uid="{00000000-0005-0000-0000-0000A50A0000}"/>
    <cellStyle name="Currency 2 186" xfId="2987" xr:uid="{00000000-0005-0000-0000-0000A60A0000}"/>
    <cellStyle name="Currency 2 187" xfId="2988" xr:uid="{00000000-0005-0000-0000-0000A70A0000}"/>
    <cellStyle name="Currency 2 188" xfId="2989" xr:uid="{00000000-0005-0000-0000-0000A80A0000}"/>
    <cellStyle name="Currency 2 189" xfId="2990" xr:uid="{00000000-0005-0000-0000-0000A90A0000}"/>
    <cellStyle name="Currency 2 19" xfId="2991" xr:uid="{00000000-0005-0000-0000-0000AA0A0000}"/>
    <cellStyle name="Currency 2 190" xfId="2992" xr:uid="{00000000-0005-0000-0000-0000AB0A0000}"/>
    <cellStyle name="Currency 2 191" xfId="2993" xr:uid="{00000000-0005-0000-0000-0000AC0A0000}"/>
    <cellStyle name="Currency 2 192" xfId="2994" xr:uid="{00000000-0005-0000-0000-0000AD0A0000}"/>
    <cellStyle name="Currency 2 193" xfId="2995" xr:uid="{00000000-0005-0000-0000-0000AE0A0000}"/>
    <cellStyle name="Currency 2 194" xfId="2996" xr:uid="{00000000-0005-0000-0000-0000AF0A0000}"/>
    <cellStyle name="Currency 2 195" xfId="2997" xr:uid="{00000000-0005-0000-0000-0000B00A0000}"/>
    <cellStyle name="Currency 2 196" xfId="2998" xr:uid="{00000000-0005-0000-0000-0000B10A0000}"/>
    <cellStyle name="Currency 2 197" xfId="2999" xr:uid="{00000000-0005-0000-0000-0000B20A0000}"/>
    <cellStyle name="Currency 2 198" xfId="3000" xr:uid="{00000000-0005-0000-0000-0000B30A0000}"/>
    <cellStyle name="Currency 2 199" xfId="3001" xr:uid="{00000000-0005-0000-0000-0000B40A0000}"/>
    <cellStyle name="Currency 2 2" xfId="3002" xr:uid="{00000000-0005-0000-0000-0000B50A0000}"/>
    <cellStyle name="Currency 2 20" xfId="3003" xr:uid="{00000000-0005-0000-0000-0000B60A0000}"/>
    <cellStyle name="Currency 2 200" xfId="3004" xr:uid="{00000000-0005-0000-0000-0000B70A0000}"/>
    <cellStyle name="Currency 2 201" xfId="3005" xr:uid="{00000000-0005-0000-0000-0000B80A0000}"/>
    <cellStyle name="Currency 2 202" xfId="3006" xr:uid="{00000000-0005-0000-0000-0000B90A0000}"/>
    <cellStyle name="Currency 2 203" xfId="3007" xr:uid="{00000000-0005-0000-0000-0000BA0A0000}"/>
    <cellStyle name="Currency 2 204" xfId="3008" xr:uid="{00000000-0005-0000-0000-0000BB0A0000}"/>
    <cellStyle name="Currency 2 205" xfId="3009" xr:uid="{00000000-0005-0000-0000-0000BC0A0000}"/>
    <cellStyle name="Currency 2 206" xfId="3010" xr:uid="{00000000-0005-0000-0000-0000BD0A0000}"/>
    <cellStyle name="Currency 2 207" xfId="3011" xr:uid="{00000000-0005-0000-0000-0000BE0A0000}"/>
    <cellStyle name="Currency 2 208" xfId="3012" xr:uid="{00000000-0005-0000-0000-0000BF0A0000}"/>
    <cellStyle name="Currency 2 209" xfId="3013" xr:uid="{00000000-0005-0000-0000-0000C00A0000}"/>
    <cellStyle name="Currency 2 21" xfId="3014" xr:uid="{00000000-0005-0000-0000-0000C10A0000}"/>
    <cellStyle name="Currency 2 210" xfId="3015" xr:uid="{00000000-0005-0000-0000-0000C20A0000}"/>
    <cellStyle name="Currency 2 211" xfId="3016" xr:uid="{00000000-0005-0000-0000-0000C30A0000}"/>
    <cellStyle name="Currency 2 212" xfId="3017" xr:uid="{00000000-0005-0000-0000-0000C40A0000}"/>
    <cellStyle name="Currency 2 213" xfId="3018" xr:uid="{00000000-0005-0000-0000-0000C50A0000}"/>
    <cellStyle name="Currency 2 214" xfId="3019" xr:uid="{00000000-0005-0000-0000-0000C60A0000}"/>
    <cellStyle name="Currency 2 215" xfId="3020" xr:uid="{00000000-0005-0000-0000-0000C70A0000}"/>
    <cellStyle name="Currency 2 216" xfId="3021" xr:uid="{00000000-0005-0000-0000-0000C80A0000}"/>
    <cellStyle name="Currency 2 217" xfId="3022" xr:uid="{00000000-0005-0000-0000-0000C90A0000}"/>
    <cellStyle name="Currency 2 218" xfId="3023" xr:uid="{00000000-0005-0000-0000-0000CA0A0000}"/>
    <cellStyle name="Currency 2 219" xfId="3024" xr:uid="{00000000-0005-0000-0000-0000CB0A0000}"/>
    <cellStyle name="Currency 2 22" xfId="3025" xr:uid="{00000000-0005-0000-0000-0000CC0A0000}"/>
    <cellStyle name="Currency 2 220" xfId="3026" xr:uid="{00000000-0005-0000-0000-0000CD0A0000}"/>
    <cellStyle name="Currency 2 221" xfId="3027" xr:uid="{00000000-0005-0000-0000-0000CE0A0000}"/>
    <cellStyle name="Currency 2 222" xfId="3028" xr:uid="{00000000-0005-0000-0000-0000CF0A0000}"/>
    <cellStyle name="Currency 2 223" xfId="3029" xr:uid="{00000000-0005-0000-0000-0000D00A0000}"/>
    <cellStyle name="Currency 2 224" xfId="3030" xr:uid="{00000000-0005-0000-0000-0000D10A0000}"/>
    <cellStyle name="Currency 2 225" xfId="3031" xr:uid="{00000000-0005-0000-0000-0000D20A0000}"/>
    <cellStyle name="Currency 2 226" xfId="3032" xr:uid="{00000000-0005-0000-0000-0000D30A0000}"/>
    <cellStyle name="Currency 2 227" xfId="3033" xr:uid="{00000000-0005-0000-0000-0000D40A0000}"/>
    <cellStyle name="Currency 2 228" xfId="3034" xr:uid="{00000000-0005-0000-0000-0000D50A0000}"/>
    <cellStyle name="Currency 2 229" xfId="3035" xr:uid="{00000000-0005-0000-0000-0000D60A0000}"/>
    <cellStyle name="Currency 2 23" xfId="3036" xr:uid="{00000000-0005-0000-0000-0000D70A0000}"/>
    <cellStyle name="Currency 2 230" xfId="3037" xr:uid="{00000000-0005-0000-0000-0000D80A0000}"/>
    <cellStyle name="Currency 2 231" xfId="3038" xr:uid="{00000000-0005-0000-0000-0000D90A0000}"/>
    <cellStyle name="Currency 2 232" xfId="3039" xr:uid="{00000000-0005-0000-0000-0000DA0A0000}"/>
    <cellStyle name="Currency 2 233" xfId="3040" xr:uid="{00000000-0005-0000-0000-0000DB0A0000}"/>
    <cellStyle name="Currency 2 234" xfId="3041" xr:uid="{00000000-0005-0000-0000-0000DC0A0000}"/>
    <cellStyle name="Currency 2 235" xfId="3042" xr:uid="{00000000-0005-0000-0000-0000DD0A0000}"/>
    <cellStyle name="Currency 2 236" xfId="3043" xr:uid="{00000000-0005-0000-0000-0000DE0A0000}"/>
    <cellStyle name="Currency 2 237" xfId="3044" xr:uid="{00000000-0005-0000-0000-0000DF0A0000}"/>
    <cellStyle name="Currency 2 238" xfId="3045" xr:uid="{00000000-0005-0000-0000-0000E00A0000}"/>
    <cellStyle name="Currency 2 239" xfId="3046" xr:uid="{00000000-0005-0000-0000-0000E10A0000}"/>
    <cellStyle name="Currency 2 24" xfId="3047" xr:uid="{00000000-0005-0000-0000-0000E20A0000}"/>
    <cellStyle name="Currency 2 240" xfId="3048" xr:uid="{00000000-0005-0000-0000-0000E30A0000}"/>
    <cellStyle name="Currency 2 241" xfId="3049" xr:uid="{00000000-0005-0000-0000-0000E40A0000}"/>
    <cellStyle name="Currency 2 242" xfId="3050" xr:uid="{00000000-0005-0000-0000-0000E50A0000}"/>
    <cellStyle name="Currency 2 243" xfId="3051" xr:uid="{00000000-0005-0000-0000-0000E60A0000}"/>
    <cellStyle name="Currency 2 244" xfId="3052" xr:uid="{00000000-0005-0000-0000-0000E70A0000}"/>
    <cellStyle name="Currency 2 245" xfId="3053" xr:uid="{00000000-0005-0000-0000-0000E80A0000}"/>
    <cellStyle name="Currency 2 246" xfId="3054" xr:uid="{00000000-0005-0000-0000-0000E90A0000}"/>
    <cellStyle name="Currency 2 247" xfId="3055" xr:uid="{00000000-0005-0000-0000-0000EA0A0000}"/>
    <cellStyle name="Currency 2 248" xfId="3056" xr:uid="{00000000-0005-0000-0000-0000EB0A0000}"/>
    <cellStyle name="Currency 2 249" xfId="3057" xr:uid="{00000000-0005-0000-0000-0000EC0A0000}"/>
    <cellStyle name="Currency 2 25" xfId="3058" xr:uid="{00000000-0005-0000-0000-0000ED0A0000}"/>
    <cellStyle name="Currency 2 250" xfId="3059" xr:uid="{00000000-0005-0000-0000-0000EE0A0000}"/>
    <cellStyle name="Currency 2 251" xfId="3060" xr:uid="{00000000-0005-0000-0000-0000EF0A0000}"/>
    <cellStyle name="Currency 2 252" xfId="3061" xr:uid="{00000000-0005-0000-0000-0000F00A0000}"/>
    <cellStyle name="Currency 2 253" xfId="3062" xr:uid="{00000000-0005-0000-0000-0000F10A0000}"/>
    <cellStyle name="Currency 2 254" xfId="3063" xr:uid="{00000000-0005-0000-0000-0000F20A0000}"/>
    <cellStyle name="Currency 2 26" xfId="3064" xr:uid="{00000000-0005-0000-0000-0000F30A0000}"/>
    <cellStyle name="Currency 2 27" xfId="3065" xr:uid="{00000000-0005-0000-0000-0000F40A0000}"/>
    <cellStyle name="Currency 2 28" xfId="3066" xr:uid="{00000000-0005-0000-0000-0000F50A0000}"/>
    <cellStyle name="Currency 2 29" xfId="3067" xr:uid="{00000000-0005-0000-0000-0000F60A0000}"/>
    <cellStyle name="Currency 2 3" xfId="3068" xr:uid="{00000000-0005-0000-0000-0000F70A0000}"/>
    <cellStyle name="Currency 2 30" xfId="3069" xr:uid="{00000000-0005-0000-0000-0000F80A0000}"/>
    <cellStyle name="Currency 2 31" xfId="3070" xr:uid="{00000000-0005-0000-0000-0000F90A0000}"/>
    <cellStyle name="Currency 2 32" xfId="3071" xr:uid="{00000000-0005-0000-0000-0000FA0A0000}"/>
    <cellStyle name="Currency 2 33" xfId="3072" xr:uid="{00000000-0005-0000-0000-0000FB0A0000}"/>
    <cellStyle name="Currency 2 34" xfId="3073" xr:uid="{00000000-0005-0000-0000-0000FC0A0000}"/>
    <cellStyle name="Currency 2 35" xfId="3074" xr:uid="{00000000-0005-0000-0000-0000FD0A0000}"/>
    <cellStyle name="Currency 2 36" xfId="3075" xr:uid="{00000000-0005-0000-0000-0000FE0A0000}"/>
    <cellStyle name="Currency 2 37" xfId="3076" xr:uid="{00000000-0005-0000-0000-0000FF0A0000}"/>
    <cellStyle name="Currency 2 38" xfId="3077" xr:uid="{00000000-0005-0000-0000-0000000B0000}"/>
    <cellStyle name="Currency 2 39" xfId="3078" xr:uid="{00000000-0005-0000-0000-0000010B0000}"/>
    <cellStyle name="Currency 2 4" xfId="3079" xr:uid="{00000000-0005-0000-0000-0000020B0000}"/>
    <cellStyle name="Currency 2 40" xfId="3080" xr:uid="{00000000-0005-0000-0000-0000030B0000}"/>
    <cellStyle name="Currency 2 41" xfId="3081" xr:uid="{00000000-0005-0000-0000-0000040B0000}"/>
    <cellStyle name="Currency 2 42" xfId="3082" xr:uid="{00000000-0005-0000-0000-0000050B0000}"/>
    <cellStyle name="Currency 2 43" xfId="3083" xr:uid="{00000000-0005-0000-0000-0000060B0000}"/>
    <cellStyle name="Currency 2 44" xfId="3084" xr:uid="{00000000-0005-0000-0000-0000070B0000}"/>
    <cellStyle name="Currency 2 45" xfId="3085" xr:uid="{00000000-0005-0000-0000-0000080B0000}"/>
    <cellStyle name="Currency 2 46" xfId="3086" xr:uid="{00000000-0005-0000-0000-0000090B0000}"/>
    <cellStyle name="Currency 2 47" xfId="3087" xr:uid="{00000000-0005-0000-0000-00000A0B0000}"/>
    <cellStyle name="Currency 2 48" xfId="3088" xr:uid="{00000000-0005-0000-0000-00000B0B0000}"/>
    <cellStyle name="Currency 2 49" xfId="3089" xr:uid="{00000000-0005-0000-0000-00000C0B0000}"/>
    <cellStyle name="Currency 2 5" xfId="3090" xr:uid="{00000000-0005-0000-0000-00000D0B0000}"/>
    <cellStyle name="Currency 2 50" xfId="3091" xr:uid="{00000000-0005-0000-0000-00000E0B0000}"/>
    <cellStyle name="Currency 2 51" xfId="3092" xr:uid="{00000000-0005-0000-0000-00000F0B0000}"/>
    <cellStyle name="Currency 2 52" xfId="3093" xr:uid="{00000000-0005-0000-0000-0000100B0000}"/>
    <cellStyle name="Currency 2 53" xfId="3094" xr:uid="{00000000-0005-0000-0000-0000110B0000}"/>
    <cellStyle name="Currency 2 54" xfId="3095" xr:uid="{00000000-0005-0000-0000-0000120B0000}"/>
    <cellStyle name="Currency 2 55" xfId="3096" xr:uid="{00000000-0005-0000-0000-0000130B0000}"/>
    <cellStyle name="Currency 2 56" xfId="3097" xr:uid="{00000000-0005-0000-0000-0000140B0000}"/>
    <cellStyle name="Currency 2 57" xfId="3098" xr:uid="{00000000-0005-0000-0000-0000150B0000}"/>
    <cellStyle name="Currency 2 58" xfId="3099" xr:uid="{00000000-0005-0000-0000-0000160B0000}"/>
    <cellStyle name="Currency 2 59" xfId="3100" xr:uid="{00000000-0005-0000-0000-0000170B0000}"/>
    <cellStyle name="Currency 2 6" xfId="3101" xr:uid="{00000000-0005-0000-0000-0000180B0000}"/>
    <cellStyle name="Currency 2 60" xfId="3102" xr:uid="{00000000-0005-0000-0000-0000190B0000}"/>
    <cellStyle name="Currency 2 61" xfId="3103" xr:uid="{00000000-0005-0000-0000-00001A0B0000}"/>
    <cellStyle name="Currency 2 62" xfId="3104" xr:uid="{00000000-0005-0000-0000-00001B0B0000}"/>
    <cellStyle name="Currency 2 63" xfId="3105" xr:uid="{00000000-0005-0000-0000-00001C0B0000}"/>
    <cellStyle name="Currency 2 64" xfId="3106" xr:uid="{00000000-0005-0000-0000-00001D0B0000}"/>
    <cellStyle name="Currency 2 65" xfId="3107" xr:uid="{00000000-0005-0000-0000-00001E0B0000}"/>
    <cellStyle name="Currency 2 66" xfId="3108" xr:uid="{00000000-0005-0000-0000-00001F0B0000}"/>
    <cellStyle name="Currency 2 67" xfId="3109" xr:uid="{00000000-0005-0000-0000-0000200B0000}"/>
    <cellStyle name="Currency 2 68" xfId="3110" xr:uid="{00000000-0005-0000-0000-0000210B0000}"/>
    <cellStyle name="Currency 2 69" xfId="3111" xr:uid="{00000000-0005-0000-0000-0000220B0000}"/>
    <cellStyle name="Currency 2 7" xfId="3112" xr:uid="{00000000-0005-0000-0000-0000230B0000}"/>
    <cellStyle name="Currency 2 70" xfId="3113" xr:uid="{00000000-0005-0000-0000-0000240B0000}"/>
    <cellStyle name="Currency 2 71" xfId="3114" xr:uid="{00000000-0005-0000-0000-0000250B0000}"/>
    <cellStyle name="Currency 2 72" xfId="3115" xr:uid="{00000000-0005-0000-0000-0000260B0000}"/>
    <cellStyle name="Currency 2 73" xfId="3116" xr:uid="{00000000-0005-0000-0000-0000270B0000}"/>
    <cellStyle name="Currency 2 74" xfId="3117" xr:uid="{00000000-0005-0000-0000-0000280B0000}"/>
    <cellStyle name="Currency 2 75" xfId="3118" xr:uid="{00000000-0005-0000-0000-0000290B0000}"/>
    <cellStyle name="Currency 2 76" xfId="3119" xr:uid="{00000000-0005-0000-0000-00002A0B0000}"/>
    <cellStyle name="Currency 2 77" xfId="3120" xr:uid="{00000000-0005-0000-0000-00002B0B0000}"/>
    <cellStyle name="Currency 2 78" xfId="3121" xr:uid="{00000000-0005-0000-0000-00002C0B0000}"/>
    <cellStyle name="Currency 2 79" xfId="3122" xr:uid="{00000000-0005-0000-0000-00002D0B0000}"/>
    <cellStyle name="Currency 2 8" xfId="3123" xr:uid="{00000000-0005-0000-0000-00002E0B0000}"/>
    <cellStyle name="Currency 2 80" xfId="3124" xr:uid="{00000000-0005-0000-0000-00002F0B0000}"/>
    <cellStyle name="Currency 2 81" xfId="3125" xr:uid="{00000000-0005-0000-0000-0000300B0000}"/>
    <cellStyle name="Currency 2 82" xfId="3126" xr:uid="{00000000-0005-0000-0000-0000310B0000}"/>
    <cellStyle name="Currency 2 83" xfId="3127" xr:uid="{00000000-0005-0000-0000-0000320B0000}"/>
    <cellStyle name="Currency 2 84" xfId="3128" xr:uid="{00000000-0005-0000-0000-0000330B0000}"/>
    <cellStyle name="Currency 2 85" xfId="3129" xr:uid="{00000000-0005-0000-0000-0000340B0000}"/>
    <cellStyle name="Currency 2 86" xfId="3130" xr:uid="{00000000-0005-0000-0000-0000350B0000}"/>
    <cellStyle name="Currency 2 87" xfId="3131" xr:uid="{00000000-0005-0000-0000-0000360B0000}"/>
    <cellStyle name="Currency 2 88" xfId="3132" xr:uid="{00000000-0005-0000-0000-0000370B0000}"/>
    <cellStyle name="Currency 2 89" xfId="3133" xr:uid="{00000000-0005-0000-0000-0000380B0000}"/>
    <cellStyle name="Currency 2 9" xfId="3134" xr:uid="{00000000-0005-0000-0000-0000390B0000}"/>
    <cellStyle name="Currency 2 90" xfId="3135" xr:uid="{00000000-0005-0000-0000-00003A0B0000}"/>
    <cellStyle name="Currency 2 91" xfId="3136" xr:uid="{00000000-0005-0000-0000-00003B0B0000}"/>
    <cellStyle name="Currency 2 92" xfId="3137" xr:uid="{00000000-0005-0000-0000-00003C0B0000}"/>
    <cellStyle name="Currency 2 93" xfId="3138" xr:uid="{00000000-0005-0000-0000-00003D0B0000}"/>
    <cellStyle name="Currency 2 94" xfId="3139" xr:uid="{00000000-0005-0000-0000-00003E0B0000}"/>
    <cellStyle name="Currency 2 95" xfId="3140" xr:uid="{00000000-0005-0000-0000-00003F0B0000}"/>
    <cellStyle name="Currency 2 96" xfId="3141" xr:uid="{00000000-0005-0000-0000-0000400B0000}"/>
    <cellStyle name="Currency 2 97" xfId="3142" xr:uid="{00000000-0005-0000-0000-0000410B0000}"/>
    <cellStyle name="Currency 2 98" xfId="3143" xr:uid="{00000000-0005-0000-0000-0000420B0000}"/>
    <cellStyle name="Currency 2 99" xfId="3144" xr:uid="{00000000-0005-0000-0000-0000430B0000}"/>
    <cellStyle name="Currency 20" xfId="3145" xr:uid="{00000000-0005-0000-0000-0000440B0000}"/>
    <cellStyle name="Currency 21" xfId="3146" xr:uid="{00000000-0005-0000-0000-0000450B0000}"/>
    <cellStyle name="Currency 22" xfId="3147" xr:uid="{00000000-0005-0000-0000-0000460B0000}"/>
    <cellStyle name="Currency 23" xfId="3148" xr:uid="{00000000-0005-0000-0000-0000470B0000}"/>
    <cellStyle name="Currency 24" xfId="3149" xr:uid="{00000000-0005-0000-0000-0000480B0000}"/>
    <cellStyle name="Currency 25" xfId="3150" xr:uid="{00000000-0005-0000-0000-0000490B0000}"/>
    <cellStyle name="Currency 26" xfId="3151" xr:uid="{00000000-0005-0000-0000-00004A0B0000}"/>
    <cellStyle name="Currency 27" xfId="3152" xr:uid="{00000000-0005-0000-0000-00004B0B0000}"/>
    <cellStyle name="Currency 28" xfId="3153" xr:uid="{00000000-0005-0000-0000-00004C0B0000}"/>
    <cellStyle name="Currency 29" xfId="3154" xr:uid="{00000000-0005-0000-0000-00004D0B0000}"/>
    <cellStyle name="Currency 3" xfId="120" xr:uid="{00000000-0005-0000-0000-00004E0B0000}"/>
    <cellStyle name="Currency 3 2" xfId="264" xr:uid="{00000000-0005-0000-0000-00004F0B0000}"/>
    <cellStyle name="Currency 3 2 2" xfId="3155" xr:uid="{00000000-0005-0000-0000-0000500B0000}"/>
    <cellStyle name="Currency 3 3" xfId="3156" xr:uid="{00000000-0005-0000-0000-0000510B0000}"/>
    <cellStyle name="Currency 4" xfId="265" xr:uid="{00000000-0005-0000-0000-0000520B0000}"/>
    <cellStyle name="Currency 5" xfId="3157" xr:uid="{00000000-0005-0000-0000-0000530B0000}"/>
    <cellStyle name="Currency 6" xfId="3158" xr:uid="{00000000-0005-0000-0000-0000540B0000}"/>
    <cellStyle name="Currency 7" xfId="3159" xr:uid="{00000000-0005-0000-0000-0000550B0000}"/>
    <cellStyle name="Currency 8" xfId="3160" xr:uid="{00000000-0005-0000-0000-0000560B0000}"/>
    <cellStyle name="Currency 9" xfId="3161" xr:uid="{00000000-0005-0000-0000-0000570B0000}"/>
    <cellStyle name="Currency- no decimal" xfId="3162" xr:uid="{00000000-0005-0000-0000-0000580B0000}"/>
    <cellStyle name="Currency- no decimal 10" xfId="3163" xr:uid="{00000000-0005-0000-0000-0000590B0000}"/>
    <cellStyle name="Currency- no decimal 10 2" xfId="3164" xr:uid="{00000000-0005-0000-0000-00005A0B0000}"/>
    <cellStyle name="Currency- no decimal 11" xfId="3165" xr:uid="{00000000-0005-0000-0000-00005B0B0000}"/>
    <cellStyle name="Currency- no decimal 11 2" xfId="3166" xr:uid="{00000000-0005-0000-0000-00005C0B0000}"/>
    <cellStyle name="Currency- no decimal 2" xfId="3167" xr:uid="{00000000-0005-0000-0000-00005D0B0000}"/>
    <cellStyle name="Currency- no decimal 2 2" xfId="3168" xr:uid="{00000000-0005-0000-0000-00005E0B0000}"/>
    <cellStyle name="Currency- no decimal 3" xfId="3169" xr:uid="{00000000-0005-0000-0000-00005F0B0000}"/>
    <cellStyle name="Currency- no decimal 3 2" xfId="3170" xr:uid="{00000000-0005-0000-0000-0000600B0000}"/>
    <cellStyle name="Currency- no decimal 4" xfId="3171" xr:uid="{00000000-0005-0000-0000-0000610B0000}"/>
    <cellStyle name="Currency- no decimal 4 2" xfId="3172" xr:uid="{00000000-0005-0000-0000-0000620B0000}"/>
    <cellStyle name="Currency- no decimal 5" xfId="3173" xr:uid="{00000000-0005-0000-0000-0000630B0000}"/>
    <cellStyle name="Currency- no decimal 5 2" xfId="3174" xr:uid="{00000000-0005-0000-0000-0000640B0000}"/>
    <cellStyle name="Currency- no decimal 6" xfId="3175" xr:uid="{00000000-0005-0000-0000-0000650B0000}"/>
    <cellStyle name="Currency- no decimal 6 2" xfId="3176" xr:uid="{00000000-0005-0000-0000-0000660B0000}"/>
    <cellStyle name="Currency- no decimal 7" xfId="3177" xr:uid="{00000000-0005-0000-0000-0000670B0000}"/>
    <cellStyle name="Currency- no decimal 7 2" xfId="3178" xr:uid="{00000000-0005-0000-0000-0000680B0000}"/>
    <cellStyle name="Currency- no decimal 8" xfId="3179" xr:uid="{00000000-0005-0000-0000-0000690B0000}"/>
    <cellStyle name="Currency- no decimal 8 2" xfId="3180" xr:uid="{00000000-0005-0000-0000-00006A0B0000}"/>
    <cellStyle name="Currency- no decimal 9" xfId="3181" xr:uid="{00000000-0005-0000-0000-00006B0B0000}"/>
    <cellStyle name="Currency- no decimal 9 2" xfId="3182" xr:uid="{00000000-0005-0000-0000-00006C0B0000}"/>
    <cellStyle name="Currency Style" xfId="3183" xr:uid="{00000000-0005-0000-0000-00006D0B0000}"/>
    <cellStyle name="Currency Style 2" xfId="3184" xr:uid="{00000000-0005-0000-0000-00006E0B0000}"/>
    <cellStyle name="Currency,0" xfId="3185" xr:uid="{00000000-0005-0000-0000-00006F0B0000}"/>
    <cellStyle name="Currency,2" xfId="3186" xr:uid="{00000000-0005-0000-0000-0000700B0000}"/>
    <cellStyle name="Currency0" xfId="3187" xr:uid="{00000000-0005-0000-0000-0000710B0000}"/>
    <cellStyle name="Currency0 2" xfId="3188" xr:uid="{00000000-0005-0000-0000-0000720B0000}"/>
    <cellStyle name="Currency0 3" xfId="3189" xr:uid="{00000000-0005-0000-0000-0000730B0000}"/>
    <cellStyle name="Currency0 4" xfId="3190" xr:uid="{00000000-0005-0000-0000-0000740B0000}"/>
    <cellStyle name="Currency0 5" xfId="3191" xr:uid="{00000000-0005-0000-0000-0000750B0000}"/>
    <cellStyle name="Currency0 6" xfId="3192" xr:uid="{00000000-0005-0000-0000-0000760B0000}"/>
    <cellStyle name="Currency0 7" xfId="3193" xr:uid="{00000000-0005-0000-0000-0000770B0000}"/>
    <cellStyle name="Currency0 8" xfId="3194" xr:uid="{00000000-0005-0000-0000-0000780B0000}"/>
    <cellStyle name="Currency1" xfId="3195" xr:uid="{00000000-0005-0000-0000-0000790B0000}"/>
    <cellStyle name="Currency2" xfId="3196" xr:uid="{00000000-0005-0000-0000-00007A0B0000}"/>
    <cellStyle name="DATA_ENT" xfId="3197" xr:uid="{00000000-0005-0000-0000-00007B0B0000}"/>
    <cellStyle name="Date" xfId="3198" xr:uid="{00000000-0005-0000-0000-00007C0B0000}"/>
    <cellStyle name="Date - mmm-dd" xfId="3199" xr:uid="{00000000-0005-0000-0000-00007D0B0000}"/>
    <cellStyle name="Date - Style2" xfId="3200" xr:uid="{00000000-0005-0000-0000-00007E0B0000}"/>
    <cellStyle name="date (d/m)" xfId="3201" xr:uid="{00000000-0005-0000-0000-00007F0B0000}"/>
    <cellStyle name="date (d/m/y)" xfId="3202" xr:uid="{00000000-0005-0000-0000-0000800B0000}"/>
    <cellStyle name="date (d/m/y) 2" xfId="3203" xr:uid="{00000000-0005-0000-0000-0000810B0000}"/>
    <cellStyle name="date (d/m/y) 3" xfId="3204" xr:uid="{00000000-0005-0000-0000-0000820B0000}"/>
    <cellStyle name="date (d/m/y) 4" xfId="3205" xr:uid="{00000000-0005-0000-0000-0000830B0000}"/>
    <cellStyle name="date (m-y)" xfId="3206" xr:uid="{00000000-0005-0000-0000-0000840B0000}"/>
    <cellStyle name="Date [d-mmm-yy]" xfId="3207" xr:uid="{00000000-0005-0000-0000-0000850B0000}"/>
    <cellStyle name="Date [mm-d-yy]" xfId="3208" xr:uid="{00000000-0005-0000-0000-0000860B0000}"/>
    <cellStyle name="Date [mm-d-yyyy]" xfId="3209" xr:uid="{00000000-0005-0000-0000-0000870B0000}"/>
    <cellStyle name="Date [mmm-d-yyyy]" xfId="3210" xr:uid="{00000000-0005-0000-0000-0000880B0000}"/>
    <cellStyle name="Date [mmm-yy]" xfId="3211" xr:uid="{00000000-0005-0000-0000-0000890B0000}"/>
    <cellStyle name="Date [yyyy]" xfId="3212" xr:uid="{00000000-0005-0000-0000-00008A0B0000}"/>
    <cellStyle name="Date 2" xfId="3213" xr:uid="{00000000-0005-0000-0000-00008B0B0000}"/>
    <cellStyle name="Date 3" xfId="3214" xr:uid="{00000000-0005-0000-0000-00008C0B0000}"/>
    <cellStyle name="Date 4" xfId="3215" xr:uid="{00000000-0005-0000-0000-00008D0B0000}"/>
    <cellStyle name="Date 5" xfId="3216" xr:uid="{00000000-0005-0000-0000-00008E0B0000}"/>
    <cellStyle name="Date 6" xfId="3217" xr:uid="{00000000-0005-0000-0000-00008F0B0000}"/>
    <cellStyle name="Date 7" xfId="3218" xr:uid="{00000000-0005-0000-0000-0000900B0000}"/>
    <cellStyle name="Date 8" xfId="3219" xr:uid="{00000000-0005-0000-0000-0000910B0000}"/>
    <cellStyle name="Date Aligned" xfId="3220" xr:uid="{00000000-0005-0000-0000-0000920B0000}"/>
    <cellStyle name="Date Short" xfId="3221" xr:uid="{00000000-0005-0000-0000-0000930B0000}"/>
    <cellStyle name="Date_0706_CISCO Q4 FCST_CISCO VIEW_062107_V1A_CHQ PLNG" xfId="3222" xr:uid="{00000000-0005-0000-0000-0000940B0000}"/>
    <cellStyle name="Days" xfId="3223" xr:uid="{00000000-0005-0000-0000-0000950B0000}"/>
    <cellStyle name="DblLineDollarAcct" xfId="3224" xr:uid="{00000000-0005-0000-0000-0000960B0000}"/>
    <cellStyle name="DblLinePercent" xfId="3225" xr:uid="{00000000-0005-0000-0000-0000970B0000}"/>
    <cellStyle name="DeActivateFontColor" xfId="3226" xr:uid="{00000000-0005-0000-0000-0000980B0000}"/>
    <cellStyle name="DELTA" xfId="3227" xr:uid="{00000000-0005-0000-0000-0000990B0000}"/>
    <cellStyle name="DELTA 2" xfId="3228" xr:uid="{00000000-0005-0000-0000-00009A0B0000}"/>
    <cellStyle name="DELTA 2 2" xfId="3229" xr:uid="{00000000-0005-0000-0000-00009B0B0000}"/>
    <cellStyle name="DELTA 2 3" xfId="3230" xr:uid="{00000000-0005-0000-0000-00009C0B0000}"/>
    <cellStyle name="DELTA 2 4" xfId="3231" xr:uid="{00000000-0005-0000-0000-00009D0B0000}"/>
    <cellStyle name="DELTA 2_Top 20-IR" xfId="3232" xr:uid="{00000000-0005-0000-0000-00009E0B0000}"/>
    <cellStyle name="DELTA 3" xfId="3233" xr:uid="{00000000-0005-0000-0000-00009F0B0000}"/>
    <cellStyle name="DELTA 3 2" xfId="3234" xr:uid="{00000000-0005-0000-0000-0000A00B0000}"/>
    <cellStyle name="DELTA 3 3" xfId="3235" xr:uid="{00000000-0005-0000-0000-0000A10B0000}"/>
    <cellStyle name="DELTA 3 4" xfId="3236" xr:uid="{00000000-0005-0000-0000-0000A20B0000}"/>
    <cellStyle name="DELTA 3_Top 20-IR" xfId="3237" xr:uid="{00000000-0005-0000-0000-0000A30B0000}"/>
    <cellStyle name="DELTA 4" xfId="3238" xr:uid="{00000000-0005-0000-0000-0000A40B0000}"/>
    <cellStyle name="DELTA 4 2" xfId="3239" xr:uid="{00000000-0005-0000-0000-0000A50B0000}"/>
    <cellStyle name="DELTA 4 3" xfId="3240" xr:uid="{00000000-0005-0000-0000-0000A60B0000}"/>
    <cellStyle name="DELTA 4 4" xfId="3241" xr:uid="{00000000-0005-0000-0000-0000A70B0000}"/>
    <cellStyle name="DELTA 4_Top 20-IR" xfId="3242" xr:uid="{00000000-0005-0000-0000-0000A80B0000}"/>
    <cellStyle name="DELTA 5" xfId="3243" xr:uid="{00000000-0005-0000-0000-0000A90B0000}"/>
    <cellStyle name="DELTA 6" xfId="3244" xr:uid="{00000000-0005-0000-0000-0000AA0B0000}"/>
    <cellStyle name="DELTA 7" xfId="3245" xr:uid="{00000000-0005-0000-0000-0000AB0B0000}"/>
    <cellStyle name="DELTA 8" xfId="3246" xr:uid="{00000000-0005-0000-0000-0000AC0B0000}"/>
    <cellStyle name="Description" xfId="3247" xr:uid="{00000000-0005-0000-0000-0000AD0B0000}"/>
    <cellStyle name="Description 2" xfId="3248" xr:uid="{00000000-0005-0000-0000-0000AE0B0000}"/>
    <cellStyle name="Dezimal [0]_Budget 1999 MK" xfId="3249" xr:uid="{00000000-0005-0000-0000-0000AF0B0000}"/>
    <cellStyle name="Dezimal_Budget 1999 MK" xfId="3250" xr:uid="{00000000-0005-0000-0000-0000B00B0000}"/>
    <cellStyle name="Dia" xfId="3251" xr:uid="{00000000-0005-0000-0000-0000B10B0000}"/>
    <cellStyle name="Diagramsumma A" xfId="3252" xr:uid="{00000000-0005-0000-0000-0000B20B0000}"/>
    <cellStyle name="Diagramtext A" xfId="3253" xr:uid="{00000000-0005-0000-0000-0000B30B0000}"/>
    <cellStyle name="dollar" xfId="3254" xr:uid="{00000000-0005-0000-0000-0000B40B0000}"/>
    <cellStyle name="Dollar (zero dec)" xfId="3255" xr:uid="{00000000-0005-0000-0000-0000B50B0000}"/>
    <cellStyle name="DollarAccounting" xfId="3256" xr:uid="{00000000-0005-0000-0000-0000B60B0000}"/>
    <cellStyle name="dollars" xfId="3257" xr:uid="{00000000-0005-0000-0000-0000B70B0000}"/>
    <cellStyle name="Dotted Line" xfId="3258" xr:uid="{00000000-0005-0000-0000-0000B80B0000}"/>
    <cellStyle name="Double Accounting" xfId="3259" xr:uid="{00000000-0005-0000-0000-0000B90B0000}"/>
    <cellStyle name="Double Line 25.5" xfId="3260" xr:uid="{00000000-0005-0000-0000-0000BA0B0000}"/>
    <cellStyle name="DOWNFOOT" xfId="3261" xr:uid="{00000000-0005-0000-0000-0000BB0B0000}"/>
    <cellStyle name="Driver Normal" xfId="3262" xr:uid="{00000000-0005-0000-0000-0000BC0B0000}"/>
    <cellStyle name="Driver Percent" xfId="3263" xr:uid="{00000000-0005-0000-0000-0000BD0B0000}"/>
    <cellStyle name="EMC Auto/Manual Column Header" xfId="3264" xr:uid="{00000000-0005-0000-0000-0000BE0B0000}"/>
    <cellStyle name="EMC Automatic Calc Column Header" xfId="3265" xr:uid="{00000000-0005-0000-0000-0000BF0B0000}"/>
    <cellStyle name="EMC Column Header" xfId="3266" xr:uid="{00000000-0005-0000-0000-0000C00B0000}"/>
    <cellStyle name="EMC Manual Input Column Header" xfId="3267" xr:uid="{00000000-0005-0000-0000-0000C10B0000}"/>
    <cellStyle name="EMC ROW Header" xfId="3268" xr:uid="{00000000-0005-0000-0000-0000C20B0000}"/>
    <cellStyle name="EMC SubTitle" xfId="3269" xr:uid="{00000000-0005-0000-0000-0000C30B0000}"/>
    <cellStyle name="EMC Table Center Text" xfId="3270" xr:uid="{00000000-0005-0000-0000-0000C40B0000}"/>
    <cellStyle name="EMC Table Date" xfId="3271" xr:uid="{00000000-0005-0000-0000-0000C50B0000}"/>
    <cellStyle name="EMC Table Left Align" xfId="3272" xr:uid="{00000000-0005-0000-0000-0000C60B0000}"/>
    <cellStyle name="EMC Table Text Example" xfId="3273" xr:uid="{00000000-0005-0000-0000-0000C70B0000}"/>
    <cellStyle name="EMC Title" xfId="3274" xr:uid="{00000000-0005-0000-0000-0000C80B0000}"/>
    <cellStyle name="Encabez1" xfId="3275" xr:uid="{00000000-0005-0000-0000-0000C90B0000}"/>
    <cellStyle name="Encabez2" xfId="3276" xr:uid="{00000000-0005-0000-0000-0000CA0B0000}"/>
    <cellStyle name="Enter Currency (0)" xfId="3277" xr:uid="{00000000-0005-0000-0000-0000CB0B0000}"/>
    <cellStyle name="Enter Currency (0) 10" xfId="3278" xr:uid="{00000000-0005-0000-0000-0000CC0B0000}"/>
    <cellStyle name="Enter Currency (0) 11" xfId="3279" xr:uid="{00000000-0005-0000-0000-0000CD0B0000}"/>
    <cellStyle name="Enter Currency (0) 2" xfId="3280" xr:uid="{00000000-0005-0000-0000-0000CE0B0000}"/>
    <cellStyle name="Enter Currency (0) 3" xfId="3281" xr:uid="{00000000-0005-0000-0000-0000CF0B0000}"/>
    <cellStyle name="Enter Currency (0) 4" xfId="3282" xr:uid="{00000000-0005-0000-0000-0000D00B0000}"/>
    <cellStyle name="Enter Currency (0) 5" xfId="3283" xr:uid="{00000000-0005-0000-0000-0000D10B0000}"/>
    <cellStyle name="Enter Currency (0) 6" xfId="3284" xr:uid="{00000000-0005-0000-0000-0000D20B0000}"/>
    <cellStyle name="Enter Currency (0) 7" xfId="3285" xr:uid="{00000000-0005-0000-0000-0000D30B0000}"/>
    <cellStyle name="Enter Currency (0) 8" xfId="3286" xr:uid="{00000000-0005-0000-0000-0000D40B0000}"/>
    <cellStyle name="Enter Currency (0) 9" xfId="3287" xr:uid="{00000000-0005-0000-0000-0000D50B0000}"/>
    <cellStyle name="Enter Currency (2)" xfId="3288" xr:uid="{00000000-0005-0000-0000-0000D60B0000}"/>
    <cellStyle name="Enter Currency (2) 10" xfId="3289" xr:uid="{00000000-0005-0000-0000-0000D70B0000}"/>
    <cellStyle name="Enter Currency (2) 11" xfId="3290" xr:uid="{00000000-0005-0000-0000-0000D80B0000}"/>
    <cellStyle name="Enter Currency (2) 2" xfId="3291" xr:uid="{00000000-0005-0000-0000-0000D90B0000}"/>
    <cellStyle name="Enter Currency (2) 3" xfId="3292" xr:uid="{00000000-0005-0000-0000-0000DA0B0000}"/>
    <cellStyle name="Enter Currency (2) 4" xfId="3293" xr:uid="{00000000-0005-0000-0000-0000DB0B0000}"/>
    <cellStyle name="Enter Currency (2) 5" xfId="3294" xr:uid="{00000000-0005-0000-0000-0000DC0B0000}"/>
    <cellStyle name="Enter Currency (2) 6" xfId="3295" xr:uid="{00000000-0005-0000-0000-0000DD0B0000}"/>
    <cellStyle name="Enter Currency (2) 7" xfId="3296" xr:uid="{00000000-0005-0000-0000-0000DE0B0000}"/>
    <cellStyle name="Enter Currency (2) 8" xfId="3297" xr:uid="{00000000-0005-0000-0000-0000DF0B0000}"/>
    <cellStyle name="Enter Currency (2) 9" xfId="3298" xr:uid="{00000000-0005-0000-0000-0000E00B0000}"/>
    <cellStyle name="Enter Units (0)" xfId="3299" xr:uid="{00000000-0005-0000-0000-0000E10B0000}"/>
    <cellStyle name="Enter Units (0) 10" xfId="3300" xr:uid="{00000000-0005-0000-0000-0000E20B0000}"/>
    <cellStyle name="Enter Units (0) 11" xfId="3301" xr:uid="{00000000-0005-0000-0000-0000E30B0000}"/>
    <cellStyle name="Enter Units (0) 2" xfId="3302" xr:uid="{00000000-0005-0000-0000-0000E40B0000}"/>
    <cellStyle name="Enter Units (0) 3" xfId="3303" xr:uid="{00000000-0005-0000-0000-0000E50B0000}"/>
    <cellStyle name="Enter Units (0) 4" xfId="3304" xr:uid="{00000000-0005-0000-0000-0000E60B0000}"/>
    <cellStyle name="Enter Units (0) 5" xfId="3305" xr:uid="{00000000-0005-0000-0000-0000E70B0000}"/>
    <cellStyle name="Enter Units (0) 6" xfId="3306" xr:uid="{00000000-0005-0000-0000-0000E80B0000}"/>
    <cellStyle name="Enter Units (0) 7" xfId="3307" xr:uid="{00000000-0005-0000-0000-0000E90B0000}"/>
    <cellStyle name="Enter Units (0) 8" xfId="3308" xr:uid="{00000000-0005-0000-0000-0000EA0B0000}"/>
    <cellStyle name="Enter Units (0) 9" xfId="3309" xr:uid="{00000000-0005-0000-0000-0000EB0B0000}"/>
    <cellStyle name="Enter Units (1)" xfId="3310" xr:uid="{00000000-0005-0000-0000-0000EC0B0000}"/>
    <cellStyle name="Enter Units (1) 10" xfId="3311" xr:uid="{00000000-0005-0000-0000-0000ED0B0000}"/>
    <cellStyle name="Enter Units (1) 11" xfId="3312" xr:uid="{00000000-0005-0000-0000-0000EE0B0000}"/>
    <cellStyle name="Enter Units (1) 2" xfId="3313" xr:uid="{00000000-0005-0000-0000-0000EF0B0000}"/>
    <cellStyle name="Enter Units (1) 3" xfId="3314" xr:uid="{00000000-0005-0000-0000-0000F00B0000}"/>
    <cellStyle name="Enter Units (1) 4" xfId="3315" xr:uid="{00000000-0005-0000-0000-0000F10B0000}"/>
    <cellStyle name="Enter Units (1) 5" xfId="3316" xr:uid="{00000000-0005-0000-0000-0000F20B0000}"/>
    <cellStyle name="Enter Units (1) 6" xfId="3317" xr:uid="{00000000-0005-0000-0000-0000F30B0000}"/>
    <cellStyle name="Enter Units (1) 7" xfId="3318" xr:uid="{00000000-0005-0000-0000-0000F40B0000}"/>
    <cellStyle name="Enter Units (1) 8" xfId="3319" xr:uid="{00000000-0005-0000-0000-0000F50B0000}"/>
    <cellStyle name="Enter Units (1) 9" xfId="3320" xr:uid="{00000000-0005-0000-0000-0000F60B0000}"/>
    <cellStyle name="Enter Units (2)" xfId="3321" xr:uid="{00000000-0005-0000-0000-0000F70B0000}"/>
    <cellStyle name="Enter Units (2) 10" xfId="3322" xr:uid="{00000000-0005-0000-0000-0000F80B0000}"/>
    <cellStyle name="Enter Units (2) 11" xfId="3323" xr:uid="{00000000-0005-0000-0000-0000F90B0000}"/>
    <cellStyle name="Enter Units (2) 2" xfId="3324" xr:uid="{00000000-0005-0000-0000-0000FA0B0000}"/>
    <cellStyle name="Enter Units (2) 3" xfId="3325" xr:uid="{00000000-0005-0000-0000-0000FB0B0000}"/>
    <cellStyle name="Enter Units (2) 4" xfId="3326" xr:uid="{00000000-0005-0000-0000-0000FC0B0000}"/>
    <cellStyle name="Enter Units (2) 5" xfId="3327" xr:uid="{00000000-0005-0000-0000-0000FD0B0000}"/>
    <cellStyle name="Enter Units (2) 6" xfId="3328" xr:uid="{00000000-0005-0000-0000-0000FE0B0000}"/>
    <cellStyle name="Enter Units (2) 7" xfId="3329" xr:uid="{00000000-0005-0000-0000-0000FF0B0000}"/>
    <cellStyle name="Enter Units (2) 8" xfId="3330" xr:uid="{00000000-0005-0000-0000-0000000C0000}"/>
    <cellStyle name="Enter Units (2) 9" xfId="3331" xr:uid="{00000000-0005-0000-0000-0000010C0000}"/>
    <cellStyle name="Entered" xfId="3332" xr:uid="{00000000-0005-0000-0000-0000020C0000}"/>
    <cellStyle name="Entered 2" xfId="3333" xr:uid="{00000000-0005-0000-0000-0000030C0000}"/>
    <cellStyle name="Entered 3" xfId="3334" xr:uid="{00000000-0005-0000-0000-0000040C0000}"/>
    <cellStyle name="Entered 4" xfId="3335" xr:uid="{00000000-0005-0000-0000-0000050C0000}"/>
    <cellStyle name="Entered 5" xfId="3336" xr:uid="{00000000-0005-0000-0000-0000060C0000}"/>
    <cellStyle name="Entered 6" xfId="3337" xr:uid="{00000000-0005-0000-0000-0000070C0000}"/>
    <cellStyle name="Entered 7" xfId="3338" xr:uid="{00000000-0005-0000-0000-0000080C0000}"/>
    <cellStyle name="Entered 8" xfId="3339" xr:uid="{00000000-0005-0000-0000-0000090C0000}"/>
    <cellStyle name="Euro" xfId="3340" xr:uid="{00000000-0005-0000-0000-00000A0C0000}"/>
    <cellStyle name="Euro 2" xfId="3341" xr:uid="{00000000-0005-0000-0000-00000B0C0000}"/>
    <cellStyle name="Euro 3" xfId="3342" xr:uid="{00000000-0005-0000-0000-00000C0C0000}"/>
    <cellStyle name="Euro 4" xfId="3343" xr:uid="{00000000-0005-0000-0000-00000D0C0000}"/>
    <cellStyle name="Euro 5" xfId="3344" xr:uid="{00000000-0005-0000-0000-00000E0C0000}"/>
    <cellStyle name="Euro 6" xfId="3345" xr:uid="{00000000-0005-0000-0000-00000F0C0000}"/>
    <cellStyle name="Euro 7" xfId="3346" xr:uid="{00000000-0005-0000-0000-0000100C0000}"/>
    <cellStyle name="Euro 8" xfId="3347" xr:uid="{00000000-0005-0000-0000-0000110C0000}"/>
    <cellStyle name="Exchange_rate" xfId="3348" xr:uid="{00000000-0005-0000-0000-0000120C0000}"/>
    <cellStyle name="Explanatory Text 2" xfId="3349" xr:uid="{00000000-0005-0000-0000-0000130C0000}"/>
    <cellStyle name="F2" xfId="3350" xr:uid="{00000000-0005-0000-0000-0000140C0000}"/>
    <cellStyle name="F3" xfId="3351" xr:uid="{00000000-0005-0000-0000-0000150C0000}"/>
    <cellStyle name="F4" xfId="3352" xr:uid="{00000000-0005-0000-0000-0000160C0000}"/>
    <cellStyle name="F5" xfId="3353" xr:uid="{00000000-0005-0000-0000-0000170C0000}"/>
    <cellStyle name="F6" xfId="3354" xr:uid="{00000000-0005-0000-0000-0000180C0000}"/>
    <cellStyle name="F7" xfId="3355" xr:uid="{00000000-0005-0000-0000-0000190C0000}"/>
    <cellStyle name="F8" xfId="3356" xr:uid="{00000000-0005-0000-0000-00001A0C0000}"/>
    <cellStyle name="Fijo" xfId="3357" xr:uid="{00000000-0005-0000-0000-00001B0C0000}"/>
    <cellStyle name="Financiero" xfId="3358" xr:uid="{00000000-0005-0000-0000-00001C0C0000}"/>
    <cellStyle name="Fixed" xfId="3359" xr:uid="{00000000-0005-0000-0000-00001D0C0000}"/>
    <cellStyle name="fixed (0)" xfId="3360" xr:uid="{00000000-0005-0000-0000-00001E0C0000}"/>
    <cellStyle name="Fixed [0]" xfId="3361" xr:uid="{00000000-0005-0000-0000-00001F0C0000}"/>
    <cellStyle name="Fixed 2" xfId="3362" xr:uid="{00000000-0005-0000-0000-0000200C0000}"/>
    <cellStyle name="Fixed 3" xfId="3363" xr:uid="{00000000-0005-0000-0000-0000210C0000}"/>
    <cellStyle name="Fixed 4" xfId="3364" xr:uid="{00000000-0005-0000-0000-0000220C0000}"/>
    <cellStyle name="Fixed 5" xfId="3365" xr:uid="{00000000-0005-0000-0000-0000230C0000}"/>
    <cellStyle name="Fixed 6" xfId="3366" xr:uid="{00000000-0005-0000-0000-0000240C0000}"/>
    <cellStyle name="Fixed 7" xfId="3367" xr:uid="{00000000-0005-0000-0000-0000250C0000}"/>
    <cellStyle name="Fixed 8" xfId="3368" xr:uid="{00000000-0005-0000-0000-0000260C0000}"/>
    <cellStyle name="ƒnƒCƒp[ƒŠƒ“ƒN" xfId="3369" xr:uid="{00000000-0005-0000-0000-0000270C0000}"/>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nt" xfId="3370" xr:uid="{00000000-0005-0000-0000-0000190D0000}"/>
    <cellStyle name="font 2" xfId="3371" xr:uid="{00000000-0005-0000-0000-00001A0D0000}"/>
    <cellStyle name="font 3" xfId="3372" xr:uid="{00000000-0005-0000-0000-00001B0D0000}"/>
    <cellStyle name="font 4" xfId="3373" xr:uid="{00000000-0005-0000-0000-00001C0D0000}"/>
    <cellStyle name="font 5" xfId="3374" xr:uid="{00000000-0005-0000-0000-00001D0D0000}"/>
    <cellStyle name="font 6" xfId="3375" xr:uid="{00000000-0005-0000-0000-00001E0D0000}"/>
    <cellStyle name="font 7" xfId="3376" xr:uid="{00000000-0005-0000-0000-00001F0D0000}"/>
    <cellStyle name="Footer SBILogo1" xfId="3377" xr:uid="{00000000-0005-0000-0000-0000200D0000}"/>
    <cellStyle name="Footer SBILogo2" xfId="3378" xr:uid="{00000000-0005-0000-0000-0000210D0000}"/>
    <cellStyle name="Footnote" xfId="3379" xr:uid="{00000000-0005-0000-0000-0000220D0000}"/>
    <cellStyle name="Footnote Reference" xfId="3380" xr:uid="{00000000-0005-0000-0000-0000230D0000}"/>
    <cellStyle name="Footnote_ACCC" xfId="3381" xr:uid="{00000000-0005-0000-0000-0000240D0000}"/>
    <cellStyle name="Good 2" xfId="3382" xr:uid="{00000000-0005-0000-0000-0000250D0000}"/>
    <cellStyle name="GP number style" xfId="3383" xr:uid="{00000000-0005-0000-0000-0000260D0000}"/>
    <cellStyle name="Grey" xfId="3384" xr:uid="{00000000-0005-0000-0000-0000270D0000}"/>
    <cellStyle name="grid (,0)" xfId="3385" xr:uid="{00000000-0005-0000-0000-0000280D0000}"/>
    <cellStyle name="Hard Percent" xfId="3386" xr:uid="{00000000-0005-0000-0000-0000290D0000}"/>
    <cellStyle name="HEADER" xfId="3387" xr:uid="{00000000-0005-0000-0000-00002A0D0000}"/>
    <cellStyle name="HEADER 2" xfId="3388" xr:uid="{00000000-0005-0000-0000-00002B0D0000}"/>
    <cellStyle name="HEADER 3" xfId="3389" xr:uid="{00000000-0005-0000-0000-00002C0D0000}"/>
    <cellStyle name="HEADER 4" xfId="3390" xr:uid="{00000000-0005-0000-0000-00002D0D0000}"/>
    <cellStyle name="HEADER 5" xfId="3391" xr:uid="{00000000-0005-0000-0000-00002E0D0000}"/>
    <cellStyle name="HEADER 6" xfId="3392" xr:uid="{00000000-0005-0000-0000-00002F0D0000}"/>
    <cellStyle name="HEADER 7" xfId="3393" xr:uid="{00000000-0005-0000-0000-0000300D0000}"/>
    <cellStyle name="HEADER 8" xfId="3394" xr:uid="{00000000-0005-0000-0000-0000310D0000}"/>
    <cellStyle name="Header Draft Stamp" xfId="3395" xr:uid="{00000000-0005-0000-0000-0000320D0000}"/>
    <cellStyle name="Header Major" xfId="3396" xr:uid="{00000000-0005-0000-0000-0000330D0000}"/>
    <cellStyle name="Header Minor" xfId="3397" xr:uid="{00000000-0005-0000-0000-0000340D0000}"/>
    <cellStyle name="Header_ACCC" xfId="3398" xr:uid="{00000000-0005-0000-0000-0000350D0000}"/>
    <cellStyle name="Header1" xfId="3399" xr:uid="{00000000-0005-0000-0000-0000360D0000}"/>
    <cellStyle name="Header1 2" xfId="3400" xr:uid="{00000000-0005-0000-0000-0000370D0000}"/>
    <cellStyle name="Header2" xfId="3401" xr:uid="{00000000-0005-0000-0000-0000380D0000}"/>
    <cellStyle name="Header2 2" xfId="3402" xr:uid="{00000000-0005-0000-0000-0000390D0000}"/>
    <cellStyle name="Heading" xfId="3403" xr:uid="{00000000-0005-0000-0000-00003A0D0000}"/>
    <cellStyle name="Heading 1 2" xfId="3404" xr:uid="{00000000-0005-0000-0000-00003B0D0000}"/>
    <cellStyle name="Heading 1 3" xfId="3405" xr:uid="{00000000-0005-0000-0000-00003C0D0000}"/>
    <cellStyle name="Heading 1 4" xfId="3406" xr:uid="{00000000-0005-0000-0000-00003D0D0000}"/>
    <cellStyle name="Heading 1 5" xfId="3407" xr:uid="{00000000-0005-0000-0000-00003E0D0000}"/>
    <cellStyle name="Heading 1 6" xfId="3408" xr:uid="{00000000-0005-0000-0000-00003F0D0000}"/>
    <cellStyle name="Heading 1 7" xfId="3409" xr:uid="{00000000-0005-0000-0000-0000400D0000}"/>
    <cellStyle name="Heading 1 8" xfId="3410" xr:uid="{00000000-0005-0000-0000-0000410D0000}"/>
    <cellStyle name="Heading 1 Above" xfId="3411" xr:uid="{00000000-0005-0000-0000-0000420D0000}"/>
    <cellStyle name="Heading 1+" xfId="3412" xr:uid="{00000000-0005-0000-0000-0000430D0000}"/>
    <cellStyle name="Heading 10" xfId="3413" xr:uid="{00000000-0005-0000-0000-0000440D0000}"/>
    <cellStyle name="Heading 11" xfId="3414" xr:uid="{00000000-0005-0000-0000-0000450D0000}"/>
    <cellStyle name="Heading 12" xfId="3415" xr:uid="{00000000-0005-0000-0000-0000460D0000}"/>
    <cellStyle name="Heading 13" xfId="3416" xr:uid="{00000000-0005-0000-0000-0000470D0000}"/>
    <cellStyle name="Heading 14" xfId="3417" xr:uid="{00000000-0005-0000-0000-0000480D0000}"/>
    <cellStyle name="Heading 2 2" xfId="3418" xr:uid="{00000000-0005-0000-0000-0000490D0000}"/>
    <cellStyle name="Heading 2 3" xfId="3419" xr:uid="{00000000-0005-0000-0000-00004A0D0000}"/>
    <cellStyle name="Heading 2 4" xfId="3420" xr:uid="{00000000-0005-0000-0000-00004B0D0000}"/>
    <cellStyle name="Heading 2 5" xfId="3421" xr:uid="{00000000-0005-0000-0000-00004C0D0000}"/>
    <cellStyle name="Heading 2 6" xfId="3422" xr:uid="{00000000-0005-0000-0000-00004D0D0000}"/>
    <cellStyle name="Heading 2 7" xfId="3423" xr:uid="{00000000-0005-0000-0000-00004E0D0000}"/>
    <cellStyle name="Heading 2 8" xfId="3424" xr:uid="{00000000-0005-0000-0000-00004F0D0000}"/>
    <cellStyle name="Heading 2 Below" xfId="3425" xr:uid="{00000000-0005-0000-0000-0000500D0000}"/>
    <cellStyle name="Heading 2+" xfId="3426" xr:uid="{00000000-0005-0000-0000-0000510D0000}"/>
    <cellStyle name="Heading 3 2" xfId="3427" xr:uid="{00000000-0005-0000-0000-0000520D0000}"/>
    <cellStyle name="Heading 3+" xfId="3428" xr:uid="{00000000-0005-0000-0000-0000530D0000}"/>
    <cellStyle name="Heading 4 2" xfId="3429" xr:uid="{00000000-0005-0000-0000-0000540D0000}"/>
    <cellStyle name="Heading 5" xfId="3430" xr:uid="{00000000-0005-0000-0000-0000550D0000}"/>
    <cellStyle name="Heading 5 2" xfId="3431" xr:uid="{00000000-0005-0000-0000-0000560D0000}"/>
    <cellStyle name="Heading 5_Top 20-IR" xfId="3432" xr:uid="{00000000-0005-0000-0000-0000570D0000}"/>
    <cellStyle name="Heading 6" xfId="3433" xr:uid="{00000000-0005-0000-0000-0000580D0000}"/>
    <cellStyle name="Heading 6 2" xfId="3434" xr:uid="{00000000-0005-0000-0000-0000590D0000}"/>
    <cellStyle name="Heading 6_Top 20-IR" xfId="3435" xr:uid="{00000000-0005-0000-0000-00005A0D0000}"/>
    <cellStyle name="Heading 7" xfId="3436" xr:uid="{00000000-0005-0000-0000-00005B0D0000}"/>
    <cellStyle name="Heading 7 2" xfId="3437" xr:uid="{00000000-0005-0000-0000-00005C0D0000}"/>
    <cellStyle name="Heading 7_Top 20-IR" xfId="3438" xr:uid="{00000000-0005-0000-0000-00005D0D0000}"/>
    <cellStyle name="Heading 8" xfId="3439" xr:uid="{00000000-0005-0000-0000-00005E0D0000}"/>
    <cellStyle name="Heading 9" xfId="3440" xr:uid="{00000000-0005-0000-0000-00005F0D0000}"/>
    <cellStyle name="heading info" xfId="3441" xr:uid="{00000000-0005-0000-0000-0000600D0000}"/>
    <cellStyle name="Heading No Underline" xfId="3442" xr:uid="{00000000-0005-0000-0000-0000610D0000}"/>
    <cellStyle name="Heading With Underline" xfId="3443" xr:uid="{00000000-0005-0000-0000-0000620D0000}"/>
    <cellStyle name="HEADING1" xfId="3444" xr:uid="{00000000-0005-0000-0000-0000630D0000}"/>
    <cellStyle name="Heading1 2" xfId="3445" xr:uid="{00000000-0005-0000-0000-0000640D0000}"/>
    <cellStyle name="Heading1 3" xfId="3446" xr:uid="{00000000-0005-0000-0000-0000650D0000}"/>
    <cellStyle name="Heading1 4" xfId="3447" xr:uid="{00000000-0005-0000-0000-0000660D0000}"/>
    <cellStyle name="Heading1 5" xfId="3448" xr:uid="{00000000-0005-0000-0000-0000670D0000}"/>
    <cellStyle name="Heading1 6" xfId="3449" xr:uid="{00000000-0005-0000-0000-0000680D0000}"/>
    <cellStyle name="Heading1 7" xfId="3450" xr:uid="{00000000-0005-0000-0000-0000690D0000}"/>
    <cellStyle name="Heading1 8" xfId="3451" xr:uid="{00000000-0005-0000-0000-00006A0D0000}"/>
    <cellStyle name="HEADING2" xfId="3452" xr:uid="{00000000-0005-0000-0000-00006B0D0000}"/>
    <cellStyle name="Heading2 2" xfId="3453" xr:uid="{00000000-0005-0000-0000-00006C0D0000}"/>
    <cellStyle name="Heading2 3" xfId="3454" xr:uid="{00000000-0005-0000-0000-00006D0D0000}"/>
    <cellStyle name="Heading2 4" xfId="3455" xr:uid="{00000000-0005-0000-0000-00006E0D0000}"/>
    <cellStyle name="Heading2 5" xfId="3456" xr:uid="{00000000-0005-0000-0000-00006F0D0000}"/>
    <cellStyle name="Heading2 6" xfId="3457" xr:uid="{00000000-0005-0000-0000-0000700D0000}"/>
    <cellStyle name="Heading2 7" xfId="3458" xr:uid="{00000000-0005-0000-0000-0000710D0000}"/>
    <cellStyle name="Heading2 8" xfId="3459" xr:uid="{00000000-0005-0000-0000-0000720D0000}"/>
    <cellStyle name="HEADINGS" xfId="3460" xr:uid="{00000000-0005-0000-0000-0000730D0000}"/>
    <cellStyle name="HEADINGS 2" xfId="3461" xr:uid="{00000000-0005-0000-0000-0000740D0000}"/>
    <cellStyle name="HEADINGS 3" xfId="3462" xr:uid="{00000000-0005-0000-0000-0000750D0000}"/>
    <cellStyle name="HEADINGS 4" xfId="3463" xr:uid="{00000000-0005-0000-0000-0000760D0000}"/>
    <cellStyle name="HEADINGS 5" xfId="3464" xr:uid="{00000000-0005-0000-0000-0000770D0000}"/>
    <cellStyle name="HEADINGS 6" xfId="3465" xr:uid="{00000000-0005-0000-0000-0000780D0000}"/>
    <cellStyle name="HEADINGS 7" xfId="3466" xr:uid="{00000000-0005-0000-0000-0000790D0000}"/>
    <cellStyle name="HEADINGS 8" xfId="3467" xr:uid="{00000000-0005-0000-0000-00007A0D0000}"/>
    <cellStyle name="Headings- Other" xfId="3468" xr:uid="{00000000-0005-0000-0000-00007B0D0000}"/>
    <cellStyle name="HEADINGS_05 SA Key Trend Data" xfId="3469" xr:uid="{00000000-0005-0000-0000-00007C0D0000}"/>
    <cellStyle name="HEADINGSTOP" xfId="3470" xr:uid="{00000000-0005-0000-0000-00007D0D0000}"/>
    <cellStyle name="HEADINGSTOP 2" xfId="3471" xr:uid="{00000000-0005-0000-0000-00007E0D0000}"/>
    <cellStyle name="HEADINGSTOP 3" xfId="3472" xr:uid="{00000000-0005-0000-0000-00007F0D0000}"/>
    <cellStyle name="HEADINGSTOP 4" xfId="3473" xr:uid="{00000000-0005-0000-0000-0000800D0000}"/>
    <cellStyle name="HEADINGSTOP 5" xfId="3474" xr:uid="{00000000-0005-0000-0000-0000810D0000}"/>
    <cellStyle name="HEADINGSTOP 6" xfId="3475" xr:uid="{00000000-0005-0000-0000-0000820D0000}"/>
    <cellStyle name="HEADINGSTOP 7" xfId="3476" xr:uid="{00000000-0005-0000-0000-0000830D0000}"/>
    <cellStyle name="HEADINGSTOP 8" xfId="3477" xr:uid="{00000000-0005-0000-0000-0000840D0000}"/>
    <cellStyle name="Hidden" xfId="3478" xr:uid="{00000000-0005-0000-0000-0000850D0000}"/>
    <cellStyle name="HIGHLIGHT" xfId="3479" xr:uid="{00000000-0005-0000-0000-0000860D0000}"/>
    <cellStyle name="HIGHLIGHT 2" xfId="3480" xr:uid="{00000000-0005-0000-0000-0000870D0000}"/>
    <cellStyle name="HITLIST" xfId="3481" xr:uid="{00000000-0005-0000-0000-0000880D0000}"/>
    <cellStyle name="Hyperlink 2" xfId="266" xr:uid="{00000000-0005-0000-0000-0000890D0000}"/>
    <cellStyle name="Hyperlink 2 2" xfId="3482" xr:uid="{00000000-0005-0000-0000-00008A0D0000}"/>
    <cellStyle name="imp-pr-item" xfId="3483" xr:uid="{00000000-0005-0000-0000-00008B0D0000}"/>
    <cellStyle name="imp-pr-item 2" xfId="3484" xr:uid="{00000000-0005-0000-0000-00008C0D0000}"/>
    <cellStyle name="Input [yellow]" xfId="3485" xr:uid="{00000000-0005-0000-0000-00008D0D0000}"/>
    <cellStyle name="Input 0" xfId="3486" xr:uid="{00000000-0005-0000-0000-00008E0D0000}"/>
    <cellStyle name="Input 2" xfId="3487" xr:uid="{00000000-0005-0000-0000-00008F0D0000}"/>
    <cellStyle name="Input Cell" xfId="3488" xr:uid="{00000000-0005-0000-0000-0000900D0000}"/>
    <cellStyle name="Input Cells" xfId="3489" xr:uid="{00000000-0005-0000-0000-0000910D0000}"/>
    <cellStyle name="Input Cells 10" xfId="3490" xr:uid="{00000000-0005-0000-0000-0000920D0000}"/>
    <cellStyle name="Input Cells 11" xfId="3491" xr:uid="{00000000-0005-0000-0000-0000930D0000}"/>
    <cellStyle name="Input Cells 2" xfId="3492" xr:uid="{00000000-0005-0000-0000-0000940D0000}"/>
    <cellStyle name="Input Cells 3" xfId="3493" xr:uid="{00000000-0005-0000-0000-0000950D0000}"/>
    <cellStyle name="Input Cells 4" xfId="3494" xr:uid="{00000000-0005-0000-0000-0000960D0000}"/>
    <cellStyle name="Input Cells 5" xfId="3495" xr:uid="{00000000-0005-0000-0000-0000970D0000}"/>
    <cellStyle name="Input Cells 6" xfId="3496" xr:uid="{00000000-0005-0000-0000-0000980D0000}"/>
    <cellStyle name="Input Cells 7" xfId="3497" xr:uid="{00000000-0005-0000-0000-0000990D0000}"/>
    <cellStyle name="Input Cells 8" xfId="3498" xr:uid="{00000000-0005-0000-0000-00009A0D0000}"/>
    <cellStyle name="Input Cells 9" xfId="3499" xr:uid="{00000000-0005-0000-0000-00009B0D0000}"/>
    <cellStyle name="Input Currency" xfId="3500" xr:uid="{00000000-0005-0000-0000-00009C0D0000}"/>
    <cellStyle name="Input Currency 0" xfId="3501" xr:uid="{00000000-0005-0000-0000-00009D0D0000}"/>
    <cellStyle name="Input Currency 2" xfId="3502" xr:uid="{00000000-0005-0000-0000-00009E0D0000}"/>
    <cellStyle name="Input Currency_HC_paradise" xfId="3503" xr:uid="{00000000-0005-0000-0000-00009F0D0000}"/>
    <cellStyle name="Input Date" xfId="3504" xr:uid="{00000000-0005-0000-0000-0000A00D0000}"/>
    <cellStyle name="Input Fixed [0]" xfId="3505" xr:uid="{00000000-0005-0000-0000-0000A10D0000}"/>
    <cellStyle name="Input Multiple" xfId="3506" xr:uid="{00000000-0005-0000-0000-0000A20D0000}"/>
    <cellStyle name="Input Normal" xfId="3507" xr:uid="{00000000-0005-0000-0000-0000A30D0000}"/>
    <cellStyle name="Input Normal [0]" xfId="3508" xr:uid="{00000000-0005-0000-0000-0000A40D0000}"/>
    <cellStyle name="Input Normal Black" xfId="3509" xr:uid="{00000000-0005-0000-0000-0000A50D0000}"/>
    <cellStyle name="Input Normal_HC_paradise" xfId="3510" xr:uid="{00000000-0005-0000-0000-0000A60D0000}"/>
    <cellStyle name="Input Percent" xfId="3511" xr:uid="{00000000-0005-0000-0000-0000A70D0000}"/>
    <cellStyle name="Input Percent [2]" xfId="3512" xr:uid="{00000000-0005-0000-0000-0000A80D0000}"/>
    <cellStyle name="Input Percent Black" xfId="3513" xr:uid="{00000000-0005-0000-0000-0000A90D0000}"/>
    <cellStyle name="Input Percent_HC_paradise" xfId="3514" xr:uid="{00000000-0005-0000-0000-0000AA0D0000}"/>
    <cellStyle name="Input Titles" xfId="3515" xr:uid="{00000000-0005-0000-0000-0000AB0D0000}"/>
    <cellStyle name="Input Titles Black" xfId="3516" xr:uid="{00000000-0005-0000-0000-0000AC0D0000}"/>
    <cellStyle name="Input Years" xfId="3517" xr:uid="{00000000-0005-0000-0000-0000AD0D0000}"/>
    <cellStyle name="InputCurrency" xfId="3518" xr:uid="{00000000-0005-0000-0000-0000AE0D0000}"/>
    <cellStyle name="InputCurrency2" xfId="3519" xr:uid="{00000000-0005-0000-0000-0000AF0D0000}"/>
    <cellStyle name="InputDateDMth" xfId="3520" xr:uid="{00000000-0005-0000-0000-0000B00D0000}"/>
    <cellStyle name="InputDateNorm" xfId="3521" xr:uid="{00000000-0005-0000-0000-0000B10D0000}"/>
    <cellStyle name="InputMultiple1" xfId="3522" xr:uid="{00000000-0005-0000-0000-0000B20D0000}"/>
    <cellStyle name="InputPercent1" xfId="3523" xr:uid="{00000000-0005-0000-0000-0000B30D0000}"/>
    <cellStyle name="InputUlineNumeric" xfId="3524" xr:uid="{00000000-0005-0000-0000-0000B40D0000}"/>
    <cellStyle name="InsightDateStyle" xfId="3525" xr:uid="{00000000-0005-0000-0000-0000B50D0000}"/>
    <cellStyle name="InsightNumberStyle" xfId="3526" xr:uid="{00000000-0005-0000-0000-0000B60D0000}"/>
    <cellStyle name="inverted heading" xfId="3527" xr:uid="{00000000-0005-0000-0000-0000B70D0000}"/>
    <cellStyle name="inverted heading 2" xfId="3528" xr:uid="{00000000-0005-0000-0000-0000B80D0000}"/>
    <cellStyle name="Jason" xfId="3529" xr:uid="{00000000-0005-0000-0000-0000B90D0000}"/>
    <cellStyle name="Jun" xfId="3530" xr:uid="{00000000-0005-0000-0000-0000BA0D0000}"/>
    <cellStyle name="Jun 10" xfId="3531" xr:uid="{00000000-0005-0000-0000-0000BB0D0000}"/>
    <cellStyle name="Jun 10 2" xfId="3532" xr:uid="{00000000-0005-0000-0000-0000BC0D0000}"/>
    <cellStyle name="Jun 10_Top 20-IR" xfId="3533" xr:uid="{00000000-0005-0000-0000-0000BD0D0000}"/>
    <cellStyle name="Jun 11" xfId="3534" xr:uid="{00000000-0005-0000-0000-0000BE0D0000}"/>
    <cellStyle name="Jun 11 2" xfId="3535" xr:uid="{00000000-0005-0000-0000-0000BF0D0000}"/>
    <cellStyle name="Jun 11_Top 20-IR" xfId="3536" xr:uid="{00000000-0005-0000-0000-0000C00D0000}"/>
    <cellStyle name="Jun 2" xfId="3537" xr:uid="{00000000-0005-0000-0000-0000C10D0000}"/>
    <cellStyle name="Jun 2 2" xfId="3538" xr:uid="{00000000-0005-0000-0000-0000C20D0000}"/>
    <cellStyle name="Jun 2_Top 20-IR" xfId="3539" xr:uid="{00000000-0005-0000-0000-0000C30D0000}"/>
    <cellStyle name="Jun 3" xfId="3540" xr:uid="{00000000-0005-0000-0000-0000C40D0000}"/>
    <cellStyle name="Jun 3 2" xfId="3541" xr:uid="{00000000-0005-0000-0000-0000C50D0000}"/>
    <cellStyle name="Jun 3_Top 20-IR" xfId="3542" xr:uid="{00000000-0005-0000-0000-0000C60D0000}"/>
    <cellStyle name="Jun 4" xfId="3543" xr:uid="{00000000-0005-0000-0000-0000C70D0000}"/>
    <cellStyle name="Jun 4 2" xfId="3544" xr:uid="{00000000-0005-0000-0000-0000C80D0000}"/>
    <cellStyle name="Jun 4_Top 20-IR" xfId="3545" xr:uid="{00000000-0005-0000-0000-0000C90D0000}"/>
    <cellStyle name="Jun 5" xfId="3546" xr:uid="{00000000-0005-0000-0000-0000CA0D0000}"/>
    <cellStyle name="Jun 5 2" xfId="3547" xr:uid="{00000000-0005-0000-0000-0000CB0D0000}"/>
    <cellStyle name="Jun 5_Top 20-IR" xfId="3548" xr:uid="{00000000-0005-0000-0000-0000CC0D0000}"/>
    <cellStyle name="Jun 6" xfId="3549" xr:uid="{00000000-0005-0000-0000-0000CD0D0000}"/>
    <cellStyle name="Jun 6 2" xfId="3550" xr:uid="{00000000-0005-0000-0000-0000CE0D0000}"/>
    <cellStyle name="Jun 6_Top 20-IR" xfId="3551" xr:uid="{00000000-0005-0000-0000-0000CF0D0000}"/>
    <cellStyle name="Jun 7" xfId="3552" xr:uid="{00000000-0005-0000-0000-0000D00D0000}"/>
    <cellStyle name="Jun 7 2" xfId="3553" xr:uid="{00000000-0005-0000-0000-0000D10D0000}"/>
    <cellStyle name="Jun 7_Top 20-IR" xfId="3554" xr:uid="{00000000-0005-0000-0000-0000D20D0000}"/>
    <cellStyle name="Jun 8" xfId="3555" xr:uid="{00000000-0005-0000-0000-0000D30D0000}"/>
    <cellStyle name="Jun 8 2" xfId="3556" xr:uid="{00000000-0005-0000-0000-0000D40D0000}"/>
    <cellStyle name="Jun 8_Top 20-IR" xfId="3557" xr:uid="{00000000-0005-0000-0000-0000D50D0000}"/>
    <cellStyle name="Jun 9" xfId="3558" xr:uid="{00000000-0005-0000-0000-0000D60D0000}"/>
    <cellStyle name="Jun 9 2" xfId="3559" xr:uid="{00000000-0005-0000-0000-0000D70D0000}"/>
    <cellStyle name="Jun 9_Top 20-IR" xfId="3560" xr:uid="{00000000-0005-0000-0000-0000D80D0000}"/>
    <cellStyle name="Jun_Top 20-IR (WD+1&amp;+2)" xfId="3561" xr:uid="{00000000-0005-0000-0000-0000D90D0000}"/>
    <cellStyle name="kd" xfId="3562" xr:uid="{00000000-0005-0000-0000-0000DA0D0000}"/>
    <cellStyle name="Komma_Victor_Quarter-pack addition" xfId="3563" xr:uid="{00000000-0005-0000-0000-0000DB0D0000}"/>
    <cellStyle name="Legato CPL Master Cover" xfId="3564" xr:uid="{00000000-0005-0000-0000-0000DC0D0000}"/>
    <cellStyle name="LineItemPrompt" xfId="3565" xr:uid="{00000000-0005-0000-0000-0000DD0D0000}"/>
    <cellStyle name="LineItemPrompt 2" xfId="3566" xr:uid="{00000000-0005-0000-0000-0000DE0D0000}"/>
    <cellStyle name="LineItemValue" xfId="3567" xr:uid="{00000000-0005-0000-0000-0000DF0D0000}"/>
    <cellStyle name="LineItemValue 2" xfId="3568" xr:uid="{00000000-0005-0000-0000-0000E00D0000}"/>
    <cellStyle name="Link Currency (0)" xfId="3569" xr:uid="{00000000-0005-0000-0000-0000E10D0000}"/>
    <cellStyle name="Link Currency (0) 10" xfId="3570" xr:uid="{00000000-0005-0000-0000-0000E20D0000}"/>
    <cellStyle name="Link Currency (0) 11" xfId="3571" xr:uid="{00000000-0005-0000-0000-0000E30D0000}"/>
    <cellStyle name="Link Currency (0) 2" xfId="3572" xr:uid="{00000000-0005-0000-0000-0000E40D0000}"/>
    <cellStyle name="Link Currency (0) 3" xfId="3573" xr:uid="{00000000-0005-0000-0000-0000E50D0000}"/>
    <cellStyle name="Link Currency (0) 4" xfId="3574" xr:uid="{00000000-0005-0000-0000-0000E60D0000}"/>
    <cellStyle name="Link Currency (0) 5" xfId="3575" xr:uid="{00000000-0005-0000-0000-0000E70D0000}"/>
    <cellStyle name="Link Currency (0) 6" xfId="3576" xr:uid="{00000000-0005-0000-0000-0000E80D0000}"/>
    <cellStyle name="Link Currency (0) 7" xfId="3577" xr:uid="{00000000-0005-0000-0000-0000E90D0000}"/>
    <cellStyle name="Link Currency (0) 8" xfId="3578" xr:uid="{00000000-0005-0000-0000-0000EA0D0000}"/>
    <cellStyle name="Link Currency (0) 9" xfId="3579" xr:uid="{00000000-0005-0000-0000-0000EB0D0000}"/>
    <cellStyle name="Link Currency (2)" xfId="3580" xr:uid="{00000000-0005-0000-0000-0000EC0D0000}"/>
    <cellStyle name="Link Currency (2) 10" xfId="3581" xr:uid="{00000000-0005-0000-0000-0000ED0D0000}"/>
    <cellStyle name="Link Currency (2) 11" xfId="3582" xr:uid="{00000000-0005-0000-0000-0000EE0D0000}"/>
    <cellStyle name="Link Currency (2) 2" xfId="3583" xr:uid="{00000000-0005-0000-0000-0000EF0D0000}"/>
    <cellStyle name="Link Currency (2) 3" xfId="3584" xr:uid="{00000000-0005-0000-0000-0000F00D0000}"/>
    <cellStyle name="Link Currency (2) 4" xfId="3585" xr:uid="{00000000-0005-0000-0000-0000F10D0000}"/>
    <cellStyle name="Link Currency (2) 5" xfId="3586" xr:uid="{00000000-0005-0000-0000-0000F20D0000}"/>
    <cellStyle name="Link Currency (2) 6" xfId="3587" xr:uid="{00000000-0005-0000-0000-0000F30D0000}"/>
    <cellStyle name="Link Currency (2) 7" xfId="3588" xr:uid="{00000000-0005-0000-0000-0000F40D0000}"/>
    <cellStyle name="Link Currency (2) 8" xfId="3589" xr:uid="{00000000-0005-0000-0000-0000F50D0000}"/>
    <cellStyle name="Link Currency (2) 9" xfId="3590" xr:uid="{00000000-0005-0000-0000-0000F60D0000}"/>
    <cellStyle name="Link Units (0)" xfId="3591" xr:uid="{00000000-0005-0000-0000-0000F70D0000}"/>
    <cellStyle name="Link Units (0) 10" xfId="3592" xr:uid="{00000000-0005-0000-0000-0000F80D0000}"/>
    <cellStyle name="Link Units (0) 11" xfId="3593" xr:uid="{00000000-0005-0000-0000-0000F90D0000}"/>
    <cellStyle name="Link Units (0) 2" xfId="3594" xr:uid="{00000000-0005-0000-0000-0000FA0D0000}"/>
    <cellStyle name="Link Units (0) 3" xfId="3595" xr:uid="{00000000-0005-0000-0000-0000FB0D0000}"/>
    <cellStyle name="Link Units (0) 4" xfId="3596" xr:uid="{00000000-0005-0000-0000-0000FC0D0000}"/>
    <cellStyle name="Link Units (0) 5" xfId="3597" xr:uid="{00000000-0005-0000-0000-0000FD0D0000}"/>
    <cellStyle name="Link Units (0) 6" xfId="3598" xr:uid="{00000000-0005-0000-0000-0000FE0D0000}"/>
    <cellStyle name="Link Units (0) 7" xfId="3599" xr:uid="{00000000-0005-0000-0000-0000FF0D0000}"/>
    <cellStyle name="Link Units (0) 8" xfId="3600" xr:uid="{00000000-0005-0000-0000-0000000E0000}"/>
    <cellStyle name="Link Units (0) 9" xfId="3601" xr:uid="{00000000-0005-0000-0000-0000010E0000}"/>
    <cellStyle name="Link Units (1)" xfId="3602" xr:uid="{00000000-0005-0000-0000-0000020E0000}"/>
    <cellStyle name="Link Units (1) 10" xfId="3603" xr:uid="{00000000-0005-0000-0000-0000030E0000}"/>
    <cellStyle name="Link Units (1) 11" xfId="3604" xr:uid="{00000000-0005-0000-0000-0000040E0000}"/>
    <cellStyle name="Link Units (1) 2" xfId="3605" xr:uid="{00000000-0005-0000-0000-0000050E0000}"/>
    <cellStyle name="Link Units (1) 3" xfId="3606" xr:uid="{00000000-0005-0000-0000-0000060E0000}"/>
    <cellStyle name="Link Units (1) 4" xfId="3607" xr:uid="{00000000-0005-0000-0000-0000070E0000}"/>
    <cellStyle name="Link Units (1) 5" xfId="3608" xr:uid="{00000000-0005-0000-0000-0000080E0000}"/>
    <cellStyle name="Link Units (1) 6" xfId="3609" xr:uid="{00000000-0005-0000-0000-0000090E0000}"/>
    <cellStyle name="Link Units (1) 7" xfId="3610" xr:uid="{00000000-0005-0000-0000-00000A0E0000}"/>
    <cellStyle name="Link Units (1) 8" xfId="3611" xr:uid="{00000000-0005-0000-0000-00000B0E0000}"/>
    <cellStyle name="Link Units (1) 9" xfId="3612" xr:uid="{00000000-0005-0000-0000-00000C0E0000}"/>
    <cellStyle name="Link Units (2)" xfId="3613" xr:uid="{00000000-0005-0000-0000-00000D0E0000}"/>
    <cellStyle name="Link Units (2) 10" xfId="3614" xr:uid="{00000000-0005-0000-0000-00000E0E0000}"/>
    <cellStyle name="Link Units (2) 11" xfId="3615" xr:uid="{00000000-0005-0000-0000-00000F0E0000}"/>
    <cellStyle name="Link Units (2) 2" xfId="3616" xr:uid="{00000000-0005-0000-0000-0000100E0000}"/>
    <cellStyle name="Link Units (2) 3" xfId="3617" xr:uid="{00000000-0005-0000-0000-0000110E0000}"/>
    <cellStyle name="Link Units (2) 4" xfId="3618" xr:uid="{00000000-0005-0000-0000-0000120E0000}"/>
    <cellStyle name="Link Units (2) 5" xfId="3619" xr:uid="{00000000-0005-0000-0000-0000130E0000}"/>
    <cellStyle name="Link Units (2) 6" xfId="3620" xr:uid="{00000000-0005-0000-0000-0000140E0000}"/>
    <cellStyle name="Link Units (2) 7" xfId="3621" xr:uid="{00000000-0005-0000-0000-0000150E0000}"/>
    <cellStyle name="Link Units (2) 8" xfId="3622" xr:uid="{00000000-0005-0000-0000-0000160E0000}"/>
    <cellStyle name="Link Units (2) 9" xfId="3623" xr:uid="{00000000-0005-0000-0000-0000170E0000}"/>
    <cellStyle name="Linked Cell 2" xfId="3624" xr:uid="{00000000-0005-0000-0000-0000180E0000}"/>
    <cellStyle name="Linked Cells" xfId="3625" xr:uid="{00000000-0005-0000-0000-0000190E0000}"/>
    <cellStyle name="Linked Cells 10" xfId="3626" xr:uid="{00000000-0005-0000-0000-00001A0E0000}"/>
    <cellStyle name="Linked Cells 11" xfId="3627" xr:uid="{00000000-0005-0000-0000-00001B0E0000}"/>
    <cellStyle name="Linked Cells 2" xfId="3628" xr:uid="{00000000-0005-0000-0000-00001C0E0000}"/>
    <cellStyle name="Linked Cells 3" xfId="3629" xr:uid="{00000000-0005-0000-0000-00001D0E0000}"/>
    <cellStyle name="Linked Cells 4" xfId="3630" xr:uid="{00000000-0005-0000-0000-00001E0E0000}"/>
    <cellStyle name="Linked Cells 5" xfId="3631" xr:uid="{00000000-0005-0000-0000-00001F0E0000}"/>
    <cellStyle name="Linked Cells 6" xfId="3632" xr:uid="{00000000-0005-0000-0000-0000200E0000}"/>
    <cellStyle name="Linked Cells 7" xfId="3633" xr:uid="{00000000-0005-0000-0000-0000210E0000}"/>
    <cellStyle name="Linked Cells 8" xfId="3634" xr:uid="{00000000-0005-0000-0000-0000220E0000}"/>
    <cellStyle name="Linked Cells 9" xfId="3635" xr:uid="{00000000-0005-0000-0000-0000230E0000}"/>
    <cellStyle name="m-" xfId="3636" xr:uid="{00000000-0005-0000-0000-0000240E0000}"/>
    <cellStyle name="Message" xfId="3637" xr:uid="{00000000-0005-0000-0000-0000250E0000}"/>
    <cellStyle name="Millares [0]_10 AVERIAS MASIVAS + ANT" xfId="3638" xr:uid="{00000000-0005-0000-0000-0000260E0000}"/>
    <cellStyle name="Millares_BINV" xfId="3639" xr:uid="{00000000-0005-0000-0000-0000270E0000}"/>
    <cellStyle name="Milliers [0]_!!!GO" xfId="3640" xr:uid="{00000000-0005-0000-0000-0000280E0000}"/>
    <cellStyle name="Milliers_!!!GO" xfId="3641" xr:uid="{00000000-0005-0000-0000-0000290E0000}"/>
    <cellStyle name="million$ (,1)" xfId="3642" xr:uid="{00000000-0005-0000-0000-00002A0E0000}"/>
    <cellStyle name="millions (,1)" xfId="3643" xr:uid="{00000000-0005-0000-0000-00002B0E0000}"/>
    <cellStyle name="Model" xfId="3644" xr:uid="{00000000-0005-0000-0000-00002C0E0000}"/>
    <cellStyle name="Moneda [0]_BINV" xfId="3645" xr:uid="{00000000-0005-0000-0000-00002D0E0000}"/>
    <cellStyle name="Moneda_BINV" xfId="3646" xr:uid="{00000000-0005-0000-0000-00002E0E0000}"/>
    <cellStyle name="Monétaire [0]_!!!GO" xfId="3647" xr:uid="{00000000-0005-0000-0000-00002F0E0000}"/>
    <cellStyle name="Monétaire_!!!GO" xfId="3648" xr:uid="{00000000-0005-0000-0000-0000300E0000}"/>
    <cellStyle name="Month" xfId="3649" xr:uid="{00000000-0005-0000-0000-0000310E0000}"/>
    <cellStyle name="Monthly rate" xfId="3650" xr:uid="{00000000-0005-0000-0000-0000320E0000}"/>
    <cellStyle name="MS_English" xfId="3651" xr:uid="{00000000-0005-0000-0000-0000330E0000}"/>
    <cellStyle name="multiple" xfId="3652" xr:uid="{00000000-0005-0000-0000-0000340E0000}"/>
    <cellStyle name="Multiple1" xfId="3653" xr:uid="{00000000-0005-0000-0000-0000350E0000}"/>
    <cellStyle name="NA is zero" xfId="3654" xr:uid="{00000000-0005-0000-0000-0000360E0000}"/>
    <cellStyle name="Neutral 2" xfId="3655" xr:uid="{00000000-0005-0000-0000-0000370E0000}"/>
    <cellStyle name="new" xfId="3656" xr:uid="{00000000-0005-0000-0000-0000380E0000}"/>
    <cellStyle name="New Times Roman" xfId="3657" xr:uid="{00000000-0005-0000-0000-0000390E0000}"/>
    <cellStyle name="new_Book1 (3)" xfId="3658" xr:uid="{00000000-0005-0000-0000-00003A0E0000}"/>
    <cellStyle name="NewModelFontColor" xfId="3659" xr:uid="{00000000-0005-0000-0000-00003B0E0000}"/>
    <cellStyle name="no dec" xfId="3660" xr:uid="{00000000-0005-0000-0000-00003C0E0000}"/>
    <cellStyle name="no dec 2" xfId="3661" xr:uid="{00000000-0005-0000-0000-00003D0E0000}"/>
    <cellStyle name="no dec 3" xfId="3662" xr:uid="{00000000-0005-0000-0000-00003E0E0000}"/>
    <cellStyle name="no dec 4" xfId="3663" xr:uid="{00000000-0005-0000-0000-00003F0E0000}"/>
    <cellStyle name="no dec 5" xfId="3664" xr:uid="{00000000-0005-0000-0000-0000400E0000}"/>
    <cellStyle name="no dec 6" xfId="3665" xr:uid="{00000000-0005-0000-0000-0000410E0000}"/>
    <cellStyle name="no dec 7" xfId="3666" xr:uid="{00000000-0005-0000-0000-0000420E0000}"/>
    <cellStyle name="no dec 8" xfId="3667" xr:uid="{00000000-0005-0000-0000-0000430E0000}"/>
    <cellStyle name="Normal" xfId="0" builtinId="0"/>
    <cellStyle name="Normal - Style1" xfId="3668" xr:uid="{00000000-0005-0000-0000-0000450E0000}"/>
    <cellStyle name="Normal - Style1 2" xfId="3669" xr:uid="{00000000-0005-0000-0000-0000460E0000}"/>
    <cellStyle name="Normal [0]" xfId="3670" xr:uid="{00000000-0005-0000-0000-0000470E0000}"/>
    <cellStyle name="Normal [1]" xfId="3671" xr:uid="{00000000-0005-0000-0000-0000480E0000}"/>
    <cellStyle name="Normal [2]" xfId="3672" xr:uid="{00000000-0005-0000-0000-0000490E0000}"/>
    <cellStyle name="Normal [3]" xfId="3673" xr:uid="{00000000-0005-0000-0000-00004A0E0000}"/>
    <cellStyle name="Normal 10" xfId="3674" xr:uid="{00000000-0005-0000-0000-00004B0E0000}"/>
    <cellStyle name="Normal 10 2" xfId="3675" xr:uid="{00000000-0005-0000-0000-00004C0E0000}"/>
    <cellStyle name="Normal 11" xfId="3676" xr:uid="{00000000-0005-0000-0000-00004D0E0000}"/>
    <cellStyle name="Normal 12" xfId="3677" xr:uid="{00000000-0005-0000-0000-00004E0E0000}"/>
    <cellStyle name="Normal 12 2" xfId="3678" xr:uid="{00000000-0005-0000-0000-00004F0E0000}"/>
    <cellStyle name="Normal 13" xfId="3679" xr:uid="{00000000-0005-0000-0000-0000500E0000}"/>
    <cellStyle name="Normal 14" xfId="3680" xr:uid="{00000000-0005-0000-0000-0000510E0000}"/>
    <cellStyle name="Normal 15" xfId="3681" xr:uid="{00000000-0005-0000-0000-0000520E0000}"/>
    <cellStyle name="Normal 16" xfId="3682" xr:uid="{00000000-0005-0000-0000-0000530E0000}"/>
    <cellStyle name="Normal 17" xfId="3683" xr:uid="{00000000-0005-0000-0000-0000540E0000}"/>
    <cellStyle name="Normal 18" xfId="3684" xr:uid="{00000000-0005-0000-0000-0000550E0000}"/>
    <cellStyle name="Normal 19" xfId="3685" xr:uid="{00000000-0005-0000-0000-0000560E0000}"/>
    <cellStyle name="Normal 2" xfId="7" xr:uid="{00000000-0005-0000-0000-0000570E0000}"/>
    <cellStyle name="Normal 2 10" xfId="3686" xr:uid="{00000000-0005-0000-0000-0000580E0000}"/>
    <cellStyle name="Normal 2 11" xfId="3687" xr:uid="{00000000-0005-0000-0000-0000590E0000}"/>
    <cellStyle name="Normal 2 12" xfId="3688" xr:uid="{00000000-0005-0000-0000-00005A0E0000}"/>
    <cellStyle name="Normal 2 13" xfId="3689" xr:uid="{00000000-0005-0000-0000-00005B0E0000}"/>
    <cellStyle name="Normal 2 2" xfId="3690" xr:uid="{00000000-0005-0000-0000-00005C0E0000}"/>
    <cellStyle name="Normal 2 2 2" xfId="3691" xr:uid="{00000000-0005-0000-0000-00005D0E0000}"/>
    <cellStyle name="Normal 2 2 2 2" xfId="3692" xr:uid="{00000000-0005-0000-0000-00005E0E0000}"/>
    <cellStyle name="Normal 2 2 2_Top 20-IR (WD+1&amp;+2)" xfId="3693" xr:uid="{00000000-0005-0000-0000-00005F0E0000}"/>
    <cellStyle name="Normal 2 2_Top 20-IR (WD+1&amp;+2)" xfId="3694" xr:uid="{00000000-0005-0000-0000-0000600E0000}"/>
    <cellStyle name="Normal 2 3" xfId="3695" xr:uid="{00000000-0005-0000-0000-0000610E0000}"/>
    <cellStyle name="Normal 2 4" xfId="3696" xr:uid="{00000000-0005-0000-0000-0000620E0000}"/>
    <cellStyle name="Normal 2 5" xfId="3697" xr:uid="{00000000-0005-0000-0000-0000630E0000}"/>
    <cellStyle name="Normal 2 6" xfId="3698" xr:uid="{00000000-0005-0000-0000-0000640E0000}"/>
    <cellStyle name="Normal 2 7" xfId="3699" xr:uid="{00000000-0005-0000-0000-0000650E0000}"/>
    <cellStyle name="Normal 2 8" xfId="3700" xr:uid="{00000000-0005-0000-0000-0000660E0000}"/>
    <cellStyle name="Normal 2 9" xfId="3701" xr:uid="{00000000-0005-0000-0000-0000670E0000}"/>
    <cellStyle name="Normal 2_Top 20-IR (WD+1&amp;+2)" xfId="3702" xr:uid="{00000000-0005-0000-0000-0000680E0000}"/>
    <cellStyle name="Normal 20" xfId="3703" xr:uid="{00000000-0005-0000-0000-0000690E0000}"/>
    <cellStyle name="Normal 21" xfId="3704" xr:uid="{00000000-0005-0000-0000-00006A0E0000}"/>
    <cellStyle name="Normal 22" xfId="3705" xr:uid="{00000000-0005-0000-0000-00006B0E0000}"/>
    <cellStyle name="Normal 23" xfId="3706" xr:uid="{00000000-0005-0000-0000-00006C0E0000}"/>
    <cellStyle name="Normal 24" xfId="3707" xr:uid="{00000000-0005-0000-0000-00006D0E0000}"/>
    <cellStyle name="Normal 25" xfId="3708" xr:uid="{00000000-0005-0000-0000-00006E0E0000}"/>
    <cellStyle name="Normal 26" xfId="3709" xr:uid="{00000000-0005-0000-0000-00006F0E0000}"/>
    <cellStyle name="Normal 27" xfId="3710" xr:uid="{00000000-0005-0000-0000-0000700E0000}"/>
    <cellStyle name="Normal 28" xfId="3711" xr:uid="{00000000-0005-0000-0000-0000710E0000}"/>
    <cellStyle name="Normal 29" xfId="3712" xr:uid="{00000000-0005-0000-0000-0000720E0000}"/>
    <cellStyle name="Normal 3" xfId="118" xr:uid="{00000000-0005-0000-0000-0000730E0000}"/>
    <cellStyle name="Normal 3 2" xfId="267" xr:uid="{00000000-0005-0000-0000-0000740E0000}"/>
    <cellStyle name="Normal 3 2 2" xfId="268" xr:uid="{00000000-0005-0000-0000-0000750E0000}"/>
    <cellStyle name="Normal 3 2 2 2" xfId="3713" xr:uid="{00000000-0005-0000-0000-0000760E0000}"/>
    <cellStyle name="Normal 3 2 3" xfId="3714" xr:uid="{00000000-0005-0000-0000-0000770E0000}"/>
    <cellStyle name="Normal 3 3" xfId="136" xr:uid="{00000000-0005-0000-0000-0000780E0000}"/>
    <cellStyle name="Normal 3 3 2" xfId="3715" xr:uid="{00000000-0005-0000-0000-0000790E0000}"/>
    <cellStyle name="Normal 3 4" xfId="269" xr:uid="{00000000-0005-0000-0000-00007A0E0000}"/>
    <cellStyle name="Normal 3 5" xfId="270" xr:uid="{00000000-0005-0000-0000-00007B0E0000}"/>
    <cellStyle name="Normal 30" xfId="3716" xr:uid="{00000000-0005-0000-0000-00007C0E0000}"/>
    <cellStyle name="Normal 31" xfId="3717" xr:uid="{00000000-0005-0000-0000-00007D0E0000}"/>
    <cellStyle name="Normal 32" xfId="3718" xr:uid="{00000000-0005-0000-0000-00007E0E0000}"/>
    <cellStyle name="Normal 4" xfId="271" xr:uid="{00000000-0005-0000-0000-00007F0E0000}"/>
    <cellStyle name="Normal 4 2" xfId="3719" xr:uid="{00000000-0005-0000-0000-0000800E0000}"/>
    <cellStyle name="Normal 4 3" xfId="3720" xr:uid="{00000000-0005-0000-0000-0000810E0000}"/>
    <cellStyle name="Normal 4 4" xfId="3721" xr:uid="{00000000-0005-0000-0000-0000820E0000}"/>
    <cellStyle name="Normal 5" xfId="272" xr:uid="{00000000-0005-0000-0000-0000830E0000}"/>
    <cellStyle name="Normal 5 2" xfId="3722" xr:uid="{00000000-0005-0000-0000-0000840E0000}"/>
    <cellStyle name="Normal 5 2 2" xfId="3723" xr:uid="{00000000-0005-0000-0000-0000850E0000}"/>
    <cellStyle name="Normal 5 3" xfId="3724" xr:uid="{00000000-0005-0000-0000-0000860E0000}"/>
    <cellStyle name="Normal 5 4" xfId="3725" xr:uid="{00000000-0005-0000-0000-0000870E0000}"/>
    <cellStyle name="Normal 6" xfId="273" xr:uid="{00000000-0005-0000-0000-0000880E0000}"/>
    <cellStyle name="Normal 6 2" xfId="3726" xr:uid="{00000000-0005-0000-0000-0000890E0000}"/>
    <cellStyle name="Normal 6 3" xfId="3727" xr:uid="{00000000-0005-0000-0000-00008A0E0000}"/>
    <cellStyle name="Normal 7" xfId="3728" xr:uid="{00000000-0005-0000-0000-00008B0E0000}"/>
    <cellStyle name="Normal 7 2" xfId="3729" xr:uid="{00000000-0005-0000-0000-00008C0E0000}"/>
    <cellStyle name="Normal 7 2 2" xfId="3730" xr:uid="{00000000-0005-0000-0000-00008D0E0000}"/>
    <cellStyle name="Normal 7 3" xfId="3731" xr:uid="{00000000-0005-0000-0000-00008E0E0000}"/>
    <cellStyle name="Normal 7 4" xfId="3732" xr:uid="{00000000-0005-0000-0000-00008F0E0000}"/>
    <cellStyle name="Normal 8" xfId="3733" xr:uid="{00000000-0005-0000-0000-0000900E0000}"/>
    <cellStyle name="Normal 9" xfId="3734" xr:uid="{00000000-0005-0000-0000-0000910E0000}"/>
    <cellStyle name="Normal 9 2" xfId="3735" xr:uid="{00000000-0005-0000-0000-0000920E0000}"/>
    <cellStyle name="Normal Bold" xfId="3736" xr:uid="{00000000-0005-0000-0000-0000930E0000}"/>
    <cellStyle name="Normal- no dec. only" xfId="3737" xr:uid="{00000000-0005-0000-0000-0000940E0000}"/>
    <cellStyle name="Normal- no dec. only 10" xfId="3738" xr:uid="{00000000-0005-0000-0000-0000950E0000}"/>
    <cellStyle name="Normal- no dec. only 10 2" xfId="3739" xr:uid="{00000000-0005-0000-0000-0000960E0000}"/>
    <cellStyle name="Normal- no dec. only 11" xfId="3740" xr:uid="{00000000-0005-0000-0000-0000970E0000}"/>
    <cellStyle name="Normal- no dec. only 11 2" xfId="3741" xr:uid="{00000000-0005-0000-0000-0000980E0000}"/>
    <cellStyle name="Normal- no dec. only 2" xfId="3742" xr:uid="{00000000-0005-0000-0000-0000990E0000}"/>
    <cellStyle name="Normal- no dec. only 2 2" xfId="3743" xr:uid="{00000000-0005-0000-0000-00009A0E0000}"/>
    <cellStyle name="Normal- no dec. only 3" xfId="3744" xr:uid="{00000000-0005-0000-0000-00009B0E0000}"/>
    <cellStyle name="Normal- no dec. only 3 2" xfId="3745" xr:uid="{00000000-0005-0000-0000-00009C0E0000}"/>
    <cellStyle name="Normal- no dec. only 4" xfId="3746" xr:uid="{00000000-0005-0000-0000-00009D0E0000}"/>
    <cellStyle name="Normal- no dec. only 4 2" xfId="3747" xr:uid="{00000000-0005-0000-0000-00009E0E0000}"/>
    <cellStyle name="Normal- no dec. only 5" xfId="3748" xr:uid="{00000000-0005-0000-0000-00009F0E0000}"/>
    <cellStyle name="Normal- no dec. only 5 2" xfId="3749" xr:uid="{00000000-0005-0000-0000-0000A00E0000}"/>
    <cellStyle name="Normal- no dec. only 6" xfId="3750" xr:uid="{00000000-0005-0000-0000-0000A10E0000}"/>
    <cellStyle name="Normal- no dec. only 6 2" xfId="3751" xr:uid="{00000000-0005-0000-0000-0000A20E0000}"/>
    <cellStyle name="Normal- no dec. only 7" xfId="3752" xr:uid="{00000000-0005-0000-0000-0000A30E0000}"/>
    <cellStyle name="Normal- no dec. only 7 2" xfId="3753" xr:uid="{00000000-0005-0000-0000-0000A40E0000}"/>
    <cellStyle name="Normal- no dec. only 8" xfId="3754" xr:uid="{00000000-0005-0000-0000-0000A50E0000}"/>
    <cellStyle name="Normal- no dec. only 8 2" xfId="3755" xr:uid="{00000000-0005-0000-0000-0000A60E0000}"/>
    <cellStyle name="Normal- no dec. only 9" xfId="3756" xr:uid="{00000000-0005-0000-0000-0000A70E0000}"/>
    <cellStyle name="Normal- no dec. only 9 2" xfId="3757" xr:uid="{00000000-0005-0000-0000-0000A80E0000}"/>
    <cellStyle name="Normal Pct" xfId="3758" xr:uid="{00000000-0005-0000-0000-0000A90E0000}"/>
    <cellStyle name="Normal_LC_OIforecast_BB_USconec" xfId="8" xr:uid="{00000000-0005-0000-0000-0000AA0E0000}"/>
    <cellStyle name="Normal-1 decimal" xfId="3759" xr:uid="{00000000-0005-0000-0000-0000AB0E0000}"/>
    <cellStyle name="Normal-1 decimal 2" xfId="3760" xr:uid="{00000000-0005-0000-0000-0000AC0E0000}"/>
    <cellStyle name="Normal-1 decimal 2 2" xfId="3761" xr:uid="{00000000-0005-0000-0000-0000AD0E0000}"/>
    <cellStyle name="Normal-1 decimal 2 3" xfId="3762" xr:uid="{00000000-0005-0000-0000-0000AE0E0000}"/>
    <cellStyle name="Normal-1 decimal 2 4" xfId="3763" xr:uid="{00000000-0005-0000-0000-0000AF0E0000}"/>
    <cellStyle name="Normal-1 decimal 3" xfId="3764" xr:uid="{00000000-0005-0000-0000-0000B00E0000}"/>
    <cellStyle name="Normal-1 decimal 3 2" xfId="3765" xr:uid="{00000000-0005-0000-0000-0000B10E0000}"/>
    <cellStyle name="Normal-1 decimal 3 3" xfId="3766" xr:uid="{00000000-0005-0000-0000-0000B20E0000}"/>
    <cellStyle name="Normal-1 decimal 3 4" xfId="3767" xr:uid="{00000000-0005-0000-0000-0000B30E0000}"/>
    <cellStyle name="Normal-1 decimal 4" xfId="3768" xr:uid="{00000000-0005-0000-0000-0000B40E0000}"/>
    <cellStyle name="Normal-1 decimal 4 2" xfId="3769" xr:uid="{00000000-0005-0000-0000-0000B50E0000}"/>
    <cellStyle name="Normal-1 decimal 4 3" xfId="3770" xr:uid="{00000000-0005-0000-0000-0000B60E0000}"/>
    <cellStyle name="Normal-1 decimal 4 4" xfId="3771" xr:uid="{00000000-0005-0000-0000-0000B70E0000}"/>
    <cellStyle name="Normal-1 decimal 5" xfId="3772" xr:uid="{00000000-0005-0000-0000-0000B80E0000}"/>
    <cellStyle name="Normal-1 decimal 6" xfId="3773" xr:uid="{00000000-0005-0000-0000-0000B90E0000}"/>
    <cellStyle name="Normal-1 decimal 7" xfId="3774" xr:uid="{00000000-0005-0000-0000-0000BA0E0000}"/>
    <cellStyle name="Normal-1 decimal 8" xfId="3775" xr:uid="{00000000-0005-0000-0000-0000BB0E0000}"/>
    <cellStyle name="Normal2" xfId="3776" xr:uid="{00000000-0005-0000-0000-0000BC0E0000}"/>
    <cellStyle name="NormalGB" xfId="3777" xr:uid="{00000000-0005-0000-0000-0000BD0E0000}"/>
    <cellStyle name="Normal-HelBold" xfId="3778" xr:uid="{00000000-0005-0000-0000-0000BE0E0000}"/>
    <cellStyle name="Normal-HelUnderline" xfId="3779" xr:uid="{00000000-0005-0000-0000-0000BF0E0000}"/>
    <cellStyle name="Normal-Helvetica" xfId="3780" xr:uid="{00000000-0005-0000-0000-0000C00E0000}"/>
    <cellStyle name="Note 2" xfId="3781" xr:uid="{00000000-0005-0000-0000-0000C10E0000}"/>
    <cellStyle name="num.dollar" xfId="3782" xr:uid="{00000000-0005-0000-0000-0000C20E0000}"/>
    <cellStyle name="num2" xfId="3783" xr:uid="{00000000-0005-0000-0000-0000C30E0000}"/>
    <cellStyle name="Number" xfId="3784" xr:uid="{00000000-0005-0000-0000-0000C40E0000}"/>
    <cellStyle name="number (0)" xfId="3785" xr:uid="{00000000-0005-0000-0000-0000C50E0000}"/>
    <cellStyle name="number (0) 10" xfId="3786" xr:uid="{00000000-0005-0000-0000-0000C60E0000}"/>
    <cellStyle name="number (0) 11" xfId="3787" xr:uid="{00000000-0005-0000-0000-0000C70E0000}"/>
    <cellStyle name="number (0) 12" xfId="3788" xr:uid="{00000000-0005-0000-0000-0000C80E0000}"/>
    <cellStyle name="number (0) 13" xfId="3789" xr:uid="{00000000-0005-0000-0000-0000C90E0000}"/>
    <cellStyle name="number (0) 14" xfId="3790" xr:uid="{00000000-0005-0000-0000-0000CA0E0000}"/>
    <cellStyle name="number (0) 15" xfId="3791" xr:uid="{00000000-0005-0000-0000-0000CB0E0000}"/>
    <cellStyle name="number (0) 16" xfId="3792" xr:uid="{00000000-0005-0000-0000-0000CC0E0000}"/>
    <cellStyle name="number (0) 17" xfId="3793" xr:uid="{00000000-0005-0000-0000-0000CD0E0000}"/>
    <cellStyle name="number (0) 18" xfId="3794" xr:uid="{00000000-0005-0000-0000-0000CE0E0000}"/>
    <cellStyle name="number (0) 19" xfId="3795" xr:uid="{00000000-0005-0000-0000-0000CF0E0000}"/>
    <cellStyle name="number (0) 2" xfId="3796" xr:uid="{00000000-0005-0000-0000-0000D00E0000}"/>
    <cellStyle name="number (0) 20" xfId="3797" xr:uid="{00000000-0005-0000-0000-0000D10E0000}"/>
    <cellStyle name="number (0) 21" xfId="3798" xr:uid="{00000000-0005-0000-0000-0000D20E0000}"/>
    <cellStyle name="number (0) 22" xfId="3799" xr:uid="{00000000-0005-0000-0000-0000D30E0000}"/>
    <cellStyle name="number (0) 23" xfId="3800" xr:uid="{00000000-0005-0000-0000-0000D40E0000}"/>
    <cellStyle name="number (0) 24" xfId="3801" xr:uid="{00000000-0005-0000-0000-0000D50E0000}"/>
    <cellStyle name="number (0) 25" xfId="3802" xr:uid="{00000000-0005-0000-0000-0000D60E0000}"/>
    <cellStyle name="number (0) 26" xfId="3803" xr:uid="{00000000-0005-0000-0000-0000D70E0000}"/>
    <cellStyle name="number (0) 27" xfId="3804" xr:uid="{00000000-0005-0000-0000-0000D80E0000}"/>
    <cellStyle name="number (0) 28" xfId="3805" xr:uid="{00000000-0005-0000-0000-0000D90E0000}"/>
    <cellStyle name="number (0) 29" xfId="3806" xr:uid="{00000000-0005-0000-0000-0000DA0E0000}"/>
    <cellStyle name="number (0) 3" xfId="3807" xr:uid="{00000000-0005-0000-0000-0000DB0E0000}"/>
    <cellStyle name="number (0) 30" xfId="3808" xr:uid="{00000000-0005-0000-0000-0000DC0E0000}"/>
    <cellStyle name="number (0) 4" xfId="3809" xr:uid="{00000000-0005-0000-0000-0000DD0E0000}"/>
    <cellStyle name="number (0) 5" xfId="3810" xr:uid="{00000000-0005-0000-0000-0000DE0E0000}"/>
    <cellStyle name="number (0) 6" xfId="3811" xr:uid="{00000000-0005-0000-0000-0000DF0E0000}"/>
    <cellStyle name="number (0) 7" xfId="3812" xr:uid="{00000000-0005-0000-0000-0000E00E0000}"/>
    <cellStyle name="number (0) 8" xfId="3813" xr:uid="{00000000-0005-0000-0000-0000E10E0000}"/>
    <cellStyle name="number (0) 9" xfId="3814" xr:uid="{00000000-0005-0000-0000-0000E20E0000}"/>
    <cellStyle name="number (1)" xfId="3815" xr:uid="{00000000-0005-0000-0000-0000E30E0000}"/>
    <cellStyle name="number (1) 2" xfId="3816" xr:uid="{00000000-0005-0000-0000-0000E40E0000}"/>
    <cellStyle name="number (1) 3" xfId="3817" xr:uid="{00000000-0005-0000-0000-0000E50E0000}"/>
    <cellStyle name="number (1) 4" xfId="3818" xr:uid="{00000000-0005-0000-0000-0000E60E0000}"/>
    <cellStyle name="number (2)" xfId="3819" xr:uid="{00000000-0005-0000-0000-0000E70E0000}"/>
    <cellStyle name="number (2) 2" xfId="3820" xr:uid="{00000000-0005-0000-0000-0000E80E0000}"/>
    <cellStyle name="number (2) 3" xfId="3821" xr:uid="{00000000-0005-0000-0000-0000E90E0000}"/>
    <cellStyle name="number (2) 4" xfId="3822" xr:uid="{00000000-0005-0000-0000-0000EA0E0000}"/>
    <cellStyle name="NumberDec2Bold" xfId="3823" xr:uid="{00000000-0005-0000-0000-0000EB0E0000}"/>
    <cellStyle name="NumberMichelle" xfId="3824" xr:uid="{00000000-0005-0000-0000-0000EC0E0000}"/>
    <cellStyle name="NumberMichelle 2" xfId="3825" xr:uid="{00000000-0005-0000-0000-0000ED0E0000}"/>
    <cellStyle name="NumberMichelle 3" xfId="3826" xr:uid="{00000000-0005-0000-0000-0000EE0E0000}"/>
    <cellStyle name="NumberMichelle 4" xfId="3827" xr:uid="{00000000-0005-0000-0000-0000EF0E0000}"/>
    <cellStyle name="NumberMichelle 5" xfId="3828" xr:uid="{00000000-0005-0000-0000-0000F00E0000}"/>
    <cellStyle name="NumberMichelle 6" xfId="3829" xr:uid="{00000000-0005-0000-0000-0000F10E0000}"/>
    <cellStyle name="NumberMichelle 7" xfId="3830" xr:uid="{00000000-0005-0000-0000-0000F20E0000}"/>
    <cellStyle name="NumberMichelle 8" xfId="3831" xr:uid="{00000000-0005-0000-0000-0000F30E0000}"/>
    <cellStyle name="Numbers" xfId="3832" xr:uid="{00000000-0005-0000-0000-0000F40E0000}"/>
    <cellStyle name="Numbers - Bold" xfId="3833" xr:uid="{00000000-0005-0000-0000-0000F50E0000}"/>
    <cellStyle name="Numbers_Financial Model v6" xfId="3834" xr:uid="{00000000-0005-0000-0000-0000F60E0000}"/>
    <cellStyle name="Œ…‹æØ‚è [0.00]_!!!GO" xfId="3835" xr:uid="{00000000-0005-0000-0000-0000F70E0000}"/>
    <cellStyle name="Œ…‹æØ‚è_!!!GO" xfId="3836" xr:uid="{00000000-0005-0000-0000-0000F80E0000}"/>
    <cellStyle name="oft Excel]_x000d__x000a_Comment=The open=/f lines load custom functions into the Paste Function list._x000d__x000a_Maximized=3_x000d__x000a_Basics=1_x000d__x000a_D" xfId="3837" xr:uid="{00000000-0005-0000-0000-0000F90E0000}"/>
    <cellStyle name="oft Word]_x000d__x000a_NoLongNetNames=Yes_x000d__x000a_USER-DOT-PATH=C:\MSOFFICE\WINWORD\TEMPLATE_x000d__x000a_WORKGROUP-DOT-PATH=K:\MSOFFICE\TEMPLATE\" xfId="3838" xr:uid="{00000000-0005-0000-0000-0000FA0E0000}"/>
    <cellStyle name="Output 2" xfId="3839" xr:uid="{00000000-0005-0000-0000-0000FB0E0000}"/>
    <cellStyle name="Output Amounts" xfId="3840" xr:uid="{00000000-0005-0000-0000-0000FC0E0000}"/>
    <cellStyle name="Output Column Headings" xfId="3841" xr:uid="{00000000-0005-0000-0000-0000FD0E0000}"/>
    <cellStyle name="Output Column Headings 2" xfId="3842" xr:uid="{00000000-0005-0000-0000-0000FE0E0000}"/>
    <cellStyle name="Output Line Items" xfId="3843" xr:uid="{00000000-0005-0000-0000-0000FF0E0000}"/>
    <cellStyle name="OUTPUT LINE ITEMS 2" xfId="3844" xr:uid="{00000000-0005-0000-0000-0000000F0000}"/>
    <cellStyle name="Output Report Heading" xfId="3845" xr:uid="{00000000-0005-0000-0000-0000010F0000}"/>
    <cellStyle name="Output Report Heading 2" xfId="3846" xr:uid="{00000000-0005-0000-0000-0000020F0000}"/>
    <cellStyle name="Output Report Title" xfId="3847" xr:uid="{00000000-0005-0000-0000-0000030F0000}"/>
    <cellStyle name="Output Report Title 2" xfId="3848" xr:uid="{00000000-0005-0000-0000-0000040F0000}"/>
    <cellStyle name="Overwrite" xfId="3849" xr:uid="{00000000-0005-0000-0000-0000050F0000}"/>
    <cellStyle name="Page Number" xfId="3850" xr:uid="{00000000-0005-0000-0000-0000060F0000}"/>
    <cellStyle name="PartnerONLYModelFontColor" xfId="3851" xr:uid="{00000000-0005-0000-0000-0000070F0000}"/>
    <cellStyle name="pb_table_format_highlight" xfId="3852" xr:uid="{00000000-0005-0000-0000-0000080F0000}"/>
    <cellStyle name="PBA_master" xfId="3853" xr:uid="{00000000-0005-0000-0000-0000090F0000}"/>
    <cellStyle name="PBA-sub" xfId="3854" xr:uid="{00000000-0005-0000-0000-00000A0F0000}"/>
    <cellStyle name="per.style" xfId="3855" xr:uid="{00000000-0005-0000-0000-00000B0F0000}"/>
    <cellStyle name="per.style 2" xfId="3856" xr:uid="{00000000-0005-0000-0000-00000C0F0000}"/>
    <cellStyle name="per.style 3" xfId="3857" xr:uid="{00000000-0005-0000-0000-00000D0F0000}"/>
    <cellStyle name="per.style 4" xfId="3858" xr:uid="{00000000-0005-0000-0000-00000E0F0000}"/>
    <cellStyle name="per.style 5" xfId="3859" xr:uid="{00000000-0005-0000-0000-00000F0F0000}"/>
    <cellStyle name="per.style 6" xfId="3860" xr:uid="{00000000-0005-0000-0000-0000100F0000}"/>
    <cellStyle name="per.style 7" xfId="3861" xr:uid="{00000000-0005-0000-0000-0000110F0000}"/>
    <cellStyle name="per.style 8" xfId="3862" xr:uid="{00000000-0005-0000-0000-0000120F0000}"/>
    <cellStyle name="Percen - Style1" xfId="3863" xr:uid="{00000000-0005-0000-0000-0000130F0000}"/>
    <cellStyle name="Percent" xfId="9" builtinId="5"/>
    <cellStyle name="Percent (0)" xfId="3864" xr:uid="{00000000-0005-0000-0000-0000150F0000}"/>
    <cellStyle name="percent (0) 2" xfId="3865" xr:uid="{00000000-0005-0000-0000-0000160F0000}"/>
    <cellStyle name="percent (0) 3" xfId="3866" xr:uid="{00000000-0005-0000-0000-0000170F0000}"/>
    <cellStyle name="percent (0) 4" xfId="3867" xr:uid="{00000000-0005-0000-0000-0000180F0000}"/>
    <cellStyle name="Percent (00)" xfId="3868" xr:uid="{00000000-0005-0000-0000-0000190F0000}"/>
    <cellStyle name="percent (1)" xfId="3869" xr:uid="{00000000-0005-0000-0000-00001A0F0000}"/>
    <cellStyle name="percent (1) 10" xfId="3870" xr:uid="{00000000-0005-0000-0000-00001B0F0000}"/>
    <cellStyle name="percent (1) 11" xfId="3871" xr:uid="{00000000-0005-0000-0000-00001C0F0000}"/>
    <cellStyle name="percent (1) 12" xfId="3872" xr:uid="{00000000-0005-0000-0000-00001D0F0000}"/>
    <cellStyle name="percent (1) 13" xfId="3873" xr:uid="{00000000-0005-0000-0000-00001E0F0000}"/>
    <cellStyle name="percent (1) 14" xfId="3874" xr:uid="{00000000-0005-0000-0000-00001F0F0000}"/>
    <cellStyle name="percent (1) 15" xfId="3875" xr:uid="{00000000-0005-0000-0000-0000200F0000}"/>
    <cellStyle name="percent (1) 16" xfId="3876" xr:uid="{00000000-0005-0000-0000-0000210F0000}"/>
    <cellStyle name="percent (1) 17" xfId="3877" xr:uid="{00000000-0005-0000-0000-0000220F0000}"/>
    <cellStyle name="percent (1) 18" xfId="3878" xr:uid="{00000000-0005-0000-0000-0000230F0000}"/>
    <cellStyle name="percent (1) 19" xfId="3879" xr:uid="{00000000-0005-0000-0000-0000240F0000}"/>
    <cellStyle name="percent (1) 2" xfId="3880" xr:uid="{00000000-0005-0000-0000-0000250F0000}"/>
    <cellStyle name="percent (1) 20" xfId="3881" xr:uid="{00000000-0005-0000-0000-0000260F0000}"/>
    <cellStyle name="percent (1) 21" xfId="3882" xr:uid="{00000000-0005-0000-0000-0000270F0000}"/>
    <cellStyle name="percent (1) 22" xfId="3883" xr:uid="{00000000-0005-0000-0000-0000280F0000}"/>
    <cellStyle name="percent (1) 23" xfId="3884" xr:uid="{00000000-0005-0000-0000-0000290F0000}"/>
    <cellStyle name="percent (1) 24" xfId="3885" xr:uid="{00000000-0005-0000-0000-00002A0F0000}"/>
    <cellStyle name="percent (1) 25" xfId="3886" xr:uid="{00000000-0005-0000-0000-00002B0F0000}"/>
    <cellStyle name="percent (1) 26" xfId="3887" xr:uid="{00000000-0005-0000-0000-00002C0F0000}"/>
    <cellStyle name="percent (1) 27" xfId="3888" xr:uid="{00000000-0005-0000-0000-00002D0F0000}"/>
    <cellStyle name="percent (1) 28" xfId="3889" xr:uid="{00000000-0005-0000-0000-00002E0F0000}"/>
    <cellStyle name="percent (1) 29" xfId="3890" xr:uid="{00000000-0005-0000-0000-00002F0F0000}"/>
    <cellStyle name="percent (1) 3" xfId="3891" xr:uid="{00000000-0005-0000-0000-0000300F0000}"/>
    <cellStyle name="percent (1) 30" xfId="3892" xr:uid="{00000000-0005-0000-0000-0000310F0000}"/>
    <cellStyle name="percent (1) 4" xfId="3893" xr:uid="{00000000-0005-0000-0000-0000320F0000}"/>
    <cellStyle name="percent (1) 5" xfId="3894" xr:uid="{00000000-0005-0000-0000-0000330F0000}"/>
    <cellStyle name="percent (1) 6" xfId="3895" xr:uid="{00000000-0005-0000-0000-0000340F0000}"/>
    <cellStyle name="percent (1) 7" xfId="3896" xr:uid="{00000000-0005-0000-0000-0000350F0000}"/>
    <cellStyle name="percent (1) 8" xfId="3897" xr:uid="{00000000-0005-0000-0000-0000360F0000}"/>
    <cellStyle name="percent (1) 9" xfId="3898" xr:uid="{00000000-0005-0000-0000-0000370F0000}"/>
    <cellStyle name="percent (2)" xfId="3899" xr:uid="{00000000-0005-0000-0000-0000380F0000}"/>
    <cellStyle name="percent (2) 2" xfId="3900" xr:uid="{00000000-0005-0000-0000-0000390F0000}"/>
    <cellStyle name="percent (2) 3" xfId="3901" xr:uid="{00000000-0005-0000-0000-00003A0F0000}"/>
    <cellStyle name="percent (2) 4" xfId="3902" xr:uid="{00000000-0005-0000-0000-00003B0F0000}"/>
    <cellStyle name="percent (3)" xfId="3903" xr:uid="{00000000-0005-0000-0000-00003C0F0000}"/>
    <cellStyle name="percent (3) 2" xfId="3904" xr:uid="{00000000-0005-0000-0000-00003D0F0000}"/>
    <cellStyle name="percent (3) 3" xfId="3905" xr:uid="{00000000-0005-0000-0000-00003E0F0000}"/>
    <cellStyle name="percent (3) 4" xfId="3906" xr:uid="{00000000-0005-0000-0000-00003F0F0000}"/>
    <cellStyle name="Percent [0]" xfId="3907" xr:uid="{00000000-0005-0000-0000-0000400F0000}"/>
    <cellStyle name="Percent [0] 10" xfId="3908" xr:uid="{00000000-0005-0000-0000-0000410F0000}"/>
    <cellStyle name="Percent [0] 11" xfId="3909" xr:uid="{00000000-0005-0000-0000-0000420F0000}"/>
    <cellStyle name="Percent [0] 2" xfId="3910" xr:uid="{00000000-0005-0000-0000-0000430F0000}"/>
    <cellStyle name="Percent [0] 3" xfId="3911" xr:uid="{00000000-0005-0000-0000-0000440F0000}"/>
    <cellStyle name="Percent [0] 4" xfId="3912" xr:uid="{00000000-0005-0000-0000-0000450F0000}"/>
    <cellStyle name="Percent [0] 5" xfId="3913" xr:uid="{00000000-0005-0000-0000-0000460F0000}"/>
    <cellStyle name="Percent [0] 6" xfId="3914" xr:uid="{00000000-0005-0000-0000-0000470F0000}"/>
    <cellStyle name="Percent [0] 7" xfId="3915" xr:uid="{00000000-0005-0000-0000-0000480F0000}"/>
    <cellStyle name="Percent [0] 8" xfId="3916" xr:uid="{00000000-0005-0000-0000-0000490F0000}"/>
    <cellStyle name="Percent [0] 9" xfId="3917" xr:uid="{00000000-0005-0000-0000-00004A0F0000}"/>
    <cellStyle name="Percent [0] Ital" xfId="3918" xr:uid="{00000000-0005-0000-0000-00004B0F0000}"/>
    <cellStyle name="Percent [0]_0707_CISCO_FY 08 PLAN MODEL_WEBEX_V3A_071607_CHQ PLNG" xfId="3919" xr:uid="{00000000-0005-0000-0000-00004C0F0000}"/>
    <cellStyle name="Percent [00]" xfId="3920" xr:uid="{00000000-0005-0000-0000-00004D0F0000}"/>
    <cellStyle name="Percent [00] 10" xfId="3921" xr:uid="{00000000-0005-0000-0000-00004E0F0000}"/>
    <cellStyle name="Percent [00] 11" xfId="3922" xr:uid="{00000000-0005-0000-0000-00004F0F0000}"/>
    <cellStyle name="Percent [00] 2" xfId="3923" xr:uid="{00000000-0005-0000-0000-0000500F0000}"/>
    <cellStyle name="Percent [00] 3" xfId="3924" xr:uid="{00000000-0005-0000-0000-0000510F0000}"/>
    <cellStyle name="Percent [00] 4" xfId="3925" xr:uid="{00000000-0005-0000-0000-0000520F0000}"/>
    <cellStyle name="Percent [00] 5" xfId="3926" xr:uid="{00000000-0005-0000-0000-0000530F0000}"/>
    <cellStyle name="Percent [00] 6" xfId="3927" xr:uid="{00000000-0005-0000-0000-0000540F0000}"/>
    <cellStyle name="Percent [00] 7" xfId="3928" xr:uid="{00000000-0005-0000-0000-0000550F0000}"/>
    <cellStyle name="Percent [00] 8" xfId="3929" xr:uid="{00000000-0005-0000-0000-0000560F0000}"/>
    <cellStyle name="Percent [00] 9" xfId="3930" xr:uid="{00000000-0005-0000-0000-0000570F0000}"/>
    <cellStyle name="Percent [1]" xfId="3931" xr:uid="{00000000-0005-0000-0000-0000580F0000}"/>
    <cellStyle name="Percent [2]" xfId="3932" xr:uid="{00000000-0005-0000-0000-0000590F0000}"/>
    <cellStyle name="Percent [2] 2" xfId="3933" xr:uid="{00000000-0005-0000-0000-00005A0F0000}"/>
    <cellStyle name="Percent [2] 2 2" xfId="3934" xr:uid="{00000000-0005-0000-0000-00005B0F0000}"/>
    <cellStyle name="Percent [2] 2 3" xfId="3935" xr:uid="{00000000-0005-0000-0000-00005C0F0000}"/>
    <cellStyle name="Percent [2] 2 4" xfId="3936" xr:uid="{00000000-0005-0000-0000-00005D0F0000}"/>
    <cellStyle name="Percent [2] 3" xfId="3937" xr:uid="{00000000-0005-0000-0000-00005E0F0000}"/>
    <cellStyle name="Percent [2] 3 2" xfId="3938" xr:uid="{00000000-0005-0000-0000-00005F0F0000}"/>
    <cellStyle name="Percent [2] 3 3" xfId="3939" xr:uid="{00000000-0005-0000-0000-0000600F0000}"/>
    <cellStyle name="Percent [2] 3 4" xfId="3940" xr:uid="{00000000-0005-0000-0000-0000610F0000}"/>
    <cellStyle name="Percent [2] 4" xfId="3941" xr:uid="{00000000-0005-0000-0000-0000620F0000}"/>
    <cellStyle name="Percent [2] 4 2" xfId="3942" xr:uid="{00000000-0005-0000-0000-0000630F0000}"/>
    <cellStyle name="Percent [2] 4 3" xfId="3943" xr:uid="{00000000-0005-0000-0000-0000640F0000}"/>
    <cellStyle name="Percent [2] 4 4" xfId="3944" xr:uid="{00000000-0005-0000-0000-0000650F0000}"/>
    <cellStyle name="Percent [2] 5" xfId="3945" xr:uid="{00000000-0005-0000-0000-0000660F0000}"/>
    <cellStyle name="Percent [2] 6" xfId="3946" xr:uid="{00000000-0005-0000-0000-0000670F0000}"/>
    <cellStyle name="Percent [2] 7" xfId="3947" xr:uid="{00000000-0005-0000-0000-0000680F0000}"/>
    <cellStyle name="Percent [2] 8" xfId="3948" xr:uid="{00000000-0005-0000-0000-0000690F0000}"/>
    <cellStyle name="Percent- 1 decimal" xfId="3949" xr:uid="{00000000-0005-0000-0000-00006A0F0000}"/>
    <cellStyle name="Percent- 1 decimal 2" xfId="3950" xr:uid="{00000000-0005-0000-0000-00006B0F0000}"/>
    <cellStyle name="Percent- 1 decimal 2 2" xfId="3951" xr:uid="{00000000-0005-0000-0000-00006C0F0000}"/>
    <cellStyle name="Percent- 1 decimal 2 3" xfId="3952" xr:uid="{00000000-0005-0000-0000-00006D0F0000}"/>
    <cellStyle name="Percent- 1 decimal 2 4" xfId="3953" xr:uid="{00000000-0005-0000-0000-00006E0F0000}"/>
    <cellStyle name="Percent- 1 decimal 3" xfId="3954" xr:uid="{00000000-0005-0000-0000-00006F0F0000}"/>
    <cellStyle name="Percent- 1 decimal 3 2" xfId="3955" xr:uid="{00000000-0005-0000-0000-0000700F0000}"/>
    <cellStyle name="Percent- 1 decimal 3 3" xfId="3956" xr:uid="{00000000-0005-0000-0000-0000710F0000}"/>
    <cellStyle name="Percent- 1 decimal 3 4" xfId="3957" xr:uid="{00000000-0005-0000-0000-0000720F0000}"/>
    <cellStyle name="Percent- 1 decimal 4" xfId="3958" xr:uid="{00000000-0005-0000-0000-0000730F0000}"/>
    <cellStyle name="Percent- 1 decimal 4 2" xfId="3959" xr:uid="{00000000-0005-0000-0000-0000740F0000}"/>
    <cellStyle name="Percent- 1 decimal 4 3" xfId="3960" xr:uid="{00000000-0005-0000-0000-0000750F0000}"/>
    <cellStyle name="Percent- 1 decimal 4 4" xfId="3961" xr:uid="{00000000-0005-0000-0000-0000760F0000}"/>
    <cellStyle name="Percent- 1 decimal 5" xfId="3962" xr:uid="{00000000-0005-0000-0000-0000770F0000}"/>
    <cellStyle name="Percent- 1 decimal 6" xfId="3963" xr:uid="{00000000-0005-0000-0000-0000780F0000}"/>
    <cellStyle name="Percent- 1 decimal 7" xfId="3964" xr:uid="{00000000-0005-0000-0000-0000790F0000}"/>
    <cellStyle name="Percent- 1 decimal 8" xfId="3965" xr:uid="{00000000-0005-0000-0000-00007A0F0000}"/>
    <cellStyle name="Percent 10" xfId="3966" xr:uid="{00000000-0005-0000-0000-00007B0F0000}"/>
    <cellStyle name="Percent 11" xfId="3967" xr:uid="{00000000-0005-0000-0000-00007C0F0000}"/>
    <cellStyle name="Percent 12" xfId="3968" xr:uid="{00000000-0005-0000-0000-00007D0F0000}"/>
    <cellStyle name="Percent 13" xfId="3969" xr:uid="{00000000-0005-0000-0000-00007E0F0000}"/>
    <cellStyle name="Percent 14" xfId="3970" xr:uid="{00000000-0005-0000-0000-00007F0F0000}"/>
    <cellStyle name="Percent 15" xfId="3971" xr:uid="{00000000-0005-0000-0000-0000800F0000}"/>
    <cellStyle name="Percent 16" xfId="3972" xr:uid="{00000000-0005-0000-0000-0000810F0000}"/>
    <cellStyle name="Percent 17" xfId="3973" xr:uid="{00000000-0005-0000-0000-0000820F0000}"/>
    <cellStyle name="Percent 18" xfId="3974" xr:uid="{00000000-0005-0000-0000-0000830F0000}"/>
    <cellStyle name="Percent 19" xfId="3975" xr:uid="{00000000-0005-0000-0000-0000840F0000}"/>
    <cellStyle name="Percent 2" xfId="10" xr:uid="{00000000-0005-0000-0000-0000850F0000}"/>
    <cellStyle name="Percent 2 2" xfId="3976" xr:uid="{00000000-0005-0000-0000-0000860F0000}"/>
    <cellStyle name="Percent 2 2 2" xfId="3977" xr:uid="{00000000-0005-0000-0000-0000870F0000}"/>
    <cellStyle name="Percent 2 2 2 2" xfId="3978" xr:uid="{00000000-0005-0000-0000-0000880F0000}"/>
    <cellStyle name="Percent 2 2 3" xfId="3979" xr:uid="{00000000-0005-0000-0000-0000890F0000}"/>
    <cellStyle name="Percent 2 2 4" xfId="3980" xr:uid="{00000000-0005-0000-0000-00008A0F0000}"/>
    <cellStyle name="Percent 2 3" xfId="3981" xr:uid="{00000000-0005-0000-0000-00008B0F0000}"/>
    <cellStyle name="Percent 2 4" xfId="3982" xr:uid="{00000000-0005-0000-0000-00008C0F0000}"/>
    <cellStyle name="Percent 2 5" xfId="3983" xr:uid="{00000000-0005-0000-0000-00008D0F0000}"/>
    <cellStyle name="Percent 2 6" xfId="3984" xr:uid="{00000000-0005-0000-0000-00008E0F0000}"/>
    <cellStyle name="Percent 2 7" xfId="3985" xr:uid="{00000000-0005-0000-0000-00008F0F0000}"/>
    <cellStyle name="Percent 2 8" xfId="3986" xr:uid="{00000000-0005-0000-0000-0000900F0000}"/>
    <cellStyle name="Percent 20" xfId="3987" xr:uid="{00000000-0005-0000-0000-0000910F0000}"/>
    <cellStyle name="Percent 21" xfId="3988" xr:uid="{00000000-0005-0000-0000-0000920F0000}"/>
    <cellStyle name="Percent 22" xfId="3989" xr:uid="{00000000-0005-0000-0000-0000930F0000}"/>
    <cellStyle name="Percent 23" xfId="3990" xr:uid="{00000000-0005-0000-0000-0000940F0000}"/>
    <cellStyle name="Percent 24" xfId="3991" xr:uid="{00000000-0005-0000-0000-0000950F0000}"/>
    <cellStyle name="Percent 25" xfId="3992" xr:uid="{00000000-0005-0000-0000-0000960F0000}"/>
    <cellStyle name="Percent 26" xfId="3993" xr:uid="{00000000-0005-0000-0000-0000970F0000}"/>
    <cellStyle name="Percent 27" xfId="3994" xr:uid="{00000000-0005-0000-0000-0000980F0000}"/>
    <cellStyle name="Percent 28" xfId="3995" xr:uid="{00000000-0005-0000-0000-0000990F0000}"/>
    <cellStyle name="Percent 29" xfId="3996" xr:uid="{00000000-0005-0000-0000-00009A0F0000}"/>
    <cellStyle name="Percent 3" xfId="274" xr:uid="{00000000-0005-0000-0000-00009B0F0000}"/>
    <cellStyle name="Percent 3 2" xfId="3997" xr:uid="{00000000-0005-0000-0000-00009C0F0000}"/>
    <cellStyle name="Percent 3 3" xfId="3998" xr:uid="{00000000-0005-0000-0000-00009D0F0000}"/>
    <cellStyle name="Percent 3 4" xfId="3999" xr:uid="{00000000-0005-0000-0000-00009E0F0000}"/>
    <cellStyle name="Percent 30" xfId="4000" xr:uid="{00000000-0005-0000-0000-00009F0F0000}"/>
    <cellStyle name="Percent 31" xfId="4001" xr:uid="{00000000-0005-0000-0000-0000A00F0000}"/>
    <cellStyle name="Percent 4" xfId="275" xr:uid="{00000000-0005-0000-0000-0000A10F0000}"/>
    <cellStyle name="Percent 4 2" xfId="4002" xr:uid="{00000000-0005-0000-0000-0000A20F0000}"/>
    <cellStyle name="Percent 5" xfId="4003" xr:uid="{00000000-0005-0000-0000-0000A30F0000}"/>
    <cellStyle name="Percent 6" xfId="4004" xr:uid="{00000000-0005-0000-0000-0000A40F0000}"/>
    <cellStyle name="Percent 6 2" xfId="4005" xr:uid="{00000000-0005-0000-0000-0000A50F0000}"/>
    <cellStyle name="Percent 6 2 2" xfId="4006" xr:uid="{00000000-0005-0000-0000-0000A60F0000}"/>
    <cellStyle name="Percent 6 3" xfId="4007" xr:uid="{00000000-0005-0000-0000-0000A70F0000}"/>
    <cellStyle name="Percent 6 4" xfId="4008" xr:uid="{00000000-0005-0000-0000-0000A80F0000}"/>
    <cellStyle name="Percent 7" xfId="4009" xr:uid="{00000000-0005-0000-0000-0000A90F0000}"/>
    <cellStyle name="Percent 7 2" xfId="4010" xr:uid="{00000000-0005-0000-0000-0000AA0F0000}"/>
    <cellStyle name="Percent 8" xfId="4011" xr:uid="{00000000-0005-0000-0000-0000AB0F0000}"/>
    <cellStyle name="Percent 9" xfId="4012" xr:uid="{00000000-0005-0000-0000-0000AC0F0000}"/>
    <cellStyle name="Percent1" xfId="4013" xr:uid="{00000000-0005-0000-0000-0000AD0F0000}"/>
    <cellStyle name="Percentage" xfId="4014" xr:uid="{00000000-0005-0000-0000-0000AE0F0000}"/>
    <cellStyle name="PercentSales" xfId="4015" xr:uid="{00000000-0005-0000-0000-0000AF0F0000}"/>
    <cellStyle name="­pºâ¤è¦¡" xfId="4016" xr:uid="{00000000-0005-0000-0000-0000B00F0000}"/>
    <cellStyle name="PrePop Currency (0)" xfId="4017" xr:uid="{00000000-0005-0000-0000-0000B10F0000}"/>
    <cellStyle name="PrePop Currency (0) 10" xfId="4018" xr:uid="{00000000-0005-0000-0000-0000B20F0000}"/>
    <cellStyle name="PrePop Currency (0) 11" xfId="4019" xr:uid="{00000000-0005-0000-0000-0000B30F0000}"/>
    <cellStyle name="PrePop Currency (0) 2" xfId="4020" xr:uid="{00000000-0005-0000-0000-0000B40F0000}"/>
    <cellStyle name="PrePop Currency (0) 3" xfId="4021" xr:uid="{00000000-0005-0000-0000-0000B50F0000}"/>
    <cellStyle name="PrePop Currency (0) 4" xfId="4022" xr:uid="{00000000-0005-0000-0000-0000B60F0000}"/>
    <cellStyle name="PrePop Currency (0) 5" xfId="4023" xr:uid="{00000000-0005-0000-0000-0000B70F0000}"/>
    <cellStyle name="PrePop Currency (0) 6" xfId="4024" xr:uid="{00000000-0005-0000-0000-0000B80F0000}"/>
    <cellStyle name="PrePop Currency (0) 7" xfId="4025" xr:uid="{00000000-0005-0000-0000-0000B90F0000}"/>
    <cellStyle name="PrePop Currency (0) 8" xfId="4026" xr:uid="{00000000-0005-0000-0000-0000BA0F0000}"/>
    <cellStyle name="PrePop Currency (0) 9" xfId="4027" xr:uid="{00000000-0005-0000-0000-0000BB0F0000}"/>
    <cellStyle name="PrePop Currency (2)" xfId="4028" xr:uid="{00000000-0005-0000-0000-0000BC0F0000}"/>
    <cellStyle name="PrePop Currency (2) 10" xfId="4029" xr:uid="{00000000-0005-0000-0000-0000BD0F0000}"/>
    <cellStyle name="PrePop Currency (2) 11" xfId="4030" xr:uid="{00000000-0005-0000-0000-0000BE0F0000}"/>
    <cellStyle name="PrePop Currency (2) 2" xfId="4031" xr:uid="{00000000-0005-0000-0000-0000BF0F0000}"/>
    <cellStyle name="PrePop Currency (2) 3" xfId="4032" xr:uid="{00000000-0005-0000-0000-0000C00F0000}"/>
    <cellStyle name="PrePop Currency (2) 4" xfId="4033" xr:uid="{00000000-0005-0000-0000-0000C10F0000}"/>
    <cellStyle name="PrePop Currency (2) 5" xfId="4034" xr:uid="{00000000-0005-0000-0000-0000C20F0000}"/>
    <cellStyle name="PrePop Currency (2) 6" xfId="4035" xr:uid="{00000000-0005-0000-0000-0000C30F0000}"/>
    <cellStyle name="PrePop Currency (2) 7" xfId="4036" xr:uid="{00000000-0005-0000-0000-0000C40F0000}"/>
    <cellStyle name="PrePop Currency (2) 8" xfId="4037" xr:uid="{00000000-0005-0000-0000-0000C50F0000}"/>
    <cellStyle name="PrePop Currency (2) 9" xfId="4038" xr:uid="{00000000-0005-0000-0000-0000C60F0000}"/>
    <cellStyle name="PrePop Units (0)" xfId="4039" xr:uid="{00000000-0005-0000-0000-0000C70F0000}"/>
    <cellStyle name="PrePop Units (0) 10" xfId="4040" xr:uid="{00000000-0005-0000-0000-0000C80F0000}"/>
    <cellStyle name="PrePop Units (0) 11" xfId="4041" xr:uid="{00000000-0005-0000-0000-0000C90F0000}"/>
    <cellStyle name="PrePop Units (0) 2" xfId="4042" xr:uid="{00000000-0005-0000-0000-0000CA0F0000}"/>
    <cellStyle name="PrePop Units (0) 3" xfId="4043" xr:uid="{00000000-0005-0000-0000-0000CB0F0000}"/>
    <cellStyle name="PrePop Units (0) 4" xfId="4044" xr:uid="{00000000-0005-0000-0000-0000CC0F0000}"/>
    <cellStyle name="PrePop Units (0) 5" xfId="4045" xr:uid="{00000000-0005-0000-0000-0000CD0F0000}"/>
    <cellStyle name="PrePop Units (0) 6" xfId="4046" xr:uid="{00000000-0005-0000-0000-0000CE0F0000}"/>
    <cellStyle name="PrePop Units (0) 7" xfId="4047" xr:uid="{00000000-0005-0000-0000-0000CF0F0000}"/>
    <cellStyle name="PrePop Units (0) 8" xfId="4048" xr:uid="{00000000-0005-0000-0000-0000D00F0000}"/>
    <cellStyle name="PrePop Units (0) 9" xfId="4049" xr:uid="{00000000-0005-0000-0000-0000D10F0000}"/>
    <cellStyle name="PrePop Units (1)" xfId="4050" xr:uid="{00000000-0005-0000-0000-0000D20F0000}"/>
    <cellStyle name="PrePop Units (1) 10" xfId="4051" xr:uid="{00000000-0005-0000-0000-0000D30F0000}"/>
    <cellStyle name="PrePop Units (1) 11" xfId="4052" xr:uid="{00000000-0005-0000-0000-0000D40F0000}"/>
    <cellStyle name="PrePop Units (1) 2" xfId="4053" xr:uid="{00000000-0005-0000-0000-0000D50F0000}"/>
    <cellStyle name="PrePop Units (1) 3" xfId="4054" xr:uid="{00000000-0005-0000-0000-0000D60F0000}"/>
    <cellStyle name="PrePop Units (1) 4" xfId="4055" xr:uid="{00000000-0005-0000-0000-0000D70F0000}"/>
    <cellStyle name="PrePop Units (1) 5" xfId="4056" xr:uid="{00000000-0005-0000-0000-0000D80F0000}"/>
    <cellStyle name="PrePop Units (1) 6" xfId="4057" xr:uid="{00000000-0005-0000-0000-0000D90F0000}"/>
    <cellStyle name="PrePop Units (1) 7" xfId="4058" xr:uid="{00000000-0005-0000-0000-0000DA0F0000}"/>
    <cellStyle name="PrePop Units (1) 8" xfId="4059" xr:uid="{00000000-0005-0000-0000-0000DB0F0000}"/>
    <cellStyle name="PrePop Units (1) 9" xfId="4060" xr:uid="{00000000-0005-0000-0000-0000DC0F0000}"/>
    <cellStyle name="PrePop Units (2)" xfId="4061" xr:uid="{00000000-0005-0000-0000-0000DD0F0000}"/>
    <cellStyle name="PrePop Units (2) 10" xfId="4062" xr:uid="{00000000-0005-0000-0000-0000DE0F0000}"/>
    <cellStyle name="PrePop Units (2) 11" xfId="4063" xr:uid="{00000000-0005-0000-0000-0000DF0F0000}"/>
    <cellStyle name="PrePop Units (2) 2" xfId="4064" xr:uid="{00000000-0005-0000-0000-0000E00F0000}"/>
    <cellStyle name="PrePop Units (2) 3" xfId="4065" xr:uid="{00000000-0005-0000-0000-0000E10F0000}"/>
    <cellStyle name="PrePop Units (2) 4" xfId="4066" xr:uid="{00000000-0005-0000-0000-0000E20F0000}"/>
    <cellStyle name="PrePop Units (2) 5" xfId="4067" xr:uid="{00000000-0005-0000-0000-0000E30F0000}"/>
    <cellStyle name="PrePop Units (2) 6" xfId="4068" xr:uid="{00000000-0005-0000-0000-0000E40F0000}"/>
    <cellStyle name="PrePop Units (2) 7" xfId="4069" xr:uid="{00000000-0005-0000-0000-0000E50F0000}"/>
    <cellStyle name="PrePop Units (2) 8" xfId="4070" xr:uid="{00000000-0005-0000-0000-0000E60F0000}"/>
    <cellStyle name="PrePop Units (2) 9" xfId="4071" xr:uid="{00000000-0005-0000-0000-0000E70F0000}"/>
    <cellStyle name="Price" xfId="4072" xr:uid="{00000000-0005-0000-0000-0000E80F0000}"/>
    <cellStyle name="Price 2" xfId="4073" xr:uid="{00000000-0005-0000-0000-0000E90F0000}"/>
    <cellStyle name="pricing" xfId="4074" xr:uid="{00000000-0005-0000-0000-0000EA0F0000}"/>
    <cellStyle name="pricing 10" xfId="4075" xr:uid="{00000000-0005-0000-0000-0000EB0F0000}"/>
    <cellStyle name="pricing 11" xfId="4076" xr:uid="{00000000-0005-0000-0000-0000EC0F0000}"/>
    <cellStyle name="pricing 2" xfId="4077" xr:uid="{00000000-0005-0000-0000-0000ED0F0000}"/>
    <cellStyle name="pricing 3" xfId="4078" xr:uid="{00000000-0005-0000-0000-0000EE0F0000}"/>
    <cellStyle name="pricing 4" xfId="4079" xr:uid="{00000000-0005-0000-0000-0000EF0F0000}"/>
    <cellStyle name="pricing 5" xfId="4080" xr:uid="{00000000-0005-0000-0000-0000F00F0000}"/>
    <cellStyle name="pricing 6" xfId="4081" xr:uid="{00000000-0005-0000-0000-0000F10F0000}"/>
    <cellStyle name="pricing 7" xfId="4082" xr:uid="{00000000-0005-0000-0000-0000F20F0000}"/>
    <cellStyle name="pricing 8" xfId="4083" xr:uid="{00000000-0005-0000-0000-0000F30F0000}"/>
    <cellStyle name="pricing 9" xfId="4084" xr:uid="{00000000-0005-0000-0000-0000F40F0000}"/>
    <cellStyle name="PSChar" xfId="4085" xr:uid="{00000000-0005-0000-0000-0000F50F0000}"/>
    <cellStyle name="PSChar 2" xfId="4086" xr:uid="{00000000-0005-0000-0000-0000F60F0000}"/>
    <cellStyle name="PSChar 2 2" xfId="4087" xr:uid="{00000000-0005-0000-0000-0000F70F0000}"/>
    <cellStyle name="PSChar 2 3" xfId="4088" xr:uid="{00000000-0005-0000-0000-0000F80F0000}"/>
    <cellStyle name="PSChar 2 4" xfId="4089" xr:uid="{00000000-0005-0000-0000-0000F90F0000}"/>
    <cellStyle name="PSChar 3" xfId="4090" xr:uid="{00000000-0005-0000-0000-0000FA0F0000}"/>
    <cellStyle name="PSChar 3 2" xfId="4091" xr:uid="{00000000-0005-0000-0000-0000FB0F0000}"/>
    <cellStyle name="PSChar 3 3" xfId="4092" xr:uid="{00000000-0005-0000-0000-0000FC0F0000}"/>
    <cellStyle name="PSChar 3 4" xfId="4093" xr:uid="{00000000-0005-0000-0000-0000FD0F0000}"/>
    <cellStyle name="PSChar 4" xfId="4094" xr:uid="{00000000-0005-0000-0000-0000FE0F0000}"/>
    <cellStyle name="PSChar 4 2" xfId="4095" xr:uid="{00000000-0005-0000-0000-0000FF0F0000}"/>
    <cellStyle name="PSChar 4 3" xfId="4096" xr:uid="{00000000-0005-0000-0000-000000100000}"/>
    <cellStyle name="PSChar 4 4" xfId="4097" xr:uid="{00000000-0005-0000-0000-000001100000}"/>
    <cellStyle name="PSChar 5" xfId="4098" xr:uid="{00000000-0005-0000-0000-000002100000}"/>
    <cellStyle name="PSChar 6" xfId="4099" xr:uid="{00000000-0005-0000-0000-000003100000}"/>
    <cellStyle name="PSChar 7" xfId="4100" xr:uid="{00000000-0005-0000-0000-000004100000}"/>
    <cellStyle name="PSChar 8" xfId="4101" xr:uid="{00000000-0005-0000-0000-000005100000}"/>
    <cellStyle name="PSDate" xfId="4102" xr:uid="{00000000-0005-0000-0000-000006100000}"/>
    <cellStyle name="PSDate 2" xfId="4103" xr:uid="{00000000-0005-0000-0000-000007100000}"/>
    <cellStyle name="PSDate 2 2" xfId="4104" xr:uid="{00000000-0005-0000-0000-000008100000}"/>
    <cellStyle name="PSDate 2 3" xfId="4105" xr:uid="{00000000-0005-0000-0000-000009100000}"/>
    <cellStyle name="PSDate 2 4" xfId="4106" xr:uid="{00000000-0005-0000-0000-00000A100000}"/>
    <cellStyle name="PSDate 3" xfId="4107" xr:uid="{00000000-0005-0000-0000-00000B100000}"/>
    <cellStyle name="PSDate 3 2" xfId="4108" xr:uid="{00000000-0005-0000-0000-00000C100000}"/>
    <cellStyle name="PSDate 3 3" xfId="4109" xr:uid="{00000000-0005-0000-0000-00000D100000}"/>
    <cellStyle name="PSDate 3 4" xfId="4110" xr:uid="{00000000-0005-0000-0000-00000E100000}"/>
    <cellStyle name="PSDate 4" xfId="4111" xr:uid="{00000000-0005-0000-0000-00000F100000}"/>
    <cellStyle name="PSDate 4 2" xfId="4112" xr:uid="{00000000-0005-0000-0000-000010100000}"/>
    <cellStyle name="PSDate 4 3" xfId="4113" xr:uid="{00000000-0005-0000-0000-000011100000}"/>
    <cellStyle name="PSDate 4 4" xfId="4114" xr:uid="{00000000-0005-0000-0000-000012100000}"/>
    <cellStyle name="PSDate 5" xfId="4115" xr:uid="{00000000-0005-0000-0000-000013100000}"/>
    <cellStyle name="PSDate 6" xfId="4116" xr:uid="{00000000-0005-0000-0000-000014100000}"/>
    <cellStyle name="PSDate 7" xfId="4117" xr:uid="{00000000-0005-0000-0000-000015100000}"/>
    <cellStyle name="PSDate 8" xfId="4118" xr:uid="{00000000-0005-0000-0000-000016100000}"/>
    <cellStyle name="PSDec" xfId="4119" xr:uid="{00000000-0005-0000-0000-000017100000}"/>
    <cellStyle name="PSDec 2" xfId="4120" xr:uid="{00000000-0005-0000-0000-000018100000}"/>
    <cellStyle name="PSDec 2 2" xfId="4121" xr:uid="{00000000-0005-0000-0000-000019100000}"/>
    <cellStyle name="PSDec 2 3" xfId="4122" xr:uid="{00000000-0005-0000-0000-00001A100000}"/>
    <cellStyle name="PSDec 2 4" xfId="4123" xr:uid="{00000000-0005-0000-0000-00001B100000}"/>
    <cellStyle name="PSDec 3" xfId="4124" xr:uid="{00000000-0005-0000-0000-00001C100000}"/>
    <cellStyle name="PSDec 3 2" xfId="4125" xr:uid="{00000000-0005-0000-0000-00001D100000}"/>
    <cellStyle name="PSDec 3 3" xfId="4126" xr:uid="{00000000-0005-0000-0000-00001E100000}"/>
    <cellStyle name="PSDec 3 4" xfId="4127" xr:uid="{00000000-0005-0000-0000-00001F100000}"/>
    <cellStyle name="PSDec 4" xfId="4128" xr:uid="{00000000-0005-0000-0000-000020100000}"/>
    <cellStyle name="PSDec 4 2" xfId="4129" xr:uid="{00000000-0005-0000-0000-000021100000}"/>
    <cellStyle name="PSDec 4 3" xfId="4130" xr:uid="{00000000-0005-0000-0000-000022100000}"/>
    <cellStyle name="PSDec 4 4" xfId="4131" xr:uid="{00000000-0005-0000-0000-000023100000}"/>
    <cellStyle name="PSDec 5" xfId="4132" xr:uid="{00000000-0005-0000-0000-000024100000}"/>
    <cellStyle name="PSDec 6" xfId="4133" xr:uid="{00000000-0005-0000-0000-000025100000}"/>
    <cellStyle name="PSDec 7" xfId="4134" xr:uid="{00000000-0005-0000-0000-000026100000}"/>
    <cellStyle name="PSDec 8" xfId="4135" xr:uid="{00000000-0005-0000-0000-000027100000}"/>
    <cellStyle name="PSHeading" xfId="4136" xr:uid="{00000000-0005-0000-0000-000028100000}"/>
    <cellStyle name="PSHeading 2" xfId="4137" xr:uid="{00000000-0005-0000-0000-000029100000}"/>
    <cellStyle name="PSHeading 2 2" xfId="4138" xr:uid="{00000000-0005-0000-0000-00002A100000}"/>
    <cellStyle name="PSHeading 2 3" xfId="4139" xr:uid="{00000000-0005-0000-0000-00002B100000}"/>
    <cellStyle name="PSHeading 2 4" xfId="4140" xr:uid="{00000000-0005-0000-0000-00002C100000}"/>
    <cellStyle name="PSHeading 2_Top 20-IR" xfId="4141" xr:uid="{00000000-0005-0000-0000-00002D100000}"/>
    <cellStyle name="PSHeading 3" xfId="4142" xr:uid="{00000000-0005-0000-0000-00002E100000}"/>
    <cellStyle name="PSHeading 3 2" xfId="4143" xr:uid="{00000000-0005-0000-0000-00002F100000}"/>
    <cellStyle name="PSHeading 3 3" xfId="4144" xr:uid="{00000000-0005-0000-0000-000030100000}"/>
    <cellStyle name="PSHeading 3 4" xfId="4145" xr:uid="{00000000-0005-0000-0000-000031100000}"/>
    <cellStyle name="PSHeading 3_Top 20-IR" xfId="4146" xr:uid="{00000000-0005-0000-0000-000032100000}"/>
    <cellStyle name="PSHeading 4" xfId="4147" xr:uid="{00000000-0005-0000-0000-000033100000}"/>
    <cellStyle name="PSHeading 4 2" xfId="4148" xr:uid="{00000000-0005-0000-0000-000034100000}"/>
    <cellStyle name="PSHeading 4 3" xfId="4149" xr:uid="{00000000-0005-0000-0000-000035100000}"/>
    <cellStyle name="PSHeading 4 4" xfId="4150" xr:uid="{00000000-0005-0000-0000-000036100000}"/>
    <cellStyle name="PSHeading 4_Top 20-IR" xfId="4151" xr:uid="{00000000-0005-0000-0000-000037100000}"/>
    <cellStyle name="PSHeading 5" xfId="4152" xr:uid="{00000000-0005-0000-0000-000038100000}"/>
    <cellStyle name="PSHeading 6" xfId="4153" xr:uid="{00000000-0005-0000-0000-000039100000}"/>
    <cellStyle name="PSHeading 7" xfId="4154" xr:uid="{00000000-0005-0000-0000-00003A100000}"/>
    <cellStyle name="PSHeading 8" xfId="4155" xr:uid="{00000000-0005-0000-0000-00003B100000}"/>
    <cellStyle name="PSInt" xfId="4156" xr:uid="{00000000-0005-0000-0000-00003C100000}"/>
    <cellStyle name="PSInt 2" xfId="4157" xr:uid="{00000000-0005-0000-0000-00003D100000}"/>
    <cellStyle name="PSInt 2 2" xfId="4158" xr:uid="{00000000-0005-0000-0000-00003E100000}"/>
    <cellStyle name="PSInt 2 3" xfId="4159" xr:uid="{00000000-0005-0000-0000-00003F100000}"/>
    <cellStyle name="PSInt 2 4" xfId="4160" xr:uid="{00000000-0005-0000-0000-000040100000}"/>
    <cellStyle name="PSInt 3" xfId="4161" xr:uid="{00000000-0005-0000-0000-000041100000}"/>
    <cellStyle name="PSInt 3 2" xfId="4162" xr:uid="{00000000-0005-0000-0000-000042100000}"/>
    <cellStyle name="PSInt 3 3" xfId="4163" xr:uid="{00000000-0005-0000-0000-000043100000}"/>
    <cellStyle name="PSInt 3 4" xfId="4164" xr:uid="{00000000-0005-0000-0000-000044100000}"/>
    <cellStyle name="PSInt 4" xfId="4165" xr:uid="{00000000-0005-0000-0000-000045100000}"/>
    <cellStyle name="PSInt 4 2" xfId="4166" xr:uid="{00000000-0005-0000-0000-000046100000}"/>
    <cellStyle name="PSInt 4 3" xfId="4167" xr:uid="{00000000-0005-0000-0000-000047100000}"/>
    <cellStyle name="PSInt 4 4" xfId="4168" xr:uid="{00000000-0005-0000-0000-000048100000}"/>
    <cellStyle name="PSInt 5" xfId="4169" xr:uid="{00000000-0005-0000-0000-000049100000}"/>
    <cellStyle name="PSInt 6" xfId="4170" xr:uid="{00000000-0005-0000-0000-00004A100000}"/>
    <cellStyle name="PSInt 7" xfId="4171" xr:uid="{00000000-0005-0000-0000-00004B100000}"/>
    <cellStyle name="PSInt 8" xfId="4172" xr:uid="{00000000-0005-0000-0000-00004C100000}"/>
    <cellStyle name="PSSpacer" xfId="4173" xr:uid="{00000000-0005-0000-0000-00004D100000}"/>
    <cellStyle name="PSSpacer 2" xfId="4174" xr:uid="{00000000-0005-0000-0000-00004E100000}"/>
    <cellStyle name="PSSpacer 2 2" xfId="4175" xr:uid="{00000000-0005-0000-0000-00004F100000}"/>
    <cellStyle name="PSSpacer 2 3" xfId="4176" xr:uid="{00000000-0005-0000-0000-000050100000}"/>
    <cellStyle name="PSSpacer 2 4" xfId="4177" xr:uid="{00000000-0005-0000-0000-000051100000}"/>
    <cellStyle name="PSSpacer 3" xfId="4178" xr:uid="{00000000-0005-0000-0000-000052100000}"/>
    <cellStyle name="PSSpacer 3 2" xfId="4179" xr:uid="{00000000-0005-0000-0000-000053100000}"/>
    <cellStyle name="PSSpacer 3 3" xfId="4180" xr:uid="{00000000-0005-0000-0000-000054100000}"/>
    <cellStyle name="PSSpacer 3 4" xfId="4181" xr:uid="{00000000-0005-0000-0000-000055100000}"/>
    <cellStyle name="PSSpacer 4" xfId="4182" xr:uid="{00000000-0005-0000-0000-000056100000}"/>
    <cellStyle name="PSSpacer 4 2" xfId="4183" xr:uid="{00000000-0005-0000-0000-000057100000}"/>
    <cellStyle name="PSSpacer 4 3" xfId="4184" xr:uid="{00000000-0005-0000-0000-000058100000}"/>
    <cellStyle name="PSSpacer 4 4" xfId="4185" xr:uid="{00000000-0005-0000-0000-000059100000}"/>
    <cellStyle name="PSSpacer 5" xfId="4186" xr:uid="{00000000-0005-0000-0000-00005A100000}"/>
    <cellStyle name="PSSpacer 6" xfId="4187" xr:uid="{00000000-0005-0000-0000-00005B100000}"/>
    <cellStyle name="PSSpacer 7" xfId="4188" xr:uid="{00000000-0005-0000-0000-00005C100000}"/>
    <cellStyle name="PSSpacer 8" xfId="4189" xr:uid="{00000000-0005-0000-0000-00005D100000}"/>
    <cellStyle name="r" xfId="4190" xr:uid="{00000000-0005-0000-0000-00005E100000}"/>
    <cellStyle name="r_Acquisition Schedules" xfId="4191" xr:uid="{00000000-0005-0000-0000-00005F100000}"/>
    <cellStyle name="r_Acquisition Schedules - Sch8 (2)" xfId="4192" xr:uid="{00000000-0005-0000-0000-000060100000}"/>
    <cellStyle name="r_Acquisition Schedules (2)" xfId="4193" xr:uid="{00000000-0005-0000-0000-000061100000}"/>
    <cellStyle name="r_Book1 (3)" xfId="4194" xr:uid="{00000000-0005-0000-0000-000062100000}"/>
    <cellStyle name="r_Boston Afford Mar 2005 (2)" xfId="4195" xr:uid="{00000000-0005-0000-0000-000063100000}"/>
    <cellStyle name="r_Financial Model v6" xfId="4196" xr:uid="{00000000-0005-0000-0000-000064100000}"/>
    <cellStyle name="r_Financial Model v6-03-26-2004" xfId="4197" xr:uid="{00000000-0005-0000-0000-000065100000}"/>
    <cellStyle name="r_Financial Model v8" xfId="4198" xr:uid="{00000000-0005-0000-0000-000066100000}"/>
    <cellStyle name="r_Financial Model v9" xfId="4199" xr:uid="{00000000-0005-0000-0000-000067100000}"/>
    <cellStyle name="r_GAAP Financial Model v15" xfId="4200" xr:uid="{00000000-0005-0000-0000-000068100000}"/>
    <cellStyle name="r_GAAP Financial Model v15_Acquisition Schedules" xfId="4201" xr:uid="{00000000-0005-0000-0000-000069100000}"/>
    <cellStyle name="r_GAAP Financial Model v15_Acquisition Schedules - Sch8 (2)" xfId="4202" xr:uid="{00000000-0005-0000-0000-00006A100000}"/>
    <cellStyle name="r_GAAP Financial Model v15_Acquisition Schedules (2)" xfId="4203" xr:uid="{00000000-0005-0000-0000-00006B100000}"/>
    <cellStyle name="r_GAAP Financial Model v15_Financial Model v6-03-26-2004" xfId="4204" xr:uid="{00000000-0005-0000-0000-00006C100000}"/>
    <cellStyle name="r_HC_paradise" xfId="4205" xr:uid="{00000000-0005-0000-0000-00006D100000}"/>
    <cellStyle name="r_HC_paradise_Acquisition Schedules" xfId="4206" xr:uid="{00000000-0005-0000-0000-00006E100000}"/>
    <cellStyle name="r_HC_paradise_Acquisition Schedules - Sch8 (2)" xfId="4207" xr:uid="{00000000-0005-0000-0000-00006F100000}"/>
    <cellStyle name="r_HC_paradise_Acquisition Schedules (2)" xfId="4208" xr:uid="{00000000-0005-0000-0000-000070100000}"/>
    <cellStyle name="r_New Financial Model v3" xfId="4209" xr:uid="{00000000-0005-0000-0000-000071100000}"/>
    <cellStyle name="r_New Financial Model v4" xfId="4210" xr:uid="{00000000-0005-0000-0000-000072100000}"/>
    <cellStyle name="r_New Financial Model v5" xfId="4211" xr:uid="{00000000-0005-0000-0000-000073100000}"/>
    <cellStyle name="r_New Financial Model v6" xfId="4212" xr:uid="{00000000-0005-0000-0000-000074100000}"/>
    <cellStyle name="r_New Financial Model v7" xfId="4213" xr:uid="{00000000-0005-0000-0000-000075100000}"/>
    <cellStyle name="r_P&amp;L Model v1" xfId="4214" xr:uid="{00000000-0005-0000-0000-000076100000}"/>
    <cellStyle name="r_Project Atlas Analysis 4.0" xfId="4215" xr:uid="{00000000-0005-0000-0000-000077100000}"/>
    <cellStyle name="r_Project Atlas Analysis 4.0_Acquisition Schedules" xfId="4216" xr:uid="{00000000-0005-0000-0000-000078100000}"/>
    <cellStyle name="r_Project Atlas Analysis 4.0_Acquisition Schedules - Sch8 (2)" xfId="4217" xr:uid="{00000000-0005-0000-0000-000079100000}"/>
    <cellStyle name="r_Project Atlas Analysis 4.0_Acquisition Schedules (2)" xfId="4218" xr:uid="{00000000-0005-0000-0000-00007A100000}"/>
    <cellStyle name="Rate" xfId="4219" xr:uid="{00000000-0005-0000-0000-00007B100000}"/>
    <cellStyle name="Red font" xfId="4220" xr:uid="{00000000-0005-0000-0000-00007C100000}"/>
    <cellStyle name="Ref Numbers" xfId="4221" xr:uid="{00000000-0005-0000-0000-00007D100000}"/>
    <cellStyle name="regstoresfromspecstores" xfId="4222" xr:uid="{00000000-0005-0000-0000-00007E100000}"/>
    <cellStyle name="regstoresfromspecstores 2" xfId="4223" xr:uid="{00000000-0005-0000-0000-00007F100000}"/>
    <cellStyle name="regstoresfromspecstores 3" xfId="4224" xr:uid="{00000000-0005-0000-0000-000080100000}"/>
    <cellStyle name="regstoresfromspecstores 4" xfId="4225" xr:uid="{00000000-0005-0000-0000-000081100000}"/>
    <cellStyle name="regstoresfromspecstores 5" xfId="4226" xr:uid="{00000000-0005-0000-0000-000082100000}"/>
    <cellStyle name="regstoresfromspecstores 6" xfId="4227" xr:uid="{00000000-0005-0000-0000-000083100000}"/>
    <cellStyle name="regstoresfromspecstores 7" xfId="4228" xr:uid="{00000000-0005-0000-0000-000084100000}"/>
    <cellStyle name="regstoresfromspecstores 8" xfId="4229" xr:uid="{00000000-0005-0000-0000-000085100000}"/>
    <cellStyle name="ReportTitlePrompt" xfId="4230" xr:uid="{00000000-0005-0000-0000-000086100000}"/>
    <cellStyle name="ReportTitlePrompt 2" xfId="4231" xr:uid="{00000000-0005-0000-0000-000087100000}"/>
    <cellStyle name="ReportTitleValue" xfId="4232" xr:uid="{00000000-0005-0000-0000-000088100000}"/>
    <cellStyle name="RevList" xfId="4233" xr:uid="{00000000-0005-0000-0000-000089100000}"/>
    <cellStyle name="RevList 10" xfId="4234" xr:uid="{00000000-0005-0000-0000-00008A100000}"/>
    <cellStyle name="RevList 11" xfId="4235" xr:uid="{00000000-0005-0000-0000-00008B100000}"/>
    <cellStyle name="RevList 12" xfId="4236" xr:uid="{00000000-0005-0000-0000-00008C100000}"/>
    <cellStyle name="RevList 13" xfId="4237" xr:uid="{00000000-0005-0000-0000-00008D100000}"/>
    <cellStyle name="RevList 14" xfId="4238" xr:uid="{00000000-0005-0000-0000-00008E100000}"/>
    <cellStyle name="RevList 15" xfId="4239" xr:uid="{00000000-0005-0000-0000-00008F100000}"/>
    <cellStyle name="RevList 16" xfId="4240" xr:uid="{00000000-0005-0000-0000-000090100000}"/>
    <cellStyle name="RevList 17" xfId="4241" xr:uid="{00000000-0005-0000-0000-000091100000}"/>
    <cellStyle name="RevList 18" xfId="4242" xr:uid="{00000000-0005-0000-0000-000092100000}"/>
    <cellStyle name="RevList 19" xfId="4243" xr:uid="{00000000-0005-0000-0000-000093100000}"/>
    <cellStyle name="RevList 2" xfId="4244" xr:uid="{00000000-0005-0000-0000-000094100000}"/>
    <cellStyle name="RevList 2 2" xfId="4245" xr:uid="{00000000-0005-0000-0000-000095100000}"/>
    <cellStyle name="RevList 20" xfId="4246" xr:uid="{00000000-0005-0000-0000-000096100000}"/>
    <cellStyle name="RevList 21" xfId="4247" xr:uid="{00000000-0005-0000-0000-000097100000}"/>
    <cellStyle name="RevList 22" xfId="4248" xr:uid="{00000000-0005-0000-0000-000098100000}"/>
    <cellStyle name="RevList 23" xfId="4249" xr:uid="{00000000-0005-0000-0000-000099100000}"/>
    <cellStyle name="RevList 24" xfId="4250" xr:uid="{00000000-0005-0000-0000-00009A100000}"/>
    <cellStyle name="RevList 25" xfId="4251" xr:uid="{00000000-0005-0000-0000-00009B100000}"/>
    <cellStyle name="RevList 26" xfId="4252" xr:uid="{00000000-0005-0000-0000-00009C100000}"/>
    <cellStyle name="RevList 27" xfId="4253" xr:uid="{00000000-0005-0000-0000-00009D100000}"/>
    <cellStyle name="RevList 28" xfId="4254" xr:uid="{00000000-0005-0000-0000-00009E100000}"/>
    <cellStyle name="RevList 29" xfId="4255" xr:uid="{00000000-0005-0000-0000-00009F100000}"/>
    <cellStyle name="RevList 3" xfId="4256" xr:uid="{00000000-0005-0000-0000-0000A0100000}"/>
    <cellStyle name="RevList 3 2" xfId="4257" xr:uid="{00000000-0005-0000-0000-0000A1100000}"/>
    <cellStyle name="RevList 30" xfId="4258" xr:uid="{00000000-0005-0000-0000-0000A2100000}"/>
    <cellStyle name="RevList 4" xfId="4259" xr:uid="{00000000-0005-0000-0000-0000A3100000}"/>
    <cellStyle name="RevList 4 2" xfId="4260" xr:uid="{00000000-0005-0000-0000-0000A4100000}"/>
    <cellStyle name="RevList 5" xfId="4261" xr:uid="{00000000-0005-0000-0000-0000A5100000}"/>
    <cellStyle name="RevList 5 2" xfId="4262" xr:uid="{00000000-0005-0000-0000-0000A6100000}"/>
    <cellStyle name="RevList 6" xfId="4263" xr:uid="{00000000-0005-0000-0000-0000A7100000}"/>
    <cellStyle name="RevList 6 2" xfId="4264" xr:uid="{00000000-0005-0000-0000-0000A8100000}"/>
    <cellStyle name="RevList 7" xfId="4265" xr:uid="{00000000-0005-0000-0000-0000A9100000}"/>
    <cellStyle name="RevList 7 2" xfId="4266" xr:uid="{00000000-0005-0000-0000-0000AA100000}"/>
    <cellStyle name="RevList 8" xfId="4267" xr:uid="{00000000-0005-0000-0000-0000AB100000}"/>
    <cellStyle name="RevList 8 2" xfId="4268" xr:uid="{00000000-0005-0000-0000-0000AC100000}"/>
    <cellStyle name="RevList 9" xfId="4269" xr:uid="{00000000-0005-0000-0000-0000AD100000}"/>
    <cellStyle name="row1" xfId="4270" xr:uid="{00000000-0005-0000-0000-0000AE100000}"/>
    <cellStyle name="row1 2" xfId="4271" xr:uid="{00000000-0005-0000-0000-0000AF100000}"/>
    <cellStyle name="RowAcctAbovePrompt" xfId="4272" xr:uid="{00000000-0005-0000-0000-0000B0100000}"/>
    <cellStyle name="RowAcctAbovePrompt 2" xfId="4273" xr:uid="{00000000-0005-0000-0000-0000B1100000}"/>
    <cellStyle name="RowAcctSOBAbovePrompt" xfId="4274" xr:uid="{00000000-0005-0000-0000-0000B2100000}"/>
    <cellStyle name="RowAcctSOBAbovePrompt 2" xfId="4275" xr:uid="{00000000-0005-0000-0000-0000B3100000}"/>
    <cellStyle name="RowAcctSOBValue" xfId="4276" xr:uid="{00000000-0005-0000-0000-0000B4100000}"/>
    <cellStyle name="RowAcctSOBValue 2" xfId="4277" xr:uid="{00000000-0005-0000-0000-0000B5100000}"/>
    <cellStyle name="RowAcctValue" xfId="4278" xr:uid="{00000000-0005-0000-0000-0000B6100000}"/>
    <cellStyle name="RowAttrAbovePrompt" xfId="4279" xr:uid="{00000000-0005-0000-0000-0000B7100000}"/>
    <cellStyle name="RowAttrAbovePrompt 2" xfId="4280" xr:uid="{00000000-0005-0000-0000-0000B8100000}"/>
    <cellStyle name="RowAttrValue" xfId="4281" xr:uid="{00000000-0005-0000-0000-0000B9100000}"/>
    <cellStyle name="RowColSetAbovePrompt" xfId="4282" xr:uid="{00000000-0005-0000-0000-0000BA100000}"/>
    <cellStyle name="RowColSetAbovePrompt 2" xfId="4283" xr:uid="{00000000-0005-0000-0000-0000BB100000}"/>
    <cellStyle name="RowColSetLeftPrompt" xfId="4284" xr:uid="{00000000-0005-0000-0000-0000BC100000}"/>
    <cellStyle name="RowColSetLeftPrompt 2" xfId="4285" xr:uid="{00000000-0005-0000-0000-0000BD100000}"/>
    <cellStyle name="RowColSetValue" xfId="4286" xr:uid="{00000000-0005-0000-0000-0000BE100000}"/>
    <cellStyle name="RowLeftPrompt" xfId="4287" xr:uid="{00000000-0005-0000-0000-0000BF100000}"/>
    <cellStyle name="RowLeftPrompt 2" xfId="4288" xr:uid="{00000000-0005-0000-0000-0000C0100000}"/>
    <cellStyle name="s]_x000d__x000a_File Server=0x0004_x000d__x000a_NetModem/E=0x01CB_x000d__x000a_LanRover/E=0x01CC;0x079B_x000d__x000a_LanRover/T=0x01CD;0x079C_x000d__x000a_LanRov" xfId="4289" xr:uid="{00000000-0005-0000-0000-0000C1100000}"/>
    <cellStyle name="s]_x000d__x000a_load=_x000d__x000a_run=_x000d__x000a_NullPort=None_x000d__x000a_device=HP LaserJet 4 Plus,HPPCL5MS,LPT1:_x000d__x000a__x000d__x000a_[Desktop]_x000d__x000a_Wallpaper=(None)_x000d__x000a_TileWallpaper=" xfId="4290" xr:uid="{00000000-0005-0000-0000-0000C2100000}"/>
    <cellStyle name="s]_x000d__x000a_spooler=yes_x000d__x000a_load=nwpopup.exe,C:\MCAFEE\VIRUSCAN\VSHWIN.EXE P:\ACEWIN\PCALCPRO\pcalcpro.exe_x000d__x000a_rem run=c:\win\calenda" xfId="4291" xr:uid="{00000000-0005-0000-0000-0000C3100000}"/>
    <cellStyle name="Salomon Logo" xfId="4292" xr:uid="{00000000-0005-0000-0000-0000C4100000}"/>
    <cellStyle name="SampleUsingFormatMask" xfId="4293" xr:uid="{00000000-0005-0000-0000-0000C5100000}"/>
    <cellStyle name="SampleUsingFormatMask 2" xfId="4294" xr:uid="{00000000-0005-0000-0000-0000C6100000}"/>
    <cellStyle name="SampleWithNoFormatMask" xfId="4295" xr:uid="{00000000-0005-0000-0000-0000C7100000}"/>
    <cellStyle name="SampleWithNoFormatMask 2" xfId="4296" xr:uid="{00000000-0005-0000-0000-0000C8100000}"/>
    <cellStyle name="Separador de milhares_laroux" xfId="4297" xr:uid="{00000000-0005-0000-0000-0000C9100000}"/>
    <cellStyle name="Shaded (,0)" xfId="4298" xr:uid="{00000000-0005-0000-0000-0000CA100000}"/>
    <cellStyle name="Shaded bold grid (,0)" xfId="4299" xr:uid="{00000000-0005-0000-0000-0000CB100000}"/>
    <cellStyle name="Shaded grid (,0)" xfId="4300" xr:uid="{00000000-0005-0000-0000-0000CC100000}"/>
    <cellStyle name="Shaded LR (,0)" xfId="4301" xr:uid="{00000000-0005-0000-0000-0000CD100000}"/>
    <cellStyle name="SHADEDSTORES" xfId="4302" xr:uid="{00000000-0005-0000-0000-0000CE100000}"/>
    <cellStyle name="SHADEDSTORES 2" xfId="4303" xr:uid="{00000000-0005-0000-0000-0000CF100000}"/>
    <cellStyle name="SHADEDSTORES 3" xfId="4304" xr:uid="{00000000-0005-0000-0000-0000D0100000}"/>
    <cellStyle name="SHADEDSTORES 4" xfId="4305" xr:uid="{00000000-0005-0000-0000-0000D1100000}"/>
    <cellStyle name="SHADEDSTORES 5" xfId="4306" xr:uid="{00000000-0005-0000-0000-0000D2100000}"/>
    <cellStyle name="SHADEDSTORES 6" xfId="4307" xr:uid="{00000000-0005-0000-0000-0000D3100000}"/>
    <cellStyle name="SHADEDSTORES 7" xfId="4308" xr:uid="{00000000-0005-0000-0000-0000D4100000}"/>
    <cellStyle name="SHADEDSTORES 8" xfId="4309" xr:uid="{00000000-0005-0000-0000-0000D5100000}"/>
    <cellStyle name="Shading" xfId="4310" xr:uid="{00000000-0005-0000-0000-0000D6100000}"/>
    <cellStyle name="Short_date" xfId="4311" xr:uid="{00000000-0005-0000-0000-0000D7100000}"/>
    <cellStyle name="Single Accounting" xfId="4312" xr:uid="{00000000-0005-0000-0000-0000D8100000}"/>
    <cellStyle name="SingleLineAcctgn" xfId="4313" xr:uid="{00000000-0005-0000-0000-0000D9100000}"/>
    <cellStyle name="SingleLinePercent" xfId="4314" xr:uid="{00000000-0005-0000-0000-0000DA100000}"/>
    <cellStyle name="Source Line" xfId="4315" xr:uid="{00000000-0005-0000-0000-0000DB100000}"/>
    <cellStyle name="Speckled (,0)" xfId="4316" xr:uid="{00000000-0005-0000-0000-0000DC100000}"/>
    <cellStyle name="Speckled grid (,0)" xfId="4317" xr:uid="{00000000-0005-0000-0000-0000DD100000}"/>
    <cellStyle name="Speckled LR (,0)" xfId="4318" xr:uid="{00000000-0005-0000-0000-0000DE100000}"/>
    <cellStyle name="specstores" xfId="4319" xr:uid="{00000000-0005-0000-0000-0000DF100000}"/>
    <cellStyle name="specstores 2" xfId="4320" xr:uid="{00000000-0005-0000-0000-0000E0100000}"/>
    <cellStyle name="specstores 3" xfId="4321" xr:uid="{00000000-0005-0000-0000-0000E1100000}"/>
    <cellStyle name="specstores 4" xfId="4322" xr:uid="{00000000-0005-0000-0000-0000E2100000}"/>
    <cellStyle name="specstores 5" xfId="4323" xr:uid="{00000000-0005-0000-0000-0000E3100000}"/>
    <cellStyle name="specstores 6" xfId="4324" xr:uid="{00000000-0005-0000-0000-0000E4100000}"/>
    <cellStyle name="specstores 7" xfId="4325" xr:uid="{00000000-0005-0000-0000-0000E5100000}"/>
    <cellStyle name="specstores 8" xfId="4326" xr:uid="{00000000-0005-0000-0000-0000E6100000}"/>
    <cellStyle name="SPOl" xfId="4327" xr:uid="{00000000-0005-0000-0000-0000E7100000}"/>
    <cellStyle name="Standaard_Victor_Quarter-pack addition" xfId="4328" xr:uid="{00000000-0005-0000-0000-0000E8100000}"/>
    <cellStyle name="Standard_Budget 1999 MK" xfId="4329" xr:uid="{00000000-0005-0000-0000-0000E9100000}"/>
    <cellStyle name="Style 1" xfId="4330" xr:uid="{00000000-0005-0000-0000-0000EA100000}"/>
    <cellStyle name="Style 1 2" xfId="4331" xr:uid="{00000000-0005-0000-0000-0000EB100000}"/>
    <cellStyle name="Style 1 2 2" xfId="4332" xr:uid="{00000000-0005-0000-0000-0000EC100000}"/>
    <cellStyle name="Style 1 2 3" xfId="4333" xr:uid="{00000000-0005-0000-0000-0000ED100000}"/>
    <cellStyle name="Style 1 2 4" xfId="4334" xr:uid="{00000000-0005-0000-0000-0000EE100000}"/>
    <cellStyle name="Style 1 2_Top 20-IR" xfId="4335" xr:uid="{00000000-0005-0000-0000-0000EF100000}"/>
    <cellStyle name="Style 1 3" xfId="4336" xr:uid="{00000000-0005-0000-0000-0000F0100000}"/>
    <cellStyle name="Style 1 3 2" xfId="4337" xr:uid="{00000000-0005-0000-0000-0000F1100000}"/>
    <cellStyle name="Style 1 3 3" xfId="4338" xr:uid="{00000000-0005-0000-0000-0000F2100000}"/>
    <cellStyle name="Style 1 3 4" xfId="4339" xr:uid="{00000000-0005-0000-0000-0000F3100000}"/>
    <cellStyle name="Style 1 3_Top 20-IR" xfId="4340" xr:uid="{00000000-0005-0000-0000-0000F4100000}"/>
    <cellStyle name="Style 1 4" xfId="4341" xr:uid="{00000000-0005-0000-0000-0000F5100000}"/>
    <cellStyle name="Style 1 4 2" xfId="4342" xr:uid="{00000000-0005-0000-0000-0000F6100000}"/>
    <cellStyle name="Style 1 4 3" xfId="4343" xr:uid="{00000000-0005-0000-0000-0000F7100000}"/>
    <cellStyle name="Style 1 4 4" xfId="4344" xr:uid="{00000000-0005-0000-0000-0000F8100000}"/>
    <cellStyle name="Style 1 4_Top 20-IR" xfId="4345" xr:uid="{00000000-0005-0000-0000-0000F9100000}"/>
    <cellStyle name="Style 1 5" xfId="4346" xr:uid="{00000000-0005-0000-0000-0000FA100000}"/>
    <cellStyle name="Style 1 6" xfId="4347" xr:uid="{00000000-0005-0000-0000-0000FB100000}"/>
    <cellStyle name="Style 1 7" xfId="4348" xr:uid="{00000000-0005-0000-0000-0000FC100000}"/>
    <cellStyle name="Style 1 8" xfId="4349" xr:uid="{00000000-0005-0000-0000-0000FD100000}"/>
    <cellStyle name="Style 2" xfId="4350" xr:uid="{00000000-0005-0000-0000-0000FE100000}"/>
    <cellStyle name="Style 2 2" xfId="4351" xr:uid="{00000000-0005-0000-0000-0000FF100000}"/>
    <cellStyle name="Style 2 2 2" xfId="4352" xr:uid="{00000000-0005-0000-0000-000000110000}"/>
    <cellStyle name="Style 2 2 3" xfId="4353" xr:uid="{00000000-0005-0000-0000-000001110000}"/>
    <cellStyle name="Style 2 2 4" xfId="4354" xr:uid="{00000000-0005-0000-0000-000002110000}"/>
    <cellStyle name="Style 2 2_Top 20-IR" xfId="4355" xr:uid="{00000000-0005-0000-0000-000003110000}"/>
    <cellStyle name="Style 2 3" xfId="4356" xr:uid="{00000000-0005-0000-0000-000004110000}"/>
    <cellStyle name="Style 2 3 2" xfId="4357" xr:uid="{00000000-0005-0000-0000-000005110000}"/>
    <cellStyle name="Style 2 3 3" xfId="4358" xr:uid="{00000000-0005-0000-0000-000006110000}"/>
    <cellStyle name="Style 2 3 4" xfId="4359" xr:uid="{00000000-0005-0000-0000-000007110000}"/>
    <cellStyle name="Style 2 3_Top 20-IR" xfId="4360" xr:uid="{00000000-0005-0000-0000-000008110000}"/>
    <cellStyle name="Style 2 4" xfId="4361" xr:uid="{00000000-0005-0000-0000-000009110000}"/>
    <cellStyle name="Style 2 4 2" xfId="4362" xr:uid="{00000000-0005-0000-0000-00000A110000}"/>
    <cellStyle name="Style 2 4 3" xfId="4363" xr:uid="{00000000-0005-0000-0000-00000B110000}"/>
    <cellStyle name="Style 2 4 4" xfId="4364" xr:uid="{00000000-0005-0000-0000-00000C110000}"/>
    <cellStyle name="Style 2 4_Top 20-IR" xfId="4365" xr:uid="{00000000-0005-0000-0000-00000D110000}"/>
    <cellStyle name="Style 2 5" xfId="4366" xr:uid="{00000000-0005-0000-0000-00000E110000}"/>
    <cellStyle name="Style 2 6" xfId="4367" xr:uid="{00000000-0005-0000-0000-00000F110000}"/>
    <cellStyle name="Style 2 7" xfId="4368" xr:uid="{00000000-0005-0000-0000-000010110000}"/>
    <cellStyle name="Style 2 8" xfId="4369" xr:uid="{00000000-0005-0000-0000-000011110000}"/>
    <cellStyle name="Style 21" xfId="4370" xr:uid="{00000000-0005-0000-0000-000012110000}"/>
    <cellStyle name="Style 22" xfId="4371" xr:uid="{00000000-0005-0000-0000-000013110000}"/>
    <cellStyle name="Style 23" xfId="4372" xr:uid="{00000000-0005-0000-0000-000014110000}"/>
    <cellStyle name="Style 24" xfId="4373" xr:uid="{00000000-0005-0000-0000-000015110000}"/>
    <cellStyle name="Style 25" xfId="4374" xr:uid="{00000000-0005-0000-0000-000016110000}"/>
    <cellStyle name="Style 26" xfId="4375" xr:uid="{00000000-0005-0000-0000-000017110000}"/>
    <cellStyle name="Style 27" xfId="4376" xr:uid="{00000000-0005-0000-0000-000018110000}"/>
    <cellStyle name="Style 28" xfId="4377" xr:uid="{00000000-0005-0000-0000-000019110000}"/>
    <cellStyle name="Style 29" xfId="4378" xr:uid="{00000000-0005-0000-0000-00001A110000}"/>
    <cellStyle name="Style 3" xfId="4379" xr:uid="{00000000-0005-0000-0000-00001B110000}"/>
    <cellStyle name="Style 30" xfId="4380" xr:uid="{00000000-0005-0000-0000-00001C110000}"/>
    <cellStyle name="Style 31" xfId="4381" xr:uid="{00000000-0005-0000-0000-00001D110000}"/>
    <cellStyle name="Style 32" xfId="4382" xr:uid="{00000000-0005-0000-0000-00001E110000}"/>
    <cellStyle name="Style 33" xfId="4383" xr:uid="{00000000-0005-0000-0000-00001F110000}"/>
    <cellStyle name="Style 34" xfId="4384" xr:uid="{00000000-0005-0000-0000-000020110000}"/>
    <cellStyle name="Style 35" xfId="4385" xr:uid="{00000000-0005-0000-0000-000021110000}"/>
    <cellStyle name="Style 36" xfId="4386" xr:uid="{00000000-0005-0000-0000-000022110000}"/>
    <cellStyle name="Style 37" xfId="4387" xr:uid="{00000000-0005-0000-0000-000023110000}"/>
    <cellStyle name="Style 38" xfId="4388" xr:uid="{00000000-0005-0000-0000-000024110000}"/>
    <cellStyle name="Style 39" xfId="4389" xr:uid="{00000000-0005-0000-0000-000025110000}"/>
    <cellStyle name="Style 4" xfId="4390" xr:uid="{00000000-0005-0000-0000-000026110000}"/>
    <cellStyle name="Style 40" xfId="4391" xr:uid="{00000000-0005-0000-0000-000027110000}"/>
    <cellStyle name="Style 41" xfId="4392" xr:uid="{00000000-0005-0000-0000-000028110000}"/>
    <cellStyle name="Style 42" xfId="4393" xr:uid="{00000000-0005-0000-0000-000029110000}"/>
    <cellStyle name="Style 43" xfId="4394" xr:uid="{00000000-0005-0000-0000-00002A110000}"/>
    <cellStyle name="Style 44" xfId="4395" xr:uid="{00000000-0005-0000-0000-00002B110000}"/>
    <cellStyle name="Style 45" xfId="4396" xr:uid="{00000000-0005-0000-0000-00002C110000}"/>
    <cellStyle name="Style 46" xfId="4397" xr:uid="{00000000-0005-0000-0000-00002D110000}"/>
    <cellStyle name="STYLE1" xfId="4398" xr:uid="{00000000-0005-0000-0000-00002E110000}"/>
    <cellStyle name="style1 10" xfId="4399" xr:uid="{00000000-0005-0000-0000-00002F110000}"/>
    <cellStyle name="style1 11" xfId="4400" xr:uid="{00000000-0005-0000-0000-000030110000}"/>
    <cellStyle name="style1 12" xfId="4401" xr:uid="{00000000-0005-0000-0000-000031110000}"/>
    <cellStyle name="style1 13" xfId="4402" xr:uid="{00000000-0005-0000-0000-000032110000}"/>
    <cellStyle name="style1 14" xfId="4403" xr:uid="{00000000-0005-0000-0000-000033110000}"/>
    <cellStyle name="style1 15" xfId="4404" xr:uid="{00000000-0005-0000-0000-000034110000}"/>
    <cellStyle name="style1 16" xfId="4405" xr:uid="{00000000-0005-0000-0000-000035110000}"/>
    <cellStyle name="style1 17" xfId="4406" xr:uid="{00000000-0005-0000-0000-000036110000}"/>
    <cellStyle name="style1 18" xfId="4407" xr:uid="{00000000-0005-0000-0000-000037110000}"/>
    <cellStyle name="style1 19" xfId="4408" xr:uid="{00000000-0005-0000-0000-000038110000}"/>
    <cellStyle name="STYLE1 2" xfId="4409" xr:uid="{00000000-0005-0000-0000-000039110000}"/>
    <cellStyle name="style1 20" xfId="4410" xr:uid="{00000000-0005-0000-0000-00003A110000}"/>
    <cellStyle name="style1 21" xfId="4411" xr:uid="{00000000-0005-0000-0000-00003B110000}"/>
    <cellStyle name="style1 22" xfId="4412" xr:uid="{00000000-0005-0000-0000-00003C110000}"/>
    <cellStyle name="style1 23" xfId="4413" xr:uid="{00000000-0005-0000-0000-00003D110000}"/>
    <cellStyle name="style1 24" xfId="4414" xr:uid="{00000000-0005-0000-0000-00003E110000}"/>
    <cellStyle name="style1 25" xfId="4415" xr:uid="{00000000-0005-0000-0000-00003F110000}"/>
    <cellStyle name="style1 26" xfId="4416" xr:uid="{00000000-0005-0000-0000-000040110000}"/>
    <cellStyle name="style1 27" xfId="4417" xr:uid="{00000000-0005-0000-0000-000041110000}"/>
    <cellStyle name="style1 28" xfId="4418" xr:uid="{00000000-0005-0000-0000-000042110000}"/>
    <cellStyle name="style1 29" xfId="4419" xr:uid="{00000000-0005-0000-0000-000043110000}"/>
    <cellStyle name="STYLE1 3" xfId="4420" xr:uid="{00000000-0005-0000-0000-000044110000}"/>
    <cellStyle name="style1 30" xfId="4421" xr:uid="{00000000-0005-0000-0000-000045110000}"/>
    <cellStyle name="STYLE1 4" xfId="4422" xr:uid="{00000000-0005-0000-0000-000046110000}"/>
    <cellStyle name="STYLE1 5" xfId="4423" xr:uid="{00000000-0005-0000-0000-000047110000}"/>
    <cellStyle name="STYLE1 6" xfId="4424" xr:uid="{00000000-0005-0000-0000-000048110000}"/>
    <cellStyle name="style1 7" xfId="4425" xr:uid="{00000000-0005-0000-0000-000049110000}"/>
    <cellStyle name="style1 8" xfId="4426" xr:uid="{00000000-0005-0000-0000-00004A110000}"/>
    <cellStyle name="style1 9" xfId="4427" xr:uid="{00000000-0005-0000-0000-00004B110000}"/>
    <cellStyle name="STYLE1_Q208 Apples to Apples" xfId="4428" xr:uid="{00000000-0005-0000-0000-00004C110000}"/>
    <cellStyle name="STYLE2" xfId="4429" xr:uid="{00000000-0005-0000-0000-00004D110000}"/>
    <cellStyle name="STYLE2 2" xfId="4430" xr:uid="{00000000-0005-0000-0000-00004E110000}"/>
    <cellStyle name="STYLE2 3" xfId="4431" xr:uid="{00000000-0005-0000-0000-00004F110000}"/>
    <cellStyle name="STYLE2 4" xfId="4432" xr:uid="{00000000-0005-0000-0000-000050110000}"/>
    <cellStyle name="STYLE2 5" xfId="4433" xr:uid="{00000000-0005-0000-0000-000051110000}"/>
    <cellStyle name="STYLE2 6" xfId="4434" xr:uid="{00000000-0005-0000-0000-000052110000}"/>
    <cellStyle name="STYLE2_Q208 Apples to Apples" xfId="4435" xr:uid="{00000000-0005-0000-0000-000053110000}"/>
    <cellStyle name="STYLE3" xfId="4436" xr:uid="{00000000-0005-0000-0000-000054110000}"/>
    <cellStyle name="STYLE4" xfId="4437" xr:uid="{00000000-0005-0000-0000-000055110000}"/>
    <cellStyle name="STYLE5" xfId="4438" xr:uid="{00000000-0005-0000-0000-000056110000}"/>
    <cellStyle name="subhead" xfId="4439" xr:uid="{00000000-0005-0000-0000-000057110000}"/>
    <cellStyle name="Sub-heading" xfId="4440" xr:uid="{00000000-0005-0000-0000-000058110000}"/>
    <cellStyle name="Sub-heading 2" xfId="4441" xr:uid="{00000000-0005-0000-0000-000059110000}"/>
    <cellStyle name="subT ($0)" xfId="4442" xr:uid="{00000000-0005-0000-0000-00005A110000}"/>
    <cellStyle name="subT (,0)" xfId="4443" xr:uid="{00000000-0005-0000-0000-00005B110000}"/>
    <cellStyle name="Subtotal" xfId="4444" xr:uid="{00000000-0005-0000-0000-00005C110000}"/>
    <cellStyle name="Subtotal 10" xfId="4445" xr:uid="{00000000-0005-0000-0000-00005D110000}"/>
    <cellStyle name="Subtotal 11" xfId="4446" xr:uid="{00000000-0005-0000-0000-00005E110000}"/>
    <cellStyle name="Subtotal 2" xfId="4447" xr:uid="{00000000-0005-0000-0000-00005F110000}"/>
    <cellStyle name="Subtotal 3" xfId="4448" xr:uid="{00000000-0005-0000-0000-000060110000}"/>
    <cellStyle name="Subtotal 4" xfId="4449" xr:uid="{00000000-0005-0000-0000-000061110000}"/>
    <cellStyle name="Subtotal 5" xfId="4450" xr:uid="{00000000-0005-0000-0000-000062110000}"/>
    <cellStyle name="Subtotal 6" xfId="4451" xr:uid="{00000000-0005-0000-0000-000063110000}"/>
    <cellStyle name="Subtotal 7" xfId="4452" xr:uid="{00000000-0005-0000-0000-000064110000}"/>
    <cellStyle name="Subtotal 8" xfId="4453" xr:uid="{00000000-0005-0000-0000-000065110000}"/>
    <cellStyle name="Subtotal 9" xfId="4454" xr:uid="{00000000-0005-0000-0000-000066110000}"/>
    <cellStyle name="Table Head" xfId="4455" xr:uid="{00000000-0005-0000-0000-000067110000}"/>
    <cellStyle name="Table Head Aligned" xfId="4456" xr:uid="{00000000-0005-0000-0000-000068110000}"/>
    <cellStyle name="Table Head Blue" xfId="4457" xr:uid="{00000000-0005-0000-0000-000069110000}"/>
    <cellStyle name="Table Head Green" xfId="4458" xr:uid="{00000000-0005-0000-0000-00006A110000}"/>
    <cellStyle name="Table Head_ACCC" xfId="4459" xr:uid="{00000000-0005-0000-0000-00006B110000}"/>
    <cellStyle name="Table Heading" xfId="4460" xr:uid="{00000000-0005-0000-0000-00006C110000}"/>
    <cellStyle name="Table Source" xfId="4461" xr:uid="{00000000-0005-0000-0000-00006D110000}"/>
    <cellStyle name="Table Text" xfId="4462" xr:uid="{00000000-0005-0000-0000-00006E110000}"/>
    <cellStyle name="Table Title" xfId="4463" xr:uid="{00000000-0005-0000-0000-00006F110000}"/>
    <cellStyle name="Table Units" xfId="4464" xr:uid="{00000000-0005-0000-0000-000070110000}"/>
    <cellStyle name="Table_Header" xfId="4465" xr:uid="{00000000-0005-0000-0000-000071110000}"/>
    <cellStyle name="TableBody" xfId="4466" xr:uid="{00000000-0005-0000-0000-000072110000}"/>
    <cellStyle name="TableBodyR" xfId="4467" xr:uid="{00000000-0005-0000-0000-000073110000}"/>
    <cellStyle name="TableColHeads" xfId="4468" xr:uid="{00000000-0005-0000-0000-000074110000}"/>
    <cellStyle name="TableStyleLight1" xfId="4469" xr:uid="{00000000-0005-0000-0000-000075110000}"/>
    <cellStyle name="Text" xfId="4470" xr:uid="{00000000-0005-0000-0000-000076110000}"/>
    <cellStyle name="Text 1" xfId="4471" xr:uid="{00000000-0005-0000-0000-000077110000}"/>
    <cellStyle name="Text 2" xfId="4472" xr:uid="{00000000-0005-0000-0000-000078110000}"/>
    <cellStyle name="Text Head" xfId="4473" xr:uid="{00000000-0005-0000-0000-000079110000}"/>
    <cellStyle name="Text Head 1" xfId="4474" xr:uid="{00000000-0005-0000-0000-00007A110000}"/>
    <cellStyle name="Text Head 2" xfId="4475" xr:uid="{00000000-0005-0000-0000-00007B110000}"/>
    <cellStyle name="Text Indent 1" xfId="4476" xr:uid="{00000000-0005-0000-0000-00007C110000}"/>
    <cellStyle name="Text Indent 2" xfId="4477" xr:uid="{00000000-0005-0000-0000-00007D110000}"/>
    <cellStyle name="Text Indent A" xfId="4478" xr:uid="{00000000-0005-0000-0000-00007E110000}"/>
    <cellStyle name="Text Indent B" xfId="4479" xr:uid="{00000000-0005-0000-0000-00007F110000}"/>
    <cellStyle name="Text Indent B 10" xfId="4480" xr:uid="{00000000-0005-0000-0000-000080110000}"/>
    <cellStyle name="Text Indent B 11" xfId="4481" xr:uid="{00000000-0005-0000-0000-000081110000}"/>
    <cellStyle name="Text Indent B 2" xfId="4482" xr:uid="{00000000-0005-0000-0000-000082110000}"/>
    <cellStyle name="Text Indent B 3" xfId="4483" xr:uid="{00000000-0005-0000-0000-000083110000}"/>
    <cellStyle name="Text Indent B 4" xfId="4484" xr:uid="{00000000-0005-0000-0000-000084110000}"/>
    <cellStyle name="Text Indent B 5" xfId="4485" xr:uid="{00000000-0005-0000-0000-000085110000}"/>
    <cellStyle name="Text Indent B 6" xfId="4486" xr:uid="{00000000-0005-0000-0000-000086110000}"/>
    <cellStyle name="Text Indent B 7" xfId="4487" xr:uid="{00000000-0005-0000-0000-000087110000}"/>
    <cellStyle name="Text Indent B 8" xfId="4488" xr:uid="{00000000-0005-0000-0000-000088110000}"/>
    <cellStyle name="Text Indent B 9" xfId="4489" xr:uid="{00000000-0005-0000-0000-000089110000}"/>
    <cellStyle name="Text Indent C" xfId="4490" xr:uid="{00000000-0005-0000-0000-00008A110000}"/>
    <cellStyle name="Text Indent C 10" xfId="4491" xr:uid="{00000000-0005-0000-0000-00008B110000}"/>
    <cellStyle name="Text Indent C 11" xfId="4492" xr:uid="{00000000-0005-0000-0000-00008C110000}"/>
    <cellStyle name="Text Indent C 2" xfId="4493" xr:uid="{00000000-0005-0000-0000-00008D110000}"/>
    <cellStyle name="Text Indent C 3" xfId="4494" xr:uid="{00000000-0005-0000-0000-00008E110000}"/>
    <cellStyle name="Text Indent C 4" xfId="4495" xr:uid="{00000000-0005-0000-0000-00008F110000}"/>
    <cellStyle name="Text Indent C 5" xfId="4496" xr:uid="{00000000-0005-0000-0000-000090110000}"/>
    <cellStyle name="Text Indent C 6" xfId="4497" xr:uid="{00000000-0005-0000-0000-000091110000}"/>
    <cellStyle name="Text Indent C 7" xfId="4498" xr:uid="{00000000-0005-0000-0000-000092110000}"/>
    <cellStyle name="Text Indent C 8" xfId="4499" xr:uid="{00000000-0005-0000-0000-000093110000}"/>
    <cellStyle name="Text Indent C 9" xfId="4500" xr:uid="{00000000-0005-0000-0000-000094110000}"/>
    <cellStyle name="þ_x001d_ð7_x000c_îþ_x0017__x000d_àþV_x0001_?_x0011_#S_x0007__x0001__x0001_" xfId="4501" xr:uid="{00000000-0005-0000-0000-000095110000}"/>
    <cellStyle name="þ_x001d_ðB_x000a__x000a_ÿ_x0012__x000d_ÝþU_x0001_m_x0006__x0016__x0007__x0001__x0001_" xfId="4502" xr:uid="{00000000-0005-0000-0000-000096110000}"/>
    <cellStyle name="þ_x001d_ðB_x000a__x000a_ÿ_x0012__x000d_ÝþU_x0001_m_x0006_ž_x0016__x0007__x0001__x0001_" xfId="4503" xr:uid="{00000000-0005-0000-0000-000097110000}"/>
    <cellStyle name="Tickmark" xfId="4504" xr:uid="{00000000-0005-0000-0000-000098110000}"/>
    <cellStyle name="Times 10" xfId="4505" xr:uid="{00000000-0005-0000-0000-000099110000}"/>
    <cellStyle name="Times 12" xfId="4506" xr:uid="{00000000-0005-0000-0000-00009A110000}"/>
    <cellStyle name="Title - bold dutch8" xfId="4507" xr:uid="{00000000-0005-0000-0000-00009B110000}"/>
    <cellStyle name="Title - Underline" xfId="4508" xr:uid="{00000000-0005-0000-0000-00009C110000}"/>
    <cellStyle name="Title 2" xfId="4509" xr:uid="{00000000-0005-0000-0000-00009D110000}"/>
    <cellStyle name="Title Case" xfId="4510" xr:uid="{00000000-0005-0000-0000-00009E110000}"/>
    <cellStyle name="Title Line" xfId="4511" xr:uid="{00000000-0005-0000-0000-00009F110000}"/>
    <cellStyle name="Title Major" xfId="4512" xr:uid="{00000000-0005-0000-0000-0000A0110000}"/>
    <cellStyle name="Title Sheet" xfId="4513" xr:uid="{00000000-0005-0000-0000-0000A1110000}"/>
    <cellStyle name="Titles - Other" xfId="4514" xr:uid="{00000000-0005-0000-0000-0000A2110000}"/>
    <cellStyle name="TOC 1" xfId="4515" xr:uid="{00000000-0005-0000-0000-0000A3110000}"/>
    <cellStyle name="TOC 2" xfId="4516" xr:uid="{00000000-0005-0000-0000-0000A4110000}"/>
    <cellStyle name="Top Row" xfId="4517" xr:uid="{00000000-0005-0000-0000-0000A5110000}"/>
    <cellStyle name="Top_Double_Bottom" xfId="4518" xr:uid="{00000000-0005-0000-0000-0000A6110000}"/>
    <cellStyle name="Topline" xfId="4519" xr:uid="{00000000-0005-0000-0000-0000A7110000}"/>
    <cellStyle name="Total 2" xfId="4520" xr:uid="{00000000-0005-0000-0000-0000A8110000}"/>
    <cellStyle name="Total 3" xfId="4521" xr:uid="{00000000-0005-0000-0000-0000A9110000}"/>
    <cellStyle name="Total 4" xfId="4522" xr:uid="{00000000-0005-0000-0000-0000AA110000}"/>
    <cellStyle name="Total 5" xfId="4523" xr:uid="{00000000-0005-0000-0000-0000AB110000}"/>
    <cellStyle name="Total 6" xfId="4524" xr:uid="{00000000-0005-0000-0000-0000AC110000}"/>
    <cellStyle name="Total 7" xfId="4525" xr:uid="{00000000-0005-0000-0000-0000AD110000}"/>
    <cellStyle name="Total 8" xfId="4526" xr:uid="{00000000-0005-0000-0000-0000AE110000}"/>
    <cellStyle name="Total Currency" xfId="4527" xr:uid="{00000000-0005-0000-0000-0000AF110000}"/>
    <cellStyle name="Total Major" xfId="4528" xr:uid="{00000000-0005-0000-0000-0000B0110000}"/>
    <cellStyle name="Total Major No Line" xfId="4529" xr:uid="{00000000-0005-0000-0000-0000B1110000}"/>
    <cellStyle name="Total Minor" xfId="4530" xr:uid="{00000000-0005-0000-0000-0000B2110000}"/>
    <cellStyle name="Total Normal" xfId="4531" xr:uid="{00000000-0005-0000-0000-0000B3110000}"/>
    <cellStyle name="Total number style" xfId="4532" xr:uid="{00000000-0005-0000-0000-0000B4110000}"/>
    <cellStyle name="Total Row" xfId="4533" xr:uid="{00000000-0005-0000-0000-0000B5110000}"/>
    <cellStyle name="Total1 - Style1" xfId="4534" xr:uid="{00000000-0005-0000-0000-0000B6110000}"/>
    <cellStyle name="TotalCurrency" xfId="4535" xr:uid="{00000000-0005-0000-0000-0000B7110000}"/>
    <cellStyle name="TrueFalse_Determination" xfId="4536" xr:uid="{00000000-0005-0000-0000-0000B8110000}"/>
    <cellStyle name="ubordinated Debt" xfId="4537" xr:uid="{00000000-0005-0000-0000-0000B9110000}"/>
    <cellStyle name="Undefiniert" xfId="4538" xr:uid="{00000000-0005-0000-0000-0000BA110000}"/>
    <cellStyle name="Underline_Double" xfId="4539" xr:uid="{00000000-0005-0000-0000-0000BB110000}"/>
    <cellStyle name="Unix" xfId="4540" xr:uid="{00000000-0005-0000-0000-0000BC110000}"/>
    <cellStyle name="Unix Batch File" xfId="4541" xr:uid="{00000000-0005-0000-0000-0000BD110000}"/>
    <cellStyle name="UploadThisRowValue" xfId="4542" xr:uid="{00000000-0005-0000-0000-0000BE110000}"/>
    <cellStyle name="UploadThisRowValue 2" xfId="4543" xr:uid="{00000000-0005-0000-0000-0000BF110000}"/>
    <cellStyle name="Value_QMS" xfId="4544" xr:uid="{00000000-0005-0000-0000-0000C0110000}"/>
    <cellStyle name="Volume" xfId="4545" xr:uid="{00000000-0005-0000-0000-0000C1110000}"/>
    <cellStyle name="Währung [0]_Budget 1999 MK" xfId="4546" xr:uid="{00000000-0005-0000-0000-0000C2110000}"/>
    <cellStyle name="Währung_Budget 1999 MK" xfId="4547" xr:uid="{00000000-0005-0000-0000-0000C3110000}"/>
    <cellStyle name="Warning Text 2" xfId="4548" xr:uid="{00000000-0005-0000-0000-0000C4110000}"/>
    <cellStyle name="WhiteCells" xfId="4549" xr:uid="{00000000-0005-0000-0000-0000C5110000}"/>
    <cellStyle name="worksheet" xfId="4550" xr:uid="{00000000-0005-0000-0000-0000C6110000}"/>
    <cellStyle name="Wrap Text" xfId="4551" xr:uid="{00000000-0005-0000-0000-0000C7110000}"/>
    <cellStyle name="x" xfId="4552" xr:uid="{00000000-0005-0000-0000-0000C8110000}"/>
    <cellStyle name="x [1]" xfId="4553" xr:uid="{00000000-0005-0000-0000-0000C9110000}"/>
    <cellStyle name="year" xfId="4554" xr:uid="{00000000-0005-0000-0000-0000CA110000}"/>
    <cellStyle name="Yen" xfId="4555" xr:uid="{00000000-0005-0000-0000-0000CB110000}"/>
    <cellStyle name="Гиперссылка_Se@SS costs-83 peop" xfId="4556" xr:uid="{00000000-0005-0000-0000-0000CC110000}"/>
    <cellStyle name="Обычный_Schedule for Investments 2001" xfId="4557" xr:uid="{00000000-0005-0000-0000-0000CD110000}"/>
    <cellStyle name="ハイパーリンク" xfId="4558" xr:uid="{00000000-0005-0000-0000-0000CE110000}"/>
    <cellStyle name="표준_Weekly forecast_0527" xfId="4559" xr:uid="{00000000-0005-0000-0000-0000CF110000}"/>
    <cellStyle name="一般_~7769895" xfId="4560" xr:uid="{00000000-0005-0000-0000-0000D0110000}"/>
    <cellStyle name="中等" xfId="4561" xr:uid="{00000000-0005-0000-0000-0000D1110000}"/>
    <cellStyle name="備註" xfId="4562" xr:uid="{00000000-0005-0000-0000-0000D2110000}"/>
    <cellStyle name="千位分隔_Sheet1" xfId="4563" xr:uid="{00000000-0005-0000-0000-0000D3110000}"/>
    <cellStyle name="千分位[0]_RESULTS" xfId="4564" xr:uid="{00000000-0005-0000-0000-0000D4110000}"/>
    <cellStyle name="千分位_RESULTS" xfId="4565" xr:uid="{00000000-0005-0000-0000-0000D5110000}"/>
    <cellStyle name="合計" xfId="4566" xr:uid="{00000000-0005-0000-0000-0000D6110000}"/>
    <cellStyle name="壞" xfId="4567" xr:uid="{00000000-0005-0000-0000-0000D7110000}"/>
    <cellStyle name="好" xfId="4568" xr:uid="{00000000-0005-0000-0000-0000D8110000}"/>
    <cellStyle name="常规 2" xfId="4569" xr:uid="{00000000-0005-0000-0000-0000D9110000}"/>
    <cellStyle name="常规 3" xfId="4570" xr:uid="{00000000-0005-0000-0000-0000DA110000}"/>
    <cellStyle name="常规_Sheet1" xfId="4571" xr:uid="{00000000-0005-0000-0000-0000DB110000}"/>
    <cellStyle name="桁区切り [0.00]_APJ_Forecast_Template0801" xfId="4572" xr:uid="{00000000-0005-0000-0000-0000DC110000}"/>
    <cellStyle name="桁区切り_book1" xfId="4573" xr:uid="{00000000-0005-0000-0000-0000DD110000}"/>
    <cellStyle name="標準_APJ_Forecast_Template0801" xfId="4574" xr:uid="{00000000-0005-0000-0000-0000DE110000}"/>
    <cellStyle name="標題" xfId="4575" xr:uid="{00000000-0005-0000-0000-0000DF110000}"/>
    <cellStyle name="標題 1" xfId="4576" xr:uid="{00000000-0005-0000-0000-0000E0110000}"/>
    <cellStyle name="標題 2" xfId="4577" xr:uid="{00000000-0005-0000-0000-0000E1110000}"/>
    <cellStyle name="標題 3" xfId="4578" xr:uid="{00000000-0005-0000-0000-0000E2110000}"/>
    <cellStyle name="標題 4" xfId="4579" xr:uid="{00000000-0005-0000-0000-0000E3110000}"/>
    <cellStyle name="檢查儲存格" xfId="4580" xr:uid="{00000000-0005-0000-0000-0000E4110000}"/>
    <cellStyle name="表示済みのハイパーリンク" xfId="4581" xr:uid="{00000000-0005-0000-0000-0000E5110000}"/>
    <cellStyle name="計算方式" xfId="4582" xr:uid="{00000000-0005-0000-0000-0000E6110000}"/>
    <cellStyle name="說明文字" xfId="4583" xr:uid="{00000000-0005-0000-0000-0000E7110000}"/>
    <cellStyle name="警告文字" xfId="4584" xr:uid="{00000000-0005-0000-0000-0000E8110000}"/>
    <cellStyle name="貨幣 [0]_RESULTS" xfId="4585" xr:uid="{00000000-0005-0000-0000-0000E9110000}"/>
    <cellStyle name="貨幣_RESULTS" xfId="4586" xr:uid="{00000000-0005-0000-0000-0000EA110000}"/>
    <cellStyle name="货币 2" xfId="4587" xr:uid="{00000000-0005-0000-0000-0000EB110000}"/>
    <cellStyle name="輔色1" xfId="4588" xr:uid="{00000000-0005-0000-0000-0000EC110000}"/>
    <cellStyle name="輔色2" xfId="4589" xr:uid="{00000000-0005-0000-0000-0000ED110000}"/>
    <cellStyle name="輔色3" xfId="4590" xr:uid="{00000000-0005-0000-0000-0000EE110000}"/>
    <cellStyle name="輔色4" xfId="4591" xr:uid="{00000000-0005-0000-0000-0000EF110000}"/>
    <cellStyle name="輔色5" xfId="4592" xr:uid="{00000000-0005-0000-0000-0000F0110000}"/>
    <cellStyle name="輔色6" xfId="4593" xr:uid="{00000000-0005-0000-0000-0000F1110000}"/>
    <cellStyle name="輸入" xfId="4594" xr:uid="{00000000-0005-0000-0000-0000F2110000}"/>
    <cellStyle name="輸出" xfId="4595" xr:uid="{00000000-0005-0000-0000-0000F3110000}"/>
    <cellStyle name="通貨 [0.00]_book1" xfId="4596" xr:uid="{00000000-0005-0000-0000-0000F4110000}"/>
    <cellStyle name="通貨_book1" xfId="4597" xr:uid="{00000000-0005-0000-0000-0000F5110000}"/>
    <cellStyle name="連結的儲存格" xfId="4598" xr:uid="{00000000-0005-0000-0000-0000F6110000}"/>
  </cellStyles>
  <dxfs count="0"/>
  <tableStyles count="0" defaultTableStyle="TableStyleMedium9" defaultPivotStyle="PivotStyleLight16"/>
  <colors>
    <mruColors>
      <color rgb="FFCCFFCC"/>
      <color rgb="FF0070C0"/>
      <color rgb="FFFFFFCC"/>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Methodology!$B$31</c:f>
              <c:strCache>
                <c:ptCount val="1"/>
                <c:pt idx="0">
                  <c:v>DWDM Network bandwidth</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Methodology!$C$31:$X$31</c:f>
              <c:numCache>
                <c:formatCode>0%</c:formatCode>
                <c:ptCount val="22"/>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0.54001448252248263</c:v>
                </c:pt>
                <c:pt idx="10">
                  <c:v>0.43822789139532881</c:v>
                </c:pt>
                <c:pt idx="11">
                  <c:v>0.39453901742709951</c:v>
                </c:pt>
                <c:pt idx="12">
                  <c:v>0.37386496484692233</c:v>
                </c:pt>
                <c:pt idx="13">
                  <c:v>0.53489477926419249</c:v>
                </c:pt>
                <c:pt idx="14">
                  <c:v>0.49253313836017454</c:v>
                </c:pt>
                <c:pt idx="15">
                  <c:v>0.39377600906102006</c:v>
                </c:pt>
                <c:pt idx="16">
                  <c:v>0.31049563731589713</c:v>
                </c:pt>
                <c:pt idx="17">
                  <c:v>0.34540569725506987</c:v>
                </c:pt>
                <c:pt idx="18">
                  <c:v>0.38530341795802947</c:v>
                </c:pt>
                <c:pt idx="19">
                  <c:v>0.41389984915552258</c:v>
                </c:pt>
                <c:pt idx="20">
                  <c:v>0.39971849173314422</c:v>
                </c:pt>
                <c:pt idx="21">
                  <c:v>0.37682865052460768</c:v>
                </c:pt>
              </c:numCache>
            </c:numRef>
          </c:val>
          <c:smooth val="1"/>
          <c:extLst>
            <c:ext xmlns:c16="http://schemas.microsoft.com/office/drawing/2014/chart" uri="{C3380CC4-5D6E-409C-BE32-E72D297353CC}">
              <c16:uniqueId val="{00000000-601A-7D4C-871A-966DC2352611}"/>
            </c:ext>
          </c:extLst>
        </c:ser>
        <c:ser>
          <c:idx val="1"/>
          <c:order val="1"/>
          <c:tx>
            <c:strRef>
              <c:f>Methodology!$B$29</c:f>
              <c:strCache>
                <c:ptCount val="1"/>
                <c:pt idx="0">
                  <c:v>Internet Traffic</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Methodology!$C$29:$X$29</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601A-7D4C-871A-966DC2352611}"/>
            </c:ext>
          </c:extLst>
        </c:ser>
        <c:dLbls>
          <c:showLegendKey val="0"/>
          <c:showVal val="0"/>
          <c:showCatName val="0"/>
          <c:showSerName val="0"/>
          <c:showPercent val="0"/>
          <c:showBubbleSize val="0"/>
        </c:dLbls>
        <c:marker val="1"/>
        <c:smooth val="0"/>
        <c:axId val="148932480"/>
        <c:axId val="148934016"/>
      </c:lineChart>
      <c:catAx>
        <c:axId val="148932480"/>
        <c:scaling>
          <c:orientation val="minMax"/>
        </c:scaling>
        <c:delete val="0"/>
        <c:axPos val="b"/>
        <c:numFmt formatCode="General" sourceLinked="1"/>
        <c:majorTickMark val="out"/>
        <c:minorTickMark val="none"/>
        <c:tickLblPos val="nextTo"/>
        <c:txPr>
          <a:bodyPr rot="-5400000" vert="horz"/>
          <a:lstStyle/>
          <a:p>
            <a:pPr>
              <a:defRPr sz="1000"/>
            </a:pPr>
            <a:endParaRPr lang="en-US"/>
          </a:p>
        </c:txPr>
        <c:crossAx val="148934016"/>
        <c:crosses val="autoZero"/>
        <c:auto val="1"/>
        <c:lblAlgn val="ctr"/>
        <c:lblOffset val="100"/>
        <c:tickLblSkip val="1"/>
        <c:noMultiLvlLbl val="1"/>
      </c:catAx>
      <c:valAx>
        <c:axId val="148934016"/>
        <c:scaling>
          <c:orientation val="minMax"/>
        </c:scaling>
        <c:delete val="0"/>
        <c:axPos val="l"/>
        <c:majorGridlines/>
        <c:title>
          <c:tx>
            <c:rich>
              <a:bodyPr rot="-5400000" vert="horz"/>
              <a:lstStyle/>
              <a:p>
                <a:pPr>
                  <a:defRPr sz="1200" b="0"/>
                </a:pPr>
                <a:r>
                  <a:rPr lang="en-US" sz="1200" b="0"/>
                  <a:t>Growth rate (%)</a:t>
                </a:r>
              </a:p>
            </c:rich>
          </c:tx>
          <c:layout>
            <c:manualLayout>
              <c:xMode val="edge"/>
              <c:yMode val="edge"/>
              <c:x val="1.6312658430272697E-2"/>
              <c:y val="0.28376338486723557"/>
            </c:manualLayout>
          </c:layout>
          <c:overlay val="0"/>
        </c:title>
        <c:numFmt formatCode="0%" sourceLinked="1"/>
        <c:majorTickMark val="out"/>
        <c:minorTickMark val="none"/>
        <c:tickLblPos val="nextTo"/>
        <c:txPr>
          <a:bodyPr/>
          <a:lstStyle/>
          <a:p>
            <a:pPr>
              <a:defRPr sz="1050"/>
            </a:pPr>
            <a:endParaRPr lang="en-US"/>
          </a:p>
        </c:txPr>
        <c:crossAx val="148932480"/>
        <c:crosses val="autoZero"/>
        <c:crossBetween val="between"/>
      </c:valAx>
    </c:plotArea>
    <c:legend>
      <c:legendPos val="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3417125594484"/>
          <c:y val="6.7592552649642895E-2"/>
          <c:w val="0.80449259772789927"/>
          <c:h val="0.80856117842969721"/>
        </c:manualLayout>
      </c:layout>
      <c:lineChart>
        <c:grouping val="standard"/>
        <c:varyColors val="0"/>
        <c:ser>
          <c:idx val="1"/>
          <c:order val="0"/>
          <c:tx>
            <c:strRef>
              <c:f>Summary!$B$419</c:f>
              <c:strCache>
                <c:ptCount val="1"/>
                <c:pt idx="0">
                  <c:v>10G</c:v>
                </c:pt>
              </c:strCache>
            </c:strRef>
          </c:tx>
          <c:spPr>
            <a:ln>
              <a:solidFill>
                <a:schemeClr val="accent1"/>
              </a:solidFill>
            </a:ln>
          </c:spPr>
          <c:marker>
            <c:symbol val="diamond"/>
            <c:size val="7"/>
            <c:spPr>
              <a:solidFill>
                <a:schemeClr val="accent1"/>
              </a:solidFill>
              <a:ln>
                <a:solidFill>
                  <a:schemeClr val="accent1"/>
                </a:solidFill>
              </a:ln>
            </c:spPr>
          </c:marker>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Summary!$C$419:$M$419</c:f>
              <c:numCache>
                <c:formatCode>_(* #,##0_);_(* \(#,##0\);_(* "-"??_);_(@_)</c:formatCode>
                <c:ptCount val="11"/>
                <c:pt idx="0">
                  <c:v>22020505.100000001</c:v>
                </c:pt>
                <c:pt idx="1">
                  <c:v>18620039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52E0-D647-9968-772B5637580E}"/>
            </c:ext>
          </c:extLst>
        </c:ser>
        <c:ser>
          <c:idx val="0"/>
          <c:order val="1"/>
          <c:tx>
            <c:strRef>
              <c:f>Summary!$B$420</c:f>
              <c:strCache>
                <c:ptCount val="1"/>
                <c:pt idx="0">
                  <c:v>25G</c:v>
                </c:pt>
              </c:strCache>
            </c:strRef>
          </c:tx>
          <c:spPr>
            <a:ln>
              <a:solidFill>
                <a:schemeClr val="accent2"/>
              </a:solidFill>
            </a:ln>
          </c:spPr>
          <c:marker>
            <c:symbol val="square"/>
            <c:size val="5"/>
            <c:spPr>
              <a:solidFill>
                <a:schemeClr val="accent2"/>
              </a:solidFill>
              <a:ln>
                <a:solidFill>
                  <a:schemeClr val="accent2"/>
                </a:solidFill>
              </a:ln>
            </c:spPr>
          </c:marker>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Summary!$C$420:$M$420</c:f>
              <c:numCache>
                <c:formatCode>_(* #,##0_);_(* \(#,##0\);_(* "-"??_);_(@_)</c:formatCode>
                <c:ptCount val="11"/>
                <c:pt idx="0">
                  <c:v>375687</c:v>
                </c:pt>
                <c:pt idx="1">
                  <c:v>728184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52E0-D647-9968-772B5637580E}"/>
            </c:ext>
          </c:extLst>
        </c:ser>
        <c:ser>
          <c:idx val="4"/>
          <c:order val="2"/>
          <c:tx>
            <c:strRef>
              <c:f>Summary!$B$421</c:f>
              <c:strCache>
                <c:ptCount val="1"/>
                <c:pt idx="0">
                  <c:v>40G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Summary!$C$421:$M$421</c:f>
              <c:numCache>
                <c:formatCode>_(* #,##0_);_(* \(#,##0\);_(* "-"??_);_(@_)</c:formatCode>
                <c:ptCount val="11"/>
                <c:pt idx="0">
                  <c:v>3027900.7525500003</c:v>
                </c:pt>
                <c:pt idx="1">
                  <c:v>2689780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2E0-D647-9968-772B5637580E}"/>
            </c:ext>
          </c:extLst>
        </c:ser>
        <c:ser>
          <c:idx val="2"/>
          <c:order val="3"/>
          <c:tx>
            <c:strRef>
              <c:f>Summary!$B$422</c:f>
              <c:strCache>
                <c:ptCount val="1"/>
                <c:pt idx="0">
                  <c:v>50G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Summary!$C$422:$M$422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52E0-D647-9968-772B5637580E}"/>
            </c:ext>
          </c:extLst>
        </c:ser>
        <c:ser>
          <c:idx val="6"/>
          <c:order val="4"/>
          <c:tx>
            <c:strRef>
              <c:f>Summary!$B$423</c:f>
              <c:strCache>
                <c:ptCount val="1"/>
                <c:pt idx="0">
                  <c:v>100G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Summary!$C$423:$M$423</c:f>
              <c:numCache>
                <c:formatCode>_(* #,##0_);_(* \(#,##0\);_(* "-"??_);_(@_)</c:formatCode>
                <c:ptCount val="11"/>
                <c:pt idx="0">
                  <c:v>6187018.7366946787</c:v>
                </c:pt>
                <c:pt idx="1">
                  <c:v>7908341.8911414724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2E0-D647-9968-772B5637580E}"/>
            </c:ext>
          </c:extLst>
        </c:ser>
        <c:ser>
          <c:idx val="3"/>
          <c:order val="5"/>
          <c:tx>
            <c:strRef>
              <c:f>Summary!$B$424</c:f>
              <c:strCache>
                <c:ptCount val="1"/>
                <c:pt idx="0">
                  <c:v>200G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Summary!$C$424:$M$424</c:f>
              <c:numCache>
                <c:formatCode>_(* #,##0_);_(* \(#,##0\);_(* "-"??_);_(@_)</c:formatCode>
                <c:ptCount val="11"/>
                <c:pt idx="0">
                  <c:v>1000</c:v>
                </c:pt>
                <c:pt idx="1">
                  <c:v>11072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5-52E0-D647-9968-772B5637580E}"/>
            </c:ext>
          </c:extLst>
        </c:ser>
        <c:ser>
          <c:idx val="5"/>
          <c:order val="6"/>
          <c:tx>
            <c:strRef>
              <c:f>Summary!$B$425</c:f>
              <c:strCache>
                <c:ptCount val="1"/>
                <c:pt idx="0">
                  <c:v>400G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Summary!$C$425:$M$425</c:f>
              <c:numCache>
                <c:formatCode>_(* #,##0_);_(* \(#,##0\);_(* "-"??_);_(@_)</c:formatCode>
                <c:ptCount val="11"/>
                <c:pt idx="0">
                  <c:v>39000</c:v>
                </c:pt>
                <c:pt idx="1">
                  <c:v>146655.62637362638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F94-C442-88A9-261E0701C680}"/>
            </c:ext>
          </c:extLst>
        </c:ser>
        <c:ser>
          <c:idx val="7"/>
          <c:order val="7"/>
          <c:tx>
            <c:strRef>
              <c:f>Summary!$B$426</c:f>
              <c:strCache>
                <c:ptCount val="1"/>
                <c:pt idx="0">
                  <c:v>800G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Summary!$C$426:$M$426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EAA-304E-B03E-86478D991DD2}"/>
            </c:ext>
          </c:extLst>
        </c:ser>
        <c:ser>
          <c:idx val="8"/>
          <c:order val="8"/>
          <c:tx>
            <c:strRef>
              <c:f>Summary!$B$427</c:f>
              <c:strCache>
                <c:ptCount val="1"/>
                <c:pt idx="0">
                  <c:v>1.6T</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Summary!$C$427:$M$427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47D-4B0D-963E-0A35E3595DAE}"/>
            </c:ext>
          </c:extLst>
        </c:ser>
        <c:dLbls>
          <c:showLegendKey val="0"/>
          <c:showVal val="0"/>
          <c:showCatName val="0"/>
          <c:showSerName val="0"/>
          <c:showPercent val="0"/>
          <c:showBubbleSize val="0"/>
        </c:dLbls>
        <c:marker val="1"/>
        <c:smooth val="0"/>
        <c:axId val="151066880"/>
        <c:axId val="151080960"/>
      </c:lineChart>
      <c:catAx>
        <c:axId val="151066880"/>
        <c:scaling>
          <c:orientation val="minMax"/>
        </c:scaling>
        <c:delete val="0"/>
        <c:axPos val="b"/>
        <c:numFmt formatCode="General" sourceLinked="1"/>
        <c:majorTickMark val="out"/>
        <c:minorTickMark val="none"/>
        <c:tickLblPos val="nextTo"/>
        <c:txPr>
          <a:bodyPr/>
          <a:lstStyle/>
          <a:p>
            <a:pPr>
              <a:defRPr sz="1200" b="0"/>
            </a:pPr>
            <a:endParaRPr lang="en-US"/>
          </a:p>
        </c:txPr>
        <c:crossAx val="151080960"/>
        <c:crosses val="autoZero"/>
        <c:auto val="1"/>
        <c:lblAlgn val="ctr"/>
        <c:lblOffset val="100"/>
        <c:tickLblSkip val="1"/>
        <c:noMultiLvlLbl val="1"/>
      </c:catAx>
      <c:valAx>
        <c:axId val="151080960"/>
        <c:scaling>
          <c:orientation val="minMax"/>
          <c:min val="0"/>
        </c:scaling>
        <c:delete val="0"/>
        <c:axPos val="l"/>
        <c:majorGridlines/>
        <c:title>
          <c:tx>
            <c:rich>
              <a:bodyPr rot="-5400000" vert="horz"/>
              <a:lstStyle/>
              <a:p>
                <a:pPr>
                  <a:defRPr b="0"/>
                </a:pPr>
                <a:r>
                  <a:rPr lang="en-US" b="0"/>
                  <a:t>Units</a:t>
                </a:r>
              </a:p>
            </c:rich>
          </c:tx>
          <c:layout>
            <c:manualLayout>
              <c:xMode val="edge"/>
              <c:yMode val="edge"/>
              <c:x val="1.4402021099683426E-3"/>
              <c:y val="0.4093676279248481"/>
            </c:manualLayout>
          </c:layout>
          <c:overlay val="0"/>
        </c:title>
        <c:numFmt formatCode="_(* #,##0_);_(* \(#,##0\);_(* &quot;-&quot;??_);_(@_)" sourceLinked="1"/>
        <c:majorTickMark val="out"/>
        <c:minorTickMark val="none"/>
        <c:tickLblPos val="nextTo"/>
        <c:txPr>
          <a:bodyPr/>
          <a:lstStyle/>
          <a:p>
            <a:pPr>
              <a:defRPr sz="1200" b="0"/>
            </a:pPr>
            <a:endParaRPr lang="en-US"/>
          </a:p>
        </c:txPr>
        <c:crossAx val="151066880"/>
        <c:crosses val="autoZero"/>
        <c:crossBetween val="between"/>
      </c:valAx>
    </c:plotArea>
    <c:legend>
      <c:legendPos val="r"/>
      <c:layout>
        <c:manualLayout>
          <c:xMode val="edge"/>
          <c:yMode val="edge"/>
          <c:x val="0.1636396743363662"/>
          <c:y val="4.7718745683105412E-2"/>
          <c:w val="0.81840256482216267"/>
          <c:h val="0.10407376709490261"/>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5650104178294"/>
          <c:y val="4.7174906607083088E-2"/>
          <c:w val="0.81011595834393313"/>
          <c:h val="0.86756457559575673"/>
        </c:manualLayout>
      </c:layout>
      <c:lineChart>
        <c:grouping val="standard"/>
        <c:varyColors val="0"/>
        <c:ser>
          <c:idx val="0"/>
          <c:order val="0"/>
          <c:tx>
            <c:strRef>
              <c:f>Summary!$N$419</c:f>
              <c:strCache>
                <c:ptCount val="1"/>
                <c:pt idx="0">
                  <c:v>10G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Summary!$O$419:$Y$419</c:f>
              <c:numCache>
                <c:formatCode>_("$"* #,##0_);_("$"* \(#,##0\);_("$"* "-"??_);_(@_)</c:formatCode>
                <c:ptCount val="11"/>
                <c:pt idx="0">
                  <c:v>471.81983653865217</c:v>
                </c:pt>
                <c:pt idx="1">
                  <c:v>330.7911976801422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3A49-0548-AD7F-D805892C3EC9}"/>
            </c:ext>
          </c:extLst>
        </c:ser>
        <c:ser>
          <c:idx val="1"/>
          <c:order val="1"/>
          <c:tx>
            <c:strRef>
              <c:f>Summary!$N$420</c:f>
              <c:strCache>
                <c:ptCount val="1"/>
                <c:pt idx="0">
                  <c:v>25G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Summary!$O$420:$Y$420</c:f>
              <c:numCache>
                <c:formatCode>_("$"* #,##0_);_("$"* \(#,##0\);_("$"* "-"??_);_(@_)</c:formatCode>
                <c:ptCount val="11"/>
                <c:pt idx="0">
                  <c:v>38.88271012000002</c:v>
                </c:pt>
                <c:pt idx="1">
                  <c:v>50.329167999999989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3A49-0548-AD7F-D805892C3EC9}"/>
            </c:ext>
          </c:extLst>
        </c:ser>
        <c:ser>
          <c:idx val="4"/>
          <c:order val="2"/>
          <c:tx>
            <c:strRef>
              <c:f>Summary!$N$421</c:f>
              <c:strCache>
                <c:ptCount val="1"/>
                <c:pt idx="0">
                  <c:v>40G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Summary!$O$421:$Y$421</c:f>
              <c:numCache>
                <c:formatCode>_("$"* #,##0_);_("$"* \(#,##0\);_("$"* "-"??_);_(@_)</c:formatCode>
                <c:ptCount val="11"/>
                <c:pt idx="0">
                  <c:v>535.36466398751736</c:v>
                </c:pt>
                <c:pt idx="1">
                  <c:v>460.23701138546988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A49-0548-AD7F-D805892C3EC9}"/>
            </c:ext>
          </c:extLst>
        </c:ser>
        <c:ser>
          <c:idx val="2"/>
          <c:order val="3"/>
          <c:tx>
            <c:strRef>
              <c:f>Summary!$N$422</c:f>
              <c:strCache>
                <c:ptCount val="1"/>
                <c:pt idx="0">
                  <c:v>50G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Summary!$O$422:$Y$422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3A49-0548-AD7F-D805892C3EC9}"/>
            </c:ext>
          </c:extLst>
        </c:ser>
        <c:ser>
          <c:idx val="6"/>
          <c:order val="4"/>
          <c:tx>
            <c:strRef>
              <c:f>Summary!$N$423</c:f>
              <c:strCache>
                <c:ptCount val="1"/>
                <c:pt idx="0">
                  <c:v>100G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Summary!$O$423:$Y$423</c:f>
              <c:numCache>
                <c:formatCode>_("$"* #,##0_);_("$"* \(#,##0\);_("$"* "-"??_);_(@_)</c:formatCode>
                <c:ptCount val="11"/>
                <c:pt idx="0">
                  <c:v>2155.6052671051734</c:v>
                </c:pt>
                <c:pt idx="1">
                  <c:v>1718.2936951694032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3A49-0548-AD7F-D805892C3EC9}"/>
            </c:ext>
          </c:extLst>
        </c:ser>
        <c:ser>
          <c:idx val="3"/>
          <c:order val="5"/>
          <c:tx>
            <c:strRef>
              <c:f>Summary!$N$424</c:f>
              <c:strCache>
                <c:ptCount val="1"/>
                <c:pt idx="0">
                  <c:v>200G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Summary!$O$424:$Y$424</c:f>
              <c:numCache>
                <c:formatCode>_("$"* #,##0_);_("$"* \(#,##0\);_("$"* "-"??_);_(@_)</c:formatCode>
                <c:ptCount val="11"/>
                <c:pt idx="0">
                  <c:v>1.1000000000000001</c:v>
                </c:pt>
                <c:pt idx="1">
                  <c:v>6.0945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5-3A49-0548-AD7F-D805892C3EC9}"/>
            </c:ext>
          </c:extLst>
        </c:ser>
        <c:ser>
          <c:idx val="5"/>
          <c:order val="6"/>
          <c:tx>
            <c:strRef>
              <c:f>Summary!$N$425</c:f>
              <c:strCache>
                <c:ptCount val="1"/>
                <c:pt idx="0">
                  <c:v>400G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Summary!$O$425:$Y$425</c:f>
              <c:numCache>
                <c:formatCode>_("$"* #,##0_);_("$"* \(#,##0\);_("$"* "-"??_);_(@_)</c:formatCode>
                <c:ptCount val="11"/>
                <c:pt idx="0">
                  <c:v>49.212000000000003</c:v>
                </c:pt>
                <c:pt idx="1">
                  <c:v>123.96396969718188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601-1D43-86FB-40A4A92A74CA}"/>
            </c:ext>
          </c:extLst>
        </c:ser>
        <c:ser>
          <c:idx val="7"/>
          <c:order val="7"/>
          <c:tx>
            <c:strRef>
              <c:f>Summary!$N$426</c:f>
              <c:strCache>
                <c:ptCount val="1"/>
                <c:pt idx="0">
                  <c:v>800G</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Summary!$O$426:$Y$426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601-1D43-86FB-40A4A92A74CA}"/>
            </c:ext>
          </c:extLst>
        </c:ser>
        <c:ser>
          <c:idx val="8"/>
          <c:order val="8"/>
          <c:tx>
            <c:strRef>
              <c:f>Summary!$N$427</c:f>
              <c:strCache>
                <c:ptCount val="1"/>
                <c:pt idx="0">
                  <c:v>1.6T</c:v>
                </c:pt>
              </c:strCache>
            </c:strRef>
          </c:tx>
          <c:cat>
            <c:numRef>
              <c:f>Summary!$O$417:$Y$417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Summary!$O$427:$Y$427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605-4F13-95ED-DD7D060BA138}"/>
            </c:ext>
          </c:extLst>
        </c:ser>
        <c:dLbls>
          <c:showLegendKey val="0"/>
          <c:showVal val="0"/>
          <c:showCatName val="0"/>
          <c:showSerName val="0"/>
          <c:showPercent val="0"/>
          <c:showBubbleSize val="0"/>
        </c:dLbls>
        <c:marker val="1"/>
        <c:smooth val="0"/>
        <c:axId val="151315968"/>
        <c:axId val="151317504"/>
      </c:lineChart>
      <c:catAx>
        <c:axId val="151315968"/>
        <c:scaling>
          <c:orientation val="minMax"/>
        </c:scaling>
        <c:delete val="0"/>
        <c:axPos val="b"/>
        <c:numFmt formatCode="General" sourceLinked="1"/>
        <c:majorTickMark val="out"/>
        <c:minorTickMark val="none"/>
        <c:tickLblPos val="nextTo"/>
        <c:txPr>
          <a:bodyPr/>
          <a:lstStyle/>
          <a:p>
            <a:pPr>
              <a:defRPr sz="1200" b="0"/>
            </a:pPr>
            <a:endParaRPr lang="en-US"/>
          </a:p>
        </c:txPr>
        <c:crossAx val="151317504"/>
        <c:crosses val="autoZero"/>
        <c:auto val="1"/>
        <c:lblAlgn val="ctr"/>
        <c:lblOffset val="100"/>
        <c:tickLblSkip val="1"/>
        <c:noMultiLvlLbl val="1"/>
      </c:catAx>
      <c:valAx>
        <c:axId val="151317504"/>
        <c:scaling>
          <c:orientation val="minMax"/>
          <c:min val="0"/>
        </c:scaling>
        <c:delete val="0"/>
        <c:axPos val="l"/>
        <c:majorGridlines/>
        <c:title>
          <c:tx>
            <c:rich>
              <a:bodyPr rot="-5400000" vert="horz"/>
              <a:lstStyle/>
              <a:p>
                <a:pPr>
                  <a:defRPr b="0"/>
                </a:pPr>
                <a:r>
                  <a:rPr lang="en-US" b="0"/>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51315968"/>
        <c:crosses val="autoZero"/>
        <c:crossBetween val="between"/>
        <c:majorUnit val="500"/>
      </c:valAx>
    </c:plotArea>
    <c:legend>
      <c:legendPos val="t"/>
      <c:layout>
        <c:manualLayout>
          <c:xMode val="edge"/>
          <c:yMode val="edge"/>
          <c:x val="0.14501531797086303"/>
          <c:y val="6.3676261610403601E-2"/>
          <c:w val="0.8095914358275329"/>
          <c:h val="6.5224803391354405E-2"/>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33980534930014"/>
          <c:y val="5.1003361265816602E-2"/>
          <c:w val="0.63189023828035606"/>
          <c:h val="0.84279892849894"/>
        </c:manualLayout>
      </c:layout>
      <c:lineChart>
        <c:grouping val="standard"/>
        <c:varyColors val="0"/>
        <c:ser>
          <c:idx val="0"/>
          <c:order val="0"/>
          <c:tx>
            <c:strRef>
              <c:f>Summary!$B$486</c:f>
              <c:strCache>
                <c:ptCount val="1"/>
                <c:pt idx="0">
                  <c:v>Short Reach (100m/300m)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Summary!$C$486:$M$486</c:f>
              <c:numCache>
                <c:formatCode>_(* #,##0_);_(* \(#,##0\);_(* "-"??_);_(@_)</c:formatCode>
                <c:ptCount val="11"/>
                <c:pt idx="0">
                  <c:v>1975810.7525500001</c:v>
                </c:pt>
                <c:pt idx="1">
                  <c:v>1412949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B06B-BF46-A013-096FE784B0D2}"/>
            </c:ext>
          </c:extLst>
        </c:ser>
        <c:ser>
          <c:idx val="3"/>
          <c:order val="1"/>
          <c:tx>
            <c:strRef>
              <c:f>Summary!$B$487</c:f>
              <c:strCache>
                <c:ptCount val="1"/>
                <c:pt idx="0">
                  <c:v>Intermediate Reach (0.5-2 km)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Summary!$C$487:$M$487</c:f>
              <c:numCache>
                <c:formatCode>_(* #,##0_);_(* \(#,##0\);_(* "-"??_);_(@_)</c:formatCode>
                <c:ptCount val="11"/>
                <c:pt idx="0">
                  <c:v>774529</c:v>
                </c:pt>
                <c:pt idx="1">
                  <c:v>927290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06B-BF46-A013-096FE784B0D2}"/>
            </c:ext>
          </c:extLst>
        </c:ser>
        <c:ser>
          <c:idx val="1"/>
          <c:order val="2"/>
          <c:tx>
            <c:strRef>
              <c:f>Summary!$B$488</c:f>
              <c:strCache>
                <c:ptCount val="1"/>
                <c:pt idx="0">
                  <c:v>Long Reach (10 km)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Summary!$C$488:$M$488</c:f>
              <c:numCache>
                <c:formatCode>_(* #,##0_);_(* \(#,##0\);_(* "-"??_);_(@_)</c:formatCode>
                <c:ptCount val="11"/>
                <c:pt idx="0">
                  <c:v>269337</c:v>
                </c:pt>
                <c:pt idx="1">
                  <c:v>345066</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B06B-BF46-A013-096FE784B0D2}"/>
            </c:ext>
          </c:extLst>
        </c:ser>
        <c:ser>
          <c:idx val="2"/>
          <c:order val="3"/>
          <c:tx>
            <c:strRef>
              <c:f>Summary!$B$489</c:f>
              <c:strCache>
                <c:ptCount val="1"/>
                <c:pt idx="0">
                  <c:v>Extended Reach (40 km)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Summary!$C$489:$M$489</c:f>
              <c:numCache>
                <c:formatCode>_(* #,##0_);_(* \(#,##0\);_(* "-"??_);_(@_)</c:formatCode>
                <c:ptCount val="11"/>
                <c:pt idx="0">
                  <c:v>8224</c:v>
                </c:pt>
                <c:pt idx="1">
                  <c:v>4475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B06B-BF46-A013-096FE784B0D2}"/>
            </c:ext>
          </c:extLst>
        </c:ser>
        <c:dLbls>
          <c:showLegendKey val="0"/>
          <c:showVal val="0"/>
          <c:showCatName val="0"/>
          <c:showSerName val="0"/>
          <c:showPercent val="0"/>
          <c:showBubbleSize val="0"/>
        </c:dLbls>
        <c:marker val="1"/>
        <c:smooth val="0"/>
        <c:axId val="151837696"/>
        <c:axId val="151843584"/>
      </c:lineChart>
      <c:catAx>
        <c:axId val="151837696"/>
        <c:scaling>
          <c:orientation val="minMax"/>
        </c:scaling>
        <c:delete val="0"/>
        <c:axPos val="b"/>
        <c:numFmt formatCode="General" sourceLinked="1"/>
        <c:majorTickMark val="out"/>
        <c:minorTickMark val="none"/>
        <c:tickLblPos val="nextTo"/>
        <c:txPr>
          <a:bodyPr/>
          <a:lstStyle/>
          <a:p>
            <a:pPr>
              <a:defRPr sz="1200" b="0"/>
            </a:pPr>
            <a:endParaRPr lang="en-US"/>
          </a:p>
        </c:txPr>
        <c:crossAx val="151843584"/>
        <c:crosses val="autoZero"/>
        <c:auto val="1"/>
        <c:lblAlgn val="ctr"/>
        <c:lblOffset val="100"/>
        <c:tickLblSkip val="1"/>
        <c:noMultiLvlLbl val="1"/>
      </c:catAx>
      <c:valAx>
        <c:axId val="151843584"/>
        <c:scaling>
          <c:orientation val="minMax"/>
          <c:min val="0"/>
        </c:scaling>
        <c:delete val="0"/>
        <c:axPos val="l"/>
        <c:majorGridlines/>
        <c:title>
          <c:tx>
            <c:rich>
              <a:bodyPr rot="-5400000" vert="horz"/>
              <a:lstStyle/>
              <a:p>
                <a:pPr>
                  <a:defRPr/>
                </a:pPr>
                <a:r>
                  <a:rPr lang="en-US"/>
                  <a:t>Units</a:t>
                </a:r>
              </a:p>
            </c:rich>
          </c:tx>
          <c:layout>
            <c:manualLayout>
              <c:xMode val="edge"/>
              <c:yMode val="edge"/>
              <c:x val="6.7329167556726584E-3"/>
              <c:y val="0.41638941859860795"/>
            </c:manualLayout>
          </c:layout>
          <c:overlay val="0"/>
        </c:title>
        <c:numFmt formatCode="_(* #,##0_);_(* \(#,##0\);_(* &quot;-&quot;??_);_(@_)" sourceLinked="1"/>
        <c:majorTickMark val="out"/>
        <c:minorTickMark val="none"/>
        <c:tickLblPos val="nextTo"/>
        <c:crossAx val="151837696"/>
        <c:crosses val="autoZero"/>
        <c:crossBetween val="between"/>
      </c:valAx>
    </c:plotArea>
    <c:legend>
      <c:legendPos val="r"/>
      <c:layout>
        <c:manualLayout>
          <c:xMode val="edge"/>
          <c:yMode val="edge"/>
          <c:x val="0.82896497682465298"/>
          <c:y val="0.25202747905223899"/>
          <c:w val="0.171035023175347"/>
          <c:h val="0.59188730251045296"/>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890142998835"/>
          <c:y val="6.2745180221316074E-2"/>
          <c:w val="0.65191112367434845"/>
          <c:h val="0.83633622250651896"/>
        </c:manualLayout>
      </c:layout>
      <c:lineChart>
        <c:grouping val="standard"/>
        <c:varyColors val="0"/>
        <c:ser>
          <c:idx val="0"/>
          <c:order val="0"/>
          <c:tx>
            <c:strRef>
              <c:f>Summary!$N$486</c:f>
              <c:strCache>
                <c:ptCount val="1"/>
                <c:pt idx="0">
                  <c:v>Short Reach (100m/300m)</c:v>
                </c:pt>
              </c:strCache>
            </c:strRef>
          </c:tx>
          <c:cat>
            <c:numRef>
              <c:f>Summary!$O$485:$Y$485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Summary!$O$486:$Y$486</c:f>
              <c:numCache>
                <c:formatCode>_("$"* #,##0_);_("$"* \(#,##0\);_("$"* "-"??_);_(@_)</c:formatCode>
                <c:ptCount val="11"/>
                <c:pt idx="0">
                  <c:v>218.49939124751745</c:v>
                </c:pt>
                <c:pt idx="1">
                  <c:v>147.62932721428569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412E-7442-86A9-71BE60F564EA}"/>
            </c:ext>
          </c:extLst>
        </c:ser>
        <c:ser>
          <c:idx val="3"/>
          <c:order val="1"/>
          <c:tx>
            <c:strRef>
              <c:f>Summary!$N$487</c:f>
              <c:strCache>
                <c:ptCount val="1"/>
                <c:pt idx="0">
                  <c:v>Intermediate Reach (0.5-2 km)</c:v>
                </c:pt>
              </c:strCache>
            </c:strRef>
          </c:tx>
          <c:cat>
            <c:numRef>
              <c:f>Summary!$O$485:$Y$485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Summary!$O$487:$Y$487</c:f>
              <c:numCache>
                <c:formatCode>_("$"* #,##0_);_("$"* \(#,##0\);_("$"* "-"??_);_(@_)</c:formatCode>
                <c:ptCount val="11"/>
                <c:pt idx="0">
                  <c:v>209.10543025999999</c:v>
                </c:pt>
                <c:pt idx="1">
                  <c:v>222.92360288588327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412E-7442-86A9-71BE60F564EA}"/>
            </c:ext>
          </c:extLst>
        </c:ser>
        <c:ser>
          <c:idx val="1"/>
          <c:order val="2"/>
          <c:tx>
            <c:strRef>
              <c:f>Summary!$N$488</c:f>
              <c:strCache>
                <c:ptCount val="1"/>
                <c:pt idx="0">
                  <c:v>Long Reach</c:v>
                </c:pt>
              </c:strCache>
            </c:strRef>
          </c:tx>
          <c:cat>
            <c:numRef>
              <c:f>Summary!$O$485:$Y$485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Summary!$O$488:$Y$488</c:f>
              <c:numCache>
                <c:formatCode>_("$"* #,##0_);_("$"* \(#,##0\);_("$"* "-"??_);_(@_)</c:formatCode>
                <c:ptCount val="11"/>
                <c:pt idx="0">
                  <c:v>97.438304479999957</c:v>
                </c:pt>
                <c:pt idx="1">
                  <c:v>85.682108285300913</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412E-7442-86A9-71BE60F564EA}"/>
            </c:ext>
          </c:extLst>
        </c:ser>
        <c:ser>
          <c:idx val="2"/>
          <c:order val="3"/>
          <c:tx>
            <c:strRef>
              <c:f>Summary!$N$489</c:f>
              <c:strCache>
                <c:ptCount val="1"/>
                <c:pt idx="0">
                  <c:v>Extended Reach</c:v>
                </c:pt>
              </c:strCache>
            </c:strRef>
          </c:tx>
          <c:cat>
            <c:numRef>
              <c:f>Summary!$O$485:$Y$485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Summary!$O$489:$Y$489</c:f>
              <c:numCache>
                <c:formatCode>_("$"* #,##0_);_("$"* \(#,##0\);_("$"* "-"??_);_(@_)</c:formatCode>
                <c:ptCount val="11"/>
                <c:pt idx="0">
                  <c:v>10.321537999999995</c:v>
                </c:pt>
                <c:pt idx="1">
                  <c:v>4.001973000000004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412E-7442-86A9-71BE60F564EA}"/>
            </c:ext>
          </c:extLst>
        </c:ser>
        <c:dLbls>
          <c:showLegendKey val="0"/>
          <c:showVal val="0"/>
          <c:showCatName val="0"/>
          <c:showSerName val="0"/>
          <c:showPercent val="0"/>
          <c:showBubbleSize val="0"/>
        </c:dLbls>
        <c:marker val="1"/>
        <c:smooth val="0"/>
        <c:axId val="152314624"/>
        <c:axId val="152316160"/>
      </c:lineChart>
      <c:catAx>
        <c:axId val="152314624"/>
        <c:scaling>
          <c:orientation val="minMax"/>
        </c:scaling>
        <c:delete val="0"/>
        <c:axPos val="b"/>
        <c:numFmt formatCode="General" sourceLinked="1"/>
        <c:majorTickMark val="out"/>
        <c:minorTickMark val="none"/>
        <c:tickLblPos val="nextTo"/>
        <c:txPr>
          <a:bodyPr/>
          <a:lstStyle/>
          <a:p>
            <a:pPr>
              <a:defRPr sz="1200" b="0"/>
            </a:pPr>
            <a:endParaRPr lang="en-US"/>
          </a:p>
        </c:txPr>
        <c:crossAx val="152316160"/>
        <c:crosses val="autoZero"/>
        <c:auto val="1"/>
        <c:lblAlgn val="ctr"/>
        <c:lblOffset val="100"/>
        <c:noMultiLvlLbl val="1"/>
      </c:catAx>
      <c:valAx>
        <c:axId val="152316160"/>
        <c:scaling>
          <c:orientation val="minMax"/>
          <c:min val="0"/>
        </c:scaling>
        <c:delete val="0"/>
        <c:axPos val="l"/>
        <c:majorGridlines/>
        <c:title>
          <c:tx>
            <c:rich>
              <a:bodyPr rot="-5400000" vert="horz"/>
              <a:lstStyle/>
              <a:p>
                <a:pPr>
                  <a:defRPr/>
                </a:pPr>
                <a:r>
                  <a:rPr lang="en-US"/>
                  <a:t>Sales ($M)</a:t>
                </a:r>
              </a:p>
            </c:rich>
          </c:tx>
          <c:layout>
            <c:manualLayout>
              <c:xMode val="edge"/>
              <c:yMode val="edge"/>
              <c:x val="1.0916657466481201E-2"/>
              <c:y val="0.40809670652881602"/>
            </c:manualLayout>
          </c:layout>
          <c:overlay val="0"/>
        </c:title>
        <c:numFmt formatCode="_(&quot;$&quot;* #,##0_);_(&quot;$&quot;* \(#,##0\);_(&quot;$&quot;* &quot;-&quot;??_);_(@_)" sourceLinked="1"/>
        <c:majorTickMark val="out"/>
        <c:minorTickMark val="none"/>
        <c:tickLblPos val="nextTo"/>
        <c:crossAx val="152314624"/>
        <c:crosses val="autoZero"/>
        <c:crossBetween val="between"/>
        <c:majorUnit val="100"/>
        <c:minorUnit val="50"/>
      </c:valAx>
    </c:plotArea>
    <c:legend>
      <c:legendPos val="r"/>
      <c:layout>
        <c:manualLayout>
          <c:xMode val="edge"/>
          <c:yMode val="edge"/>
          <c:x val="0.80936168184212998"/>
          <c:y val="0.118907686458186"/>
          <c:w val="0.19063831815787"/>
          <c:h val="0.66918453184067395"/>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45505122132153"/>
          <c:y val="5.3221590300103462E-2"/>
          <c:w val="0.67058833949869601"/>
          <c:h val="0.86137494560620198"/>
        </c:manualLayout>
      </c:layout>
      <c:lineChart>
        <c:grouping val="standard"/>
        <c:varyColors val="0"/>
        <c:ser>
          <c:idx val="1"/>
          <c:order val="0"/>
          <c:tx>
            <c:strRef>
              <c:f>Summary!$B$546</c:f>
              <c:strCache>
                <c:ptCount val="1"/>
                <c:pt idx="0">
                  <c:v>8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Summary!$C$546:$M$546</c:f>
              <c:numCache>
                <c:formatCode>_(* #,##0_);_(* \(#,##0\);_(* "-"??_);_(@_)</c:formatCode>
                <c:ptCount val="11"/>
                <c:pt idx="0">
                  <c:v>1306622</c:v>
                </c:pt>
                <c:pt idx="1">
                  <c:v>487662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A29A-7147-859B-D0CD561BC25F}"/>
            </c:ext>
          </c:extLst>
        </c:ser>
        <c:ser>
          <c:idx val="2"/>
          <c:order val="1"/>
          <c:tx>
            <c:strRef>
              <c:f>Summary!$B$547</c:f>
              <c:strCache>
                <c:ptCount val="1"/>
                <c:pt idx="0">
                  <c:v>16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Summary!$C$547:$M$547</c:f>
              <c:numCache>
                <c:formatCode>_(* #,##0_);_(* \(#,##0\);_(* "-"??_);_(@_)</c:formatCode>
                <c:ptCount val="11"/>
                <c:pt idx="0">
                  <c:v>5677250</c:v>
                </c:pt>
                <c:pt idx="1">
                  <c:v>4999639.0999999996</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A29A-7147-859B-D0CD561BC25F}"/>
            </c:ext>
          </c:extLst>
        </c:ser>
        <c:ser>
          <c:idx val="3"/>
          <c:order val="2"/>
          <c:tx>
            <c:strRef>
              <c:f>Summary!$B$548</c:f>
              <c:strCache>
                <c:ptCount val="1"/>
                <c:pt idx="0">
                  <c:v>32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Summary!$C$548:$M$548</c:f>
              <c:numCache>
                <c:formatCode>_(* #,##0_);_(* \(#,##0\);_(* "-"??_);_(@_)</c:formatCode>
                <c:ptCount val="11"/>
                <c:pt idx="0">
                  <c:v>854998</c:v>
                </c:pt>
                <c:pt idx="1">
                  <c:v>2197133.4578942787</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A29A-7147-859B-D0CD561BC25F}"/>
            </c:ext>
          </c:extLst>
        </c:ser>
        <c:ser>
          <c:idx val="0"/>
          <c:order val="3"/>
          <c:tx>
            <c:strRef>
              <c:f>Summary!$B$549</c:f>
              <c:strCache>
                <c:ptCount val="1"/>
                <c:pt idx="0">
                  <c:v>64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Summary!$C$549:$M$549</c:f>
              <c:numCache>
                <c:formatCode>_(* #,##0_);_(* \(#,##0\);_(* "-"??_);_(@_)</c:formatCode>
                <c:ptCount val="11"/>
                <c:pt idx="0">
                  <c:v>300</c:v>
                </c:pt>
                <c:pt idx="1">
                  <c:v>3300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73B-4F20-A772-1A7E04ECEAE5}"/>
            </c:ext>
          </c:extLst>
        </c:ser>
        <c:ser>
          <c:idx val="4"/>
          <c:order val="4"/>
          <c:tx>
            <c:strRef>
              <c:f>Summary!$B$550</c:f>
              <c:strCache>
                <c:ptCount val="1"/>
                <c:pt idx="0">
                  <c:v>128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Summary!$C$550:$M$550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A29A-7147-859B-D0CD561BC25F}"/>
            </c:ext>
          </c:extLst>
        </c:ser>
        <c:dLbls>
          <c:showLegendKey val="0"/>
          <c:showVal val="0"/>
          <c:showCatName val="0"/>
          <c:showSerName val="0"/>
          <c:showPercent val="0"/>
          <c:showBubbleSize val="0"/>
        </c:dLbls>
        <c:marker val="1"/>
        <c:smooth val="0"/>
        <c:axId val="152353792"/>
        <c:axId val="152359680"/>
      </c:lineChart>
      <c:catAx>
        <c:axId val="152353792"/>
        <c:scaling>
          <c:orientation val="minMax"/>
        </c:scaling>
        <c:delete val="0"/>
        <c:axPos val="b"/>
        <c:numFmt formatCode="General" sourceLinked="1"/>
        <c:majorTickMark val="out"/>
        <c:minorTickMark val="none"/>
        <c:tickLblPos val="nextTo"/>
        <c:txPr>
          <a:bodyPr/>
          <a:lstStyle/>
          <a:p>
            <a:pPr>
              <a:defRPr sz="1200" b="0"/>
            </a:pPr>
            <a:endParaRPr lang="en-US"/>
          </a:p>
        </c:txPr>
        <c:crossAx val="152359680"/>
        <c:crosses val="autoZero"/>
        <c:auto val="1"/>
        <c:lblAlgn val="ctr"/>
        <c:lblOffset val="100"/>
        <c:tickLblSkip val="1"/>
        <c:noMultiLvlLbl val="1"/>
      </c:catAx>
      <c:valAx>
        <c:axId val="152359680"/>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1035784834110484E-2"/>
              <c:y val="0.39501133233730723"/>
            </c:manualLayout>
          </c:layout>
          <c:overlay val="0"/>
        </c:title>
        <c:numFmt formatCode="_(* #,##0_);_(* \(#,##0\);_(* &quot;-&quot;??_);_(@_)" sourceLinked="1"/>
        <c:majorTickMark val="out"/>
        <c:minorTickMark val="none"/>
        <c:tickLblPos val="nextTo"/>
        <c:txPr>
          <a:bodyPr/>
          <a:lstStyle/>
          <a:p>
            <a:pPr>
              <a:defRPr sz="1200"/>
            </a:pPr>
            <a:endParaRPr lang="en-US"/>
          </a:p>
        </c:txPr>
        <c:crossAx val="152353792"/>
        <c:crosses val="autoZero"/>
        <c:crossBetween val="between"/>
        <c:majorUnit val="2000000"/>
      </c:valAx>
    </c:plotArea>
    <c:legend>
      <c:legendPos val="r"/>
      <c:layout>
        <c:manualLayout>
          <c:xMode val="edge"/>
          <c:yMode val="edge"/>
          <c:x val="0.83739311175956832"/>
          <c:y val="0.245652608434939"/>
          <c:w val="0.14572725807968298"/>
          <c:h val="0.6156996888395988"/>
        </c:manualLayout>
      </c:layout>
      <c:overlay val="0"/>
      <c:txPr>
        <a:bodyPr/>
        <a:lstStyle/>
        <a:p>
          <a:pPr>
            <a:defRPr sz="14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605492832901"/>
          <c:y val="8.1150352768119202E-2"/>
          <c:w val="0.83397850679614338"/>
          <c:h val="0.80947608717542197"/>
        </c:manualLayout>
      </c:layout>
      <c:lineChart>
        <c:grouping val="standard"/>
        <c:varyColors val="0"/>
        <c:ser>
          <c:idx val="1"/>
          <c:order val="0"/>
          <c:tx>
            <c:strRef>
              <c:f>Summary!$N$546</c:f>
              <c:strCache>
                <c:ptCount val="1"/>
                <c:pt idx="0">
                  <c:v>8 Gbps</c:v>
                </c:pt>
              </c:strCache>
            </c:strRef>
          </c:tx>
          <c:cat>
            <c:numRef>
              <c:f>Summary!$O$545:$Y$545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Summary!$O$546:$Y$546</c:f>
              <c:numCache>
                <c:formatCode>_("$"* #,##0_);_("$"* \(#,##0\);_("$"* "-"??_);_(@_)</c:formatCode>
                <c:ptCount val="11"/>
                <c:pt idx="0">
                  <c:v>17.51289957000002</c:v>
                </c:pt>
                <c:pt idx="1">
                  <c:v>7.0718429500000006</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2F3E-4E48-A0B7-067953327FDB}"/>
            </c:ext>
          </c:extLst>
        </c:ser>
        <c:ser>
          <c:idx val="2"/>
          <c:order val="1"/>
          <c:tx>
            <c:strRef>
              <c:f>Summary!$N$547</c:f>
              <c:strCache>
                <c:ptCount val="1"/>
                <c:pt idx="0">
                  <c:v>16 Gbps</c:v>
                </c:pt>
              </c:strCache>
            </c:strRef>
          </c:tx>
          <c:cat>
            <c:numRef>
              <c:f>Summary!$O$545:$Y$545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Summary!$O$547:$Y$547</c:f>
              <c:numCache>
                <c:formatCode>_("$"* #,##0_);_("$"* \(#,##0\);_("$"* "-"??_);_(@_)</c:formatCode>
                <c:ptCount val="11"/>
                <c:pt idx="0">
                  <c:v>146.0096977200001</c:v>
                </c:pt>
                <c:pt idx="1">
                  <c:v>135.03424759999996</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2F3E-4E48-A0B7-067953327FDB}"/>
            </c:ext>
          </c:extLst>
        </c:ser>
        <c:ser>
          <c:idx val="3"/>
          <c:order val="2"/>
          <c:tx>
            <c:strRef>
              <c:f>Summary!$N$548</c:f>
              <c:strCache>
                <c:ptCount val="1"/>
                <c:pt idx="0">
                  <c:v>32 Gbps</c:v>
                </c:pt>
              </c:strCache>
            </c:strRef>
          </c:tx>
          <c:cat>
            <c:numRef>
              <c:f>Summary!$O$545:$Y$545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Summary!$O$548:$Y$548</c:f>
              <c:numCache>
                <c:formatCode>_("$"* #,##0_);_("$"* \(#,##0\);_("$"* "-"??_);_(@_)</c:formatCode>
                <c:ptCount val="11"/>
                <c:pt idx="0">
                  <c:v>54.807980070000006</c:v>
                </c:pt>
                <c:pt idx="1">
                  <c:v>128.45985998612647</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2F3E-4E48-A0B7-067953327FDB}"/>
            </c:ext>
          </c:extLst>
        </c:ser>
        <c:ser>
          <c:idx val="4"/>
          <c:order val="3"/>
          <c:tx>
            <c:strRef>
              <c:f>Summary!$N$549</c:f>
              <c:strCache>
                <c:ptCount val="1"/>
                <c:pt idx="0">
                  <c:v>64 Gbps</c:v>
                </c:pt>
              </c:strCache>
            </c:strRef>
          </c:tx>
          <c:cat>
            <c:numRef>
              <c:f>Summary!$O$545:$Y$545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Summary!$O$549:$Y$549</c:f>
              <c:numCache>
                <c:formatCode>_("$"* #,##0_);_("$"* \(#,##0\);_("$"* "-"??_);_(@_)</c:formatCode>
                <c:ptCount val="11"/>
                <c:pt idx="0">
                  <c:v>9.1649306712355119E-2</c:v>
                </c:pt>
                <c:pt idx="1">
                  <c:v>0.48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01B-4385-BE34-01CF470323E5}"/>
            </c:ext>
          </c:extLst>
        </c:ser>
        <c:ser>
          <c:idx val="0"/>
          <c:order val="4"/>
          <c:tx>
            <c:strRef>
              <c:f>Summary!$N$550</c:f>
              <c:strCache>
                <c:ptCount val="1"/>
                <c:pt idx="0">
                  <c:v>128 Gbps</c:v>
                </c:pt>
              </c:strCache>
            </c:strRef>
          </c:tx>
          <c:cat>
            <c:numRef>
              <c:f>Summary!$O$545:$Y$545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Summary!$O$550:$Y$550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01B-4385-BE34-01CF470323E5}"/>
            </c:ext>
          </c:extLst>
        </c:ser>
        <c:dLbls>
          <c:showLegendKey val="0"/>
          <c:showVal val="0"/>
          <c:showCatName val="0"/>
          <c:showSerName val="0"/>
          <c:showPercent val="0"/>
          <c:showBubbleSize val="0"/>
        </c:dLbls>
        <c:marker val="1"/>
        <c:smooth val="0"/>
        <c:axId val="152417408"/>
        <c:axId val="152418944"/>
      </c:lineChart>
      <c:catAx>
        <c:axId val="152417408"/>
        <c:scaling>
          <c:orientation val="minMax"/>
        </c:scaling>
        <c:delete val="0"/>
        <c:axPos val="b"/>
        <c:numFmt formatCode="General" sourceLinked="1"/>
        <c:majorTickMark val="out"/>
        <c:minorTickMark val="none"/>
        <c:tickLblPos val="nextTo"/>
        <c:txPr>
          <a:bodyPr/>
          <a:lstStyle/>
          <a:p>
            <a:pPr>
              <a:defRPr sz="1200" b="0"/>
            </a:pPr>
            <a:endParaRPr lang="en-US"/>
          </a:p>
        </c:txPr>
        <c:crossAx val="152418944"/>
        <c:crosses val="autoZero"/>
        <c:auto val="1"/>
        <c:lblAlgn val="ctr"/>
        <c:lblOffset val="100"/>
        <c:tickLblSkip val="1"/>
        <c:noMultiLvlLbl val="1"/>
      </c:catAx>
      <c:valAx>
        <c:axId val="152418944"/>
        <c:scaling>
          <c:orientation val="minMax"/>
          <c:min val="0"/>
        </c:scaling>
        <c:delete val="0"/>
        <c:axPos val="l"/>
        <c:majorGridlines/>
        <c:title>
          <c:tx>
            <c:rich>
              <a:bodyPr rot="-5400000" vert="horz"/>
              <a:lstStyle/>
              <a:p>
                <a:pPr>
                  <a:defRPr b="0"/>
                </a:pPr>
                <a:r>
                  <a:rPr lang="en-US" b="0"/>
                  <a:t>Sales ($M)</a:t>
                </a:r>
              </a:p>
            </c:rich>
          </c:tx>
          <c:overlay val="0"/>
        </c:title>
        <c:numFmt formatCode="_(&quot;$&quot;* #,##0_);_(&quot;$&quot;* \(#,##0\);_(&quot;$&quot;* &quot;-&quot;??_);_(@_)" sourceLinked="1"/>
        <c:majorTickMark val="out"/>
        <c:minorTickMark val="none"/>
        <c:tickLblPos val="nextTo"/>
        <c:txPr>
          <a:bodyPr/>
          <a:lstStyle/>
          <a:p>
            <a:pPr>
              <a:defRPr sz="1200"/>
            </a:pPr>
            <a:endParaRPr lang="en-US"/>
          </a:p>
        </c:txPr>
        <c:crossAx val="152417408"/>
        <c:crosses val="autoZero"/>
        <c:crossBetween val="between"/>
      </c:valAx>
    </c:plotArea>
    <c:legend>
      <c:legendPos val="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96832446876917"/>
          <c:y val="7.0942789004463006E-2"/>
          <c:w val="0.57970781937063909"/>
          <c:h val="0.82042282025412461"/>
        </c:manualLayout>
      </c:layout>
      <c:lineChart>
        <c:grouping val="standard"/>
        <c:varyColors val="0"/>
        <c:ser>
          <c:idx val="0"/>
          <c:order val="0"/>
          <c:tx>
            <c:strRef>
              <c:f>Summary!$B$515</c:f>
              <c:strCache>
                <c:ptCount val="1"/>
                <c:pt idx="0">
                  <c:v>Short Reach (100m)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Summary!$C$515:$M$515</c:f>
              <c:numCache>
                <c:formatCode>_(* #,##0_);_(* \(#,##0\);_(* "-"??_);_(@_)</c:formatCode>
                <c:ptCount val="11"/>
                <c:pt idx="0">
                  <c:v>2082911</c:v>
                </c:pt>
                <c:pt idx="1">
                  <c:v>2208207.8911414719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086D-B44D-82C7-451BF3F6F23D}"/>
            </c:ext>
          </c:extLst>
        </c:ser>
        <c:ser>
          <c:idx val="3"/>
          <c:order val="1"/>
          <c:tx>
            <c:strRef>
              <c:f>Summary!$B$516</c:f>
              <c:strCache>
                <c:ptCount val="1"/>
                <c:pt idx="0">
                  <c:v>Intermediate Reach (0.5-2 km)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Summary!$C$516:$M$516</c:f>
              <c:numCache>
                <c:formatCode>_(* #,##0_);_(* \(#,##0\);_(* "-"??_);_(@_)</c:formatCode>
                <c:ptCount val="11"/>
                <c:pt idx="0">
                  <c:v>3483603.6190476189</c:v>
                </c:pt>
                <c:pt idx="1">
                  <c:v>4947342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86D-B44D-82C7-451BF3F6F23D}"/>
            </c:ext>
          </c:extLst>
        </c:ser>
        <c:ser>
          <c:idx val="1"/>
          <c:order val="2"/>
          <c:tx>
            <c:strRef>
              <c:f>Summary!$B$517</c:f>
              <c:strCache>
                <c:ptCount val="1"/>
                <c:pt idx="0">
                  <c:v>Long Reach (10 km)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Summary!$C$517:$M$517</c:f>
              <c:numCache>
                <c:formatCode>_(* #,##0_);_(* \(#,##0\);_(* "-"??_);_(@_)</c:formatCode>
                <c:ptCount val="11"/>
                <c:pt idx="0">
                  <c:v>610404.1176470588</c:v>
                </c:pt>
                <c:pt idx="1">
                  <c:v>726058</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086D-B44D-82C7-451BF3F6F23D}"/>
            </c:ext>
          </c:extLst>
        </c:ser>
        <c:ser>
          <c:idx val="2"/>
          <c:order val="3"/>
          <c:tx>
            <c:strRef>
              <c:f>Summary!$B$518</c:f>
              <c:strCache>
                <c:ptCount val="1"/>
                <c:pt idx="0">
                  <c:v>Extended Reach (40 km)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Summary!$C$518:$M$518</c:f>
              <c:numCache>
                <c:formatCode>_(* #,##0_);_(* \(#,##0\);_(* "-"??_);_(@_)</c:formatCode>
                <c:ptCount val="11"/>
                <c:pt idx="0">
                  <c:v>10100</c:v>
                </c:pt>
                <c:pt idx="1">
                  <c:v>26734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086D-B44D-82C7-451BF3F6F23D}"/>
            </c:ext>
          </c:extLst>
        </c:ser>
        <c:dLbls>
          <c:showLegendKey val="0"/>
          <c:showVal val="0"/>
          <c:showCatName val="0"/>
          <c:showSerName val="0"/>
          <c:showPercent val="0"/>
          <c:showBubbleSize val="0"/>
        </c:dLbls>
        <c:marker val="1"/>
        <c:smooth val="0"/>
        <c:axId val="152464000"/>
        <c:axId val="152486272"/>
      </c:lineChart>
      <c:catAx>
        <c:axId val="152464000"/>
        <c:scaling>
          <c:orientation val="minMax"/>
        </c:scaling>
        <c:delete val="0"/>
        <c:axPos val="b"/>
        <c:numFmt formatCode="General" sourceLinked="1"/>
        <c:majorTickMark val="out"/>
        <c:minorTickMark val="none"/>
        <c:tickLblPos val="nextTo"/>
        <c:txPr>
          <a:bodyPr/>
          <a:lstStyle/>
          <a:p>
            <a:pPr>
              <a:defRPr sz="1200" b="0"/>
            </a:pPr>
            <a:endParaRPr lang="en-US"/>
          </a:p>
        </c:txPr>
        <c:crossAx val="152486272"/>
        <c:crosses val="autoZero"/>
        <c:auto val="1"/>
        <c:lblAlgn val="ctr"/>
        <c:lblOffset val="100"/>
        <c:noMultiLvlLbl val="1"/>
      </c:catAx>
      <c:valAx>
        <c:axId val="152486272"/>
        <c:scaling>
          <c:orientation val="minMax"/>
          <c:min val="0"/>
        </c:scaling>
        <c:delete val="0"/>
        <c:axPos val="l"/>
        <c:majorGridlines/>
        <c:title>
          <c:tx>
            <c:rich>
              <a:bodyPr rot="-5400000" vert="horz"/>
              <a:lstStyle/>
              <a:p>
                <a:pPr>
                  <a:defRPr/>
                </a:pPr>
                <a:r>
                  <a:rPr lang="en-US"/>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152464000"/>
        <c:crosses val="autoZero"/>
        <c:crossBetween val="between"/>
      </c:valAx>
    </c:plotArea>
    <c:legend>
      <c:legendPos val="r"/>
      <c:layout>
        <c:manualLayout>
          <c:xMode val="edge"/>
          <c:yMode val="edge"/>
          <c:x val="0.7818029773557299"/>
          <c:y val="0.18828240237259153"/>
          <c:w val="0.199479033152379"/>
          <c:h val="0.60571628582736603"/>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74797397367413"/>
          <c:y val="6.1985703987806028E-2"/>
          <c:w val="0.5954704822909106"/>
          <c:h val="0.82103571801968867"/>
        </c:manualLayout>
      </c:layout>
      <c:lineChart>
        <c:grouping val="standard"/>
        <c:varyColors val="0"/>
        <c:ser>
          <c:idx val="0"/>
          <c:order val="0"/>
          <c:tx>
            <c:strRef>
              <c:f>Summary!$N$515</c:f>
              <c:strCache>
                <c:ptCount val="1"/>
                <c:pt idx="0">
                  <c:v>Short Reach (100m)</c:v>
                </c:pt>
              </c:strCache>
            </c:strRef>
          </c:tx>
          <c:cat>
            <c:numRef>
              <c:f>Summary!$O$514:$Y$514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Summary!$O$515:$Y$515</c:f>
              <c:numCache>
                <c:formatCode>_("$"* #,##0_);_("$"* \(#,##0\);_("$"* "-"??_);_(@_)</c:formatCode>
                <c:ptCount val="11"/>
                <c:pt idx="0">
                  <c:v>251.93335254689399</c:v>
                </c:pt>
                <c:pt idx="1">
                  <c:v>221.36042718562368</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3-5F85-FA49-8D41-EC6F911A9D95}"/>
            </c:ext>
          </c:extLst>
        </c:ser>
        <c:ser>
          <c:idx val="3"/>
          <c:order val="1"/>
          <c:tx>
            <c:strRef>
              <c:f>Summary!$N$516</c:f>
              <c:strCache>
                <c:ptCount val="1"/>
                <c:pt idx="0">
                  <c:v>Intermediate Reach (0.5-2 km)</c:v>
                </c:pt>
              </c:strCache>
            </c:strRef>
          </c:tx>
          <c:cat>
            <c:numRef>
              <c:f>Summary!$O$514:$Y$514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Summary!$O$516:$Y$516</c:f>
              <c:numCache>
                <c:formatCode>_("$"* #,##0_);_("$"* \(#,##0\);_("$"* "-"??_);_(@_)</c:formatCode>
                <c:ptCount val="11"/>
                <c:pt idx="0">
                  <c:v>1320.3843113333332</c:v>
                </c:pt>
                <c:pt idx="1">
                  <c:v>1018.1696307919852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F85-FA49-8D41-EC6F911A9D95}"/>
            </c:ext>
          </c:extLst>
        </c:ser>
        <c:ser>
          <c:idx val="1"/>
          <c:order val="2"/>
          <c:tx>
            <c:strRef>
              <c:f>Summary!$N$517</c:f>
              <c:strCache>
                <c:ptCount val="1"/>
                <c:pt idx="0">
                  <c:v>Long Reach (10 km)</c:v>
                </c:pt>
              </c:strCache>
            </c:strRef>
          </c:tx>
          <c:cat>
            <c:numRef>
              <c:f>Summary!$O$514:$Y$514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Summary!$O$517:$Y$517</c:f>
              <c:numCache>
                <c:formatCode>_("$"* #,##0_);_("$"* \(#,##0\);_("$"* "-"??_);_(@_)</c:formatCode>
                <c:ptCount val="11"/>
                <c:pt idx="0">
                  <c:v>544.44552501424255</c:v>
                </c:pt>
                <c:pt idx="1">
                  <c:v>409.4246331506863</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5F85-FA49-8D41-EC6F911A9D95}"/>
            </c:ext>
          </c:extLst>
        </c:ser>
        <c:ser>
          <c:idx val="2"/>
          <c:order val="3"/>
          <c:tx>
            <c:strRef>
              <c:f>Summary!$N$518</c:f>
              <c:strCache>
                <c:ptCount val="1"/>
                <c:pt idx="0">
                  <c:v>Extended Reach (40 km)</c:v>
                </c:pt>
              </c:strCache>
            </c:strRef>
          </c:tx>
          <c:cat>
            <c:numRef>
              <c:f>Summary!$O$514:$Y$514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Summary!$O$518:$Y$518</c:f>
              <c:numCache>
                <c:formatCode>_("$"* #,##0_);_("$"* \(#,##0\);_("$"* "-"??_);_(@_)</c:formatCode>
                <c:ptCount val="11"/>
                <c:pt idx="0">
                  <c:v>38.842078210703875</c:v>
                </c:pt>
                <c:pt idx="1">
                  <c:v>69.339004041108097</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5F85-FA49-8D41-EC6F911A9D95}"/>
            </c:ext>
          </c:extLst>
        </c:ser>
        <c:dLbls>
          <c:showLegendKey val="0"/>
          <c:showVal val="0"/>
          <c:showCatName val="0"/>
          <c:showSerName val="0"/>
          <c:showPercent val="0"/>
          <c:showBubbleSize val="0"/>
        </c:dLbls>
        <c:marker val="1"/>
        <c:smooth val="0"/>
        <c:axId val="152539520"/>
        <c:axId val="152541056"/>
      </c:lineChart>
      <c:catAx>
        <c:axId val="152539520"/>
        <c:scaling>
          <c:orientation val="minMax"/>
        </c:scaling>
        <c:delete val="0"/>
        <c:axPos val="b"/>
        <c:numFmt formatCode="General" sourceLinked="1"/>
        <c:majorTickMark val="out"/>
        <c:minorTickMark val="none"/>
        <c:tickLblPos val="nextTo"/>
        <c:txPr>
          <a:bodyPr/>
          <a:lstStyle/>
          <a:p>
            <a:pPr>
              <a:defRPr sz="1200" b="0"/>
            </a:pPr>
            <a:endParaRPr lang="en-US"/>
          </a:p>
        </c:txPr>
        <c:crossAx val="152541056"/>
        <c:crosses val="autoZero"/>
        <c:auto val="1"/>
        <c:lblAlgn val="ctr"/>
        <c:lblOffset val="100"/>
        <c:tickLblSkip val="1"/>
        <c:noMultiLvlLbl val="1"/>
      </c:catAx>
      <c:valAx>
        <c:axId val="152541056"/>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152539520"/>
        <c:crosses val="autoZero"/>
        <c:crossBetween val="between"/>
      </c:valAx>
    </c:plotArea>
    <c:legend>
      <c:legendPos val="r"/>
      <c:layout>
        <c:manualLayout>
          <c:xMode val="edge"/>
          <c:yMode val="edge"/>
          <c:x val="0.75274992261220097"/>
          <c:y val="0.141341319701936"/>
          <c:w val="0.22435960043144801"/>
          <c:h val="0.7232376692837869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8548980958694"/>
          <c:y val="4.7896799910140578E-2"/>
          <c:w val="0.678324591215412"/>
          <c:h val="0.84801978059324501"/>
        </c:manualLayout>
      </c:layout>
      <c:barChart>
        <c:barDir val="col"/>
        <c:grouping val="stacked"/>
        <c:varyColors val="0"/>
        <c:ser>
          <c:idx val="3"/>
          <c:order val="0"/>
          <c:tx>
            <c:strRef>
              <c:f>Summary!$B$578</c:f>
              <c:strCache>
                <c:ptCount val="1"/>
                <c:pt idx="0">
                  <c:v>10G</c:v>
                </c:pt>
              </c:strCache>
            </c:strRef>
          </c:tx>
          <c:spPr>
            <a:solidFill>
              <a:schemeClr val="accent2"/>
            </a:solidFill>
          </c:spPr>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Summary!$C$578:$M$578</c:f>
              <c:numCache>
                <c:formatCode>_(* #,##0_);_(* \(#,##0\);_(* "-"??_);_(@_)</c:formatCode>
                <c:ptCount val="11"/>
                <c:pt idx="0">
                  <c:v>4256351</c:v>
                </c:pt>
                <c:pt idx="1">
                  <c:v>2601008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F88-DD48-B279-CF6EFC8632AD}"/>
            </c:ext>
          </c:extLst>
        </c:ser>
        <c:ser>
          <c:idx val="0"/>
          <c:order val="1"/>
          <c:tx>
            <c:strRef>
              <c:f>Summary!$B$579</c:f>
              <c:strCache>
                <c:ptCount val="1"/>
                <c:pt idx="0">
                  <c:v>25G</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Summary!$C$579:$M$579</c:f>
              <c:numCache>
                <c:formatCode>_(* #,##0_);_(* \(#,##0\);_(* "-"??_);_(@_)</c:formatCode>
                <c:ptCount val="11"/>
                <c:pt idx="0">
                  <c:v>1025400</c:v>
                </c:pt>
                <c:pt idx="1">
                  <c:v>1254029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D9F-064C-8160-670FAD83BE50}"/>
            </c:ext>
          </c:extLst>
        </c:ser>
        <c:ser>
          <c:idx val="1"/>
          <c:order val="2"/>
          <c:tx>
            <c:strRef>
              <c:f>Summary!$B$580</c:f>
              <c:strCache>
                <c:ptCount val="1"/>
                <c:pt idx="0">
                  <c:v>40G</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Summary!$C$580:$M$580</c:f>
              <c:numCache>
                <c:formatCode>_(* #,##0_);_(* \(#,##0\);_(* "-"??_);_(@_)</c:formatCode>
                <c:ptCount val="11"/>
                <c:pt idx="0">
                  <c:v>343161</c:v>
                </c:pt>
                <c:pt idx="1">
                  <c:v>278729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D9F-064C-8160-670FAD83BE50}"/>
            </c:ext>
          </c:extLst>
        </c:ser>
        <c:ser>
          <c:idx val="2"/>
          <c:order val="3"/>
          <c:tx>
            <c:strRef>
              <c:f>Summary!$B$581</c:f>
              <c:strCache>
                <c:ptCount val="1"/>
                <c:pt idx="0">
                  <c:v>100G</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Summary!$C$581:$M$581</c:f>
              <c:numCache>
                <c:formatCode>_(* #,##0_);_(* \(#,##0\);_(* "-"??_);_(@_)</c:formatCode>
                <c:ptCount val="11"/>
                <c:pt idx="0">
                  <c:v>273711</c:v>
                </c:pt>
                <c:pt idx="1">
                  <c:v>458979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5D9F-064C-8160-670FAD83BE50}"/>
            </c:ext>
          </c:extLst>
        </c:ser>
        <c:ser>
          <c:idx val="4"/>
          <c:order val="4"/>
          <c:tx>
            <c:strRef>
              <c:f>Summary!$B$582</c:f>
              <c:strCache>
                <c:ptCount val="1"/>
                <c:pt idx="0">
                  <c:v>200G</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Summary!$C$582:$M$582</c:f>
              <c:numCache>
                <c:formatCode>_(* #,##0_);_(* \(#,##0\);_(* "-"??_);_(@_)</c:formatCode>
                <c:ptCount val="11"/>
                <c:pt idx="0">
                  <c:v>0</c:v>
                </c:pt>
                <c:pt idx="1">
                  <c:v>96624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5D9F-064C-8160-670FAD83BE50}"/>
            </c:ext>
          </c:extLst>
        </c:ser>
        <c:ser>
          <c:idx val="5"/>
          <c:order val="5"/>
          <c:tx>
            <c:strRef>
              <c:f>Summary!$B$583</c:f>
              <c:strCache>
                <c:ptCount val="1"/>
                <c:pt idx="0">
                  <c:v>400G </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Summary!$C$583:$M$583</c:f>
              <c:numCache>
                <c:formatCode>_(* #,##0_);_(* \(#,##0\);_(* "-"??_);_(@_)</c:formatCode>
                <c:ptCount val="11"/>
                <c:pt idx="0">
                  <c:v>0</c:v>
                </c:pt>
                <c:pt idx="1">
                  <c:v>30994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5D9F-064C-8160-670FAD83BE50}"/>
            </c:ext>
          </c:extLst>
        </c:ser>
        <c:ser>
          <c:idx val="6"/>
          <c:order val="6"/>
          <c:tx>
            <c:strRef>
              <c:f>Summary!$B$584</c:f>
              <c:strCache>
                <c:ptCount val="1"/>
                <c:pt idx="0">
                  <c:v>800G, 1.6T</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Summary!$C$584:$M$584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199-436C-AC0B-E6DD03541DC8}"/>
            </c:ext>
          </c:extLst>
        </c:ser>
        <c:ser>
          <c:idx val="7"/>
          <c:order val="7"/>
          <c:tx>
            <c:strRef>
              <c:f>Summary!$B$585</c:f>
              <c:strCache>
                <c:ptCount val="1"/>
                <c:pt idx="0">
                  <c:v>All other</c:v>
                </c:pt>
              </c:strCache>
            </c:strRef>
          </c:tx>
          <c:invertIfNegative val="0"/>
          <c:cat>
            <c:numRef>
              <c:f>Summary!$C$577:$M$577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Summary!$C$585:$M$585</c:f>
              <c:numCache>
                <c:formatCode>_(* #,##0_);_(* \(#,##0\);_(* "-"??_);_(@_)</c:formatCode>
                <c:ptCount val="11"/>
                <c:pt idx="0">
                  <c:v>182331</c:v>
                </c:pt>
                <c:pt idx="1">
                  <c:v>219882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199-436C-AC0B-E6DD03541DC8}"/>
            </c:ext>
          </c:extLst>
        </c:ser>
        <c:dLbls>
          <c:showLegendKey val="0"/>
          <c:showVal val="0"/>
          <c:showCatName val="0"/>
          <c:showSerName val="0"/>
          <c:showPercent val="0"/>
          <c:showBubbleSize val="0"/>
        </c:dLbls>
        <c:gapWidth val="111"/>
        <c:overlap val="100"/>
        <c:axId val="152585728"/>
        <c:axId val="152587264"/>
      </c:barChart>
      <c:catAx>
        <c:axId val="152585728"/>
        <c:scaling>
          <c:orientation val="minMax"/>
        </c:scaling>
        <c:delete val="0"/>
        <c:axPos val="b"/>
        <c:numFmt formatCode="General" sourceLinked="1"/>
        <c:majorTickMark val="out"/>
        <c:minorTickMark val="none"/>
        <c:tickLblPos val="nextTo"/>
        <c:txPr>
          <a:bodyPr/>
          <a:lstStyle/>
          <a:p>
            <a:pPr>
              <a:defRPr sz="1200" b="0"/>
            </a:pPr>
            <a:endParaRPr lang="en-US"/>
          </a:p>
        </c:txPr>
        <c:crossAx val="152587264"/>
        <c:crosses val="autoZero"/>
        <c:auto val="1"/>
        <c:lblAlgn val="ctr"/>
        <c:lblOffset val="100"/>
        <c:noMultiLvlLbl val="0"/>
      </c:catAx>
      <c:valAx>
        <c:axId val="152587264"/>
        <c:scaling>
          <c:orientation val="minMax"/>
          <c:min val="0"/>
        </c:scaling>
        <c:delete val="0"/>
        <c:axPos val="l"/>
        <c:majorGridlines/>
        <c:title>
          <c:tx>
            <c:rich>
              <a:bodyPr rot="-5400000" vert="horz"/>
              <a:lstStyle/>
              <a:p>
                <a:pPr>
                  <a:defRPr/>
                </a:pPr>
                <a:r>
                  <a:rPr lang="en-US"/>
                  <a:t>Annaul shipments (units)</a:t>
                </a:r>
              </a:p>
            </c:rich>
          </c:tx>
          <c:layout>
            <c:manualLayout>
              <c:xMode val="edge"/>
              <c:yMode val="edge"/>
              <c:x val="1.703832733192138E-3"/>
              <c:y val="0.17017869778032726"/>
            </c:manualLayout>
          </c:layout>
          <c:overlay val="0"/>
        </c:title>
        <c:numFmt formatCode="_(* #,##0_);_(* \(#,##0\);_(* &quot;-&quot;??_);_(@_)" sourceLinked="1"/>
        <c:majorTickMark val="out"/>
        <c:minorTickMark val="none"/>
        <c:tickLblPos val="nextTo"/>
        <c:crossAx val="152585728"/>
        <c:crosses val="autoZero"/>
        <c:crossBetween val="between"/>
      </c:valAx>
    </c:plotArea>
    <c:legend>
      <c:legendPos val="r"/>
      <c:layout>
        <c:manualLayout>
          <c:xMode val="edge"/>
          <c:yMode val="edge"/>
          <c:x val="0.86998177892753292"/>
          <c:y val="0.13132845508096289"/>
          <c:w val="0.11441291862210463"/>
          <c:h val="0.72217736231610707"/>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822787720052"/>
          <c:y val="5.9701761220520344E-2"/>
          <c:w val="0.65056586375101222"/>
          <c:h val="0.83467226221835311"/>
        </c:manualLayout>
      </c:layout>
      <c:lineChart>
        <c:grouping val="standard"/>
        <c:varyColors val="0"/>
        <c:ser>
          <c:idx val="0"/>
          <c:order val="0"/>
          <c:tx>
            <c:strRef>
              <c:f>Summary!$B$458</c:f>
              <c:strCache>
                <c:ptCount val="1"/>
                <c:pt idx="0">
                  <c:v>Short Reach (100m/300m)</c:v>
                </c:pt>
              </c:strCache>
            </c:strRef>
          </c:tx>
          <c:cat>
            <c:numRef>
              <c:f>Summary!$C$457:$M$457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Summary!$C$458:$M$458</c:f>
              <c:numCache>
                <c:formatCode>_(* #,##0_);_(* \(#,##0\);_(* "-"??_);_(@_)</c:formatCode>
                <c:ptCount val="11"/>
                <c:pt idx="0">
                  <c:v>14084264</c:v>
                </c:pt>
                <c:pt idx="1">
                  <c:v>12626905.000000002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67F5-734D-A34D-2E2F4E3466FC}"/>
            </c:ext>
          </c:extLst>
        </c:ser>
        <c:ser>
          <c:idx val="1"/>
          <c:order val="1"/>
          <c:tx>
            <c:strRef>
              <c:f>Summary!$B$459</c:f>
              <c:strCache>
                <c:ptCount val="1"/>
                <c:pt idx="0">
                  <c:v>Long Reach (10 km)</c:v>
                </c:pt>
              </c:strCache>
            </c:strRef>
          </c:tx>
          <c:cat>
            <c:numRef>
              <c:f>Summary!$C$457:$M$457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Summary!$C$459:$M$459</c:f>
              <c:numCache>
                <c:formatCode>_(* #,##0_);_(* \(#,##0\);_(* "-"??_);_(@_)</c:formatCode>
                <c:ptCount val="11"/>
                <c:pt idx="0">
                  <c:v>7087259</c:v>
                </c:pt>
                <c:pt idx="1">
                  <c:v>5481407</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67F5-734D-A34D-2E2F4E3466FC}"/>
            </c:ext>
          </c:extLst>
        </c:ser>
        <c:ser>
          <c:idx val="2"/>
          <c:order val="2"/>
          <c:tx>
            <c:strRef>
              <c:f>Summary!$B$460</c:f>
              <c:strCache>
                <c:ptCount val="1"/>
                <c:pt idx="0">
                  <c:v>Extended Reach (40 &amp; 80 Km)</c:v>
                </c:pt>
              </c:strCache>
            </c:strRef>
          </c:tx>
          <c:cat>
            <c:numRef>
              <c:f>Summary!$C$457:$M$457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Summary!$C$460:$M$460</c:f>
              <c:numCache>
                <c:formatCode>_(* #,##0_);_(* \(#,##0\);_(* "-"??_);_(@_)</c:formatCode>
                <c:ptCount val="11"/>
                <c:pt idx="0">
                  <c:v>845482.1</c:v>
                </c:pt>
                <c:pt idx="1">
                  <c:v>506727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9EF-6A4D-A8B6-D914D02FAC65}"/>
            </c:ext>
          </c:extLst>
        </c:ser>
        <c:dLbls>
          <c:showLegendKey val="0"/>
          <c:showVal val="0"/>
          <c:showCatName val="0"/>
          <c:showSerName val="0"/>
          <c:showPercent val="0"/>
          <c:showBubbleSize val="0"/>
        </c:dLbls>
        <c:marker val="1"/>
        <c:smooth val="0"/>
        <c:axId val="152639360"/>
        <c:axId val="152640896"/>
      </c:lineChart>
      <c:catAx>
        <c:axId val="152639360"/>
        <c:scaling>
          <c:orientation val="minMax"/>
        </c:scaling>
        <c:delete val="0"/>
        <c:axPos val="b"/>
        <c:numFmt formatCode="General" sourceLinked="1"/>
        <c:majorTickMark val="out"/>
        <c:minorTickMark val="none"/>
        <c:tickLblPos val="nextTo"/>
        <c:txPr>
          <a:bodyPr/>
          <a:lstStyle/>
          <a:p>
            <a:pPr>
              <a:defRPr sz="1200" b="0"/>
            </a:pPr>
            <a:endParaRPr lang="en-US"/>
          </a:p>
        </c:txPr>
        <c:crossAx val="152640896"/>
        <c:crosses val="autoZero"/>
        <c:auto val="1"/>
        <c:lblAlgn val="ctr"/>
        <c:lblOffset val="100"/>
        <c:tickLblSkip val="1"/>
        <c:noMultiLvlLbl val="1"/>
      </c:catAx>
      <c:valAx>
        <c:axId val="152640896"/>
        <c:scaling>
          <c:orientation val="minMax"/>
        </c:scaling>
        <c:delete val="0"/>
        <c:axPos val="l"/>
        <c:majorGridlines/>
        <c:title>
          <c:tx>
            <c:rich>
              <a:bodyPr rot="-5400000" vert="horz"/>
              <a:lstStyle/>
              <a:p>
                <a:pPr>
                  <a:defRPr/>
                </a:pPr>
                <a:r>
                  <a:rPr lang="en-US"/>
                  <a:t>Units</a:t>
                </a:r>
              </a:p>
            </c:rich>
          </c:tx>
          <c:overlay val="0"/>
        </c:title>
        <c:numFmt formatCode="_(* #,##0_);_(* \(#,##0\);_(* &quot;-&quot;??_);_(@_)" sourceLinked="1"/>
        <c:majorTickMark val="out"/>
        <c:minorTickMark val="none"/>
        <c:tickLblPos val="nextTo"/>
        <c:crossAx val="152639360"/>
        <c:crosses val="autoZero"/>
        <c:crossBetween val="between"/>
      </c:valAx>
    </c:plotArea>
    <c:legend>
      <c:legendPos val="r"/>
      <c:layout>
        <c:manualLayout>
          <c:xMode val="edge"/>
          <c:yMode val="edge"/>
          <c:x val="0.82220637948992414"/>
          <c:y val="0.25780520696589698"/>
          <c:w val="0.17779359757497817"/>
          <c:h val="0.2348295033525170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Ethernet bandwidth</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Methodology!$C$30:$X$30</c:f>
              <c:numCache>
                <c:formatCode>0%</c:formatCode>
                <c:ptCount val="22"/>
                <c:pt idx="0">
                  <c:v>0.2363366825514075</c:v>
                </c:pt>
                <c:pt idx="1">
                  <c:v>0.26126010671388444</c:v>
                </c:pt>
                <c:pt idx="2">
                  <c:v>0.25114039004710653</c:v>
                </c:pt>
                <c:pt idx="3">
                  <c:v>0.38417207079295546</c:v>
                </c:pt>
                <c:pt idx="4">
                  <c:v>0.42417382322831676</c:v>
                </c:pt>
                <c:pt idx="5">
                  <c:v>0.37489363230622441</c:v>
                </c:pt>
                <c:pt idx="6">
                  <c:v>0.43190873335062818</c:v>
                </c:pt>
                <c:pt idx="7">
                  <c:v>0.49082663568861773</c:v>
                </c:pt>
                <c:pt idx="8">
                  <c:v>0.39953696134919681</c:v>
                </c:pt>
                <c:pt idx="9">
                  <c:v>0.41922148072449872</c:v>
                </c:pt>
                <c:pt idx="10">
                  <c:v>0.464032235755518</c:v>
                </c:pt>
                <c:pt idx="11">
                  <c:v>0.4825440362243909</c:v>
                </c:pt>
                <c:pt idx="12">
                  <c:v>0.38287821729406568</c:v>
                </c:pt>
                <c:pt idx="13">
                  <c:v>0.49684907901277331</c:v>
                </c:pt>
                <c:pt idx="14">
                  <c:v>0.5206620502651238</c:v>
                </c:pt>
                <c:pt idx="15">
                  <c:v>0.47042476689043422</c:v>
                </c:pt>
                <c:pt idx="16">
                  <c:v>0.37687709454086038</c:v>
                </c:pt>
                <c:pt idx="17">
                  <c:v>0.47180163302369338</c:v>
                </c:pt>
                <c:pt idx="18">
                  <c:v>0.55823494970175247</c:v>
                </c:pt>
                <c:pt idx="19">
                  <c:v>0.51372867091482277</c:v>
                </c:pt>
                <c:pt idx="20">
                  <c:v>0.43602298647588111</c:v>
                </c:pt>
                <c:pt idx="21">
                  <c:v>0.39506102955603883</c:v>
                </c:pt>
              </c:numCache>
            </c:numRef>
          </c:val>
          <c:smooth val="1"/>
          <c:extLst>
            <c:ext xmlns:c16="http://schemas.microsoft.com/office/drawing/2014/chart" uri="{C3380CC4-5D6E-409C-BE32-E72D297353CC}">
              <c16:uniqueId val="{00000000-FC76-1C46-AB23-E30FEFD41985}"/>
            </c:ext>
          </c:extLst>
        </c:ser>
        <c:ser>
          <c:idx val="1"/>
          <c:order val="1"/>
          <c:tx>
            <c:strRef>
              <c:f>Methodology!$B$29</c:f>
              <c:strCache>
                <c:ptCount val="1"/>
                <c:pt idx="0">
                  <c:v>Internet Traffic</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Methodology!$C$29:$X$29</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FC76-1C46-AB23-E30FEFD41985}"/>
            </c:ext>
          </c:extLst>
        </c:ser>
        <c:dLbls>
          <c:showLegendKey val="0"/>
          <c:showVal val="0"/>
          <c:showCatName val="0"/>
          <c:showSerName val="0"/>
          <c:showPercent val="0"/>
          <c:showBubbleSize val="0"/>
        </c:dLbls>
        <c:marker val="1"/>
        <c:smooth val="0"/>
        <c:axId val="149169280"/>
        <c:axId val="149170816"/>
      </c:lineChart>
      <c:catAx>
        <c:axId val="149169280"/>
        <c:scaling>
          <c:orientation val="minMax"/>
        </c:scaling>
        <c:delete val="0"/>
        <c:axPos val="b"/>
        <c:numFmt formatCode="General" sourceLinked="1"/>
        <c:majorTickMark val="out"/>
        <c:minorTickMark val="none"/>
        <c:tickLblPos val="nextTo"/>
        <c:txPr>
          <a:bodyPr rot="-5400000" vert="horz"/>
          <a:lstStyle/>
          <a:p>
            <a:pPr>
              <a:defRPr sz="1000"/>
            </a:pPr>
            <a:endParaRPr lang="en-US"/>
          </a:p>
        </c:txPr>
        <c:crossAx val="149170816"/>
        <c:crosses val="autoZero"/>
        <c:auto val="1"/>
        <c:lblAlgn val="ctr"/>
        <c:lblOffset val="100"/>
        <c:tickLblSkip val="1"/>
        <c:noMultiLvlLbl val="1"/>
      </c:catAx>
      <c:valAx>
        <c:axId val="149170816"/>
        <c:scaling>
          <c:orientation val="minMax"/>
          <c:min val="0"/>
        </c:scaling>
        <c:delete val="0"/>
        <c:axPos val="l"/>
        <c:majorGridlines/>
        <c:title>
          <c:tx>
            <c:rich>
              <a:bodyPr rot="-5400000" vert="horz"/>
              <a:lstStyle/>
              <a:p>
                <a:pPr>
                  <a:defRPr sz="1200" b="0"/>
                </a:pPr>
                <a:r>
                  <a:rPr lang="en-US" sz="1200" b="0"/>
                  <a:t>Growth rate (%)</a:t>
                </a:r>
              </a:p>
            </c:rich>
          </c:tx>
          <c:layout>
            <c:manualLayout>
              <c:xMode val="edge"/>
              <c:yMode val="edge"/>
              <c:x val="1.7081854363068763E-2"/>
              <c:y val="0.2548486483636781"/>
            </c:manualLayout>
          </c:layout>
          <c:overlay val="0"/>
        </c:title>
        <c:numFmt formatCode="0%" sourceLinked="1"/>
        <c:majorTickMark val="out"/>
        <c:minorTickMark val="none"/>
        <c:tickLblPos val="nextTo"/>
        <c:txPr>
          <a:bodyPr/>
          <a:lstStyle/>
          <a:p>
            <a:pPr>
              <a:defRPr sz="1050"/>
            </a:pPr>
            <a:endParaRPr lang="en-US"/>
          </a:p>
        </c:txPr>
        <c:crossAx val="149169280"/>
        <c:crosses val="autoZero"/>
        <c:crossBetween val="between"/>
        <c:majorUnit val="0.1"/>
      </c:valAx>
    </c:plotArea>
    <c:legend>
      <c:legendPos val="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059877195222"/>
          <c:y val="6.5307225303267449E-2"/>
          <c:w val="0.6494019703197248"/>
          <c:h val="0.83265883179305233"/>
        </c:manualLayout>
      </c:layout>
      <c:lineChart>
        <c:grouping val="standard"/>
        <c:varyColors val="0"/>
        <c:ser>
          <c:idx val="0"/>
          <c:order val="0"/>
          <c:tx>
            <c:strRef>
              <c:f>Summary!$N$458</c:f>
              <c:strCache>
                <c:ptCount val="1"/>
                <c:pt idx="0">
                  <c:v>Short Reach (100m/300m)</c:v>
                </c:pt>
              </c:strCache>
            </c:strRef>
          </c:tx>
          <c:cat>
            <c:numRef>
              <c:f>Summary!$O$457:$Y$457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Summary!$O$458:$Y$458</c:f>
              <c:numCache>
                <c:formatCode>_("$"* #,##0_);_("$"* \(#,##0\);_("$"* "-"??_);_(@_)</c:formatCode>
                <c:ptCount val="11"/>
                <c:pt idx="0">
                  <c:v>188.42638884181611</c:v>
                </c:pt>
                <c:pt idx="1">
                  <c:v>153.72384550000001</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8D12-8142-AEC7-6CCE505764F2}"/>
            </c:ext>
          </c:extLst>
        </c:ser>
        <c:ser>
          <c:idx val="1"/>
          <c:order val="1"/>
          <c:tx>
            <c:strRef>
              <c:f>Summary!$N$459</c:f>
              <c:strCache>
                <c:ptCount val="1"/>
                <c:pt idx="0">
                  <c:v>Long Reach (10 km)</c:v>
                </c:pt>
              </c:strCache>
            </c:strRef>
          </c:tx>
          <c:cat>
            <c:numRef>
              <c:f>Summary!$O$457:$Y$457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Summary!$O$459:$Y$459</c:f>
              <c:numCache>
                <c:formatCode>_("$"* #,##0_);_("$"* \(#,##0\);_("$"* "-"??_);_(@_)</c:formatCode>
                <c:ptCount val="11"/>
                <c:pt idx="0">
                  <c:v>175.26710676970723</c:v>
                </c:pt>
                <c:pt idx="1">
                  <c:v>122.24257185132863</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8D12-8142-AEC7-6CCE505764F2}"/>
            </c:ext>
          </c:extLst>
        </c:ser>
        <c:ser>
          <c:idx val="2"/>
          <c:order val="2"/>
          <c:tx>
            <c:strRef>
              <c:f>Summary!$N$460</c:f>
              <c:strCache>
                <c:ptCount val="1"/>
                <c:pt idx="0">
                  <c:v>Extended Reach (40 &amp; 80 Km)</c:v>
                </c:pt>
              </c:strCache>
            </c:strRef>
          </c:tx>
          <c:cat>
            <c:numRef>
              <c:f>Summary!$O$457:$Y$457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Summary!$O$460:$Y$460</c:f>
              <c:numCache>
                <c:formatCode>_("$"* #,##0_);_("$"* \(#,##0\);_("$"* "-"??_);_(@_)</c:formatCode>
                <c:ptCount val="11"/>
                <c:pt idx="0">
                  <c:v>107.72634092712892</c:v>
                </c:pt>
                <c:pt idx="1">
                  <c:v>54.224780328813537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890-C648-BB77-7CEB312417EF}"/>
            </c:ext>
          </c:extLst>
        </c:ser>
        <c:dLbls>
          <c:showLegendKey val="0"/>
          <c:showVal val="0"/>
          <c:showCatName val="0"/>
          <c:showSerName val="0"/>
          <c:showPercent val="0"/>
          <c:showBubbleSize val="0"/>
        </c:dLbls>
        <c:marker val="1"/>
        <c:smooth val="0"/>
        <c:axId val="152692992"/>
        <c:axId val="152829952"/>
      </c:lineChart>
      <c:catAx>
        <c:axId val="152692992"/>
        <c:scaling>
          <c:orientation val="minMax"/>
        </c:scaling>
        <c:delete val="0"/>
        <c:axPos val="b"/>
        <c:numFmt formatCode="General" sourceLinked="1"/>
        <c:majorTickMark val="out"/>
        <c:minorTickMark val="none"/>
        <c:tickLblPos val="nextTo"/>
        <c:txPr>
          <a:bodyPr/>
          <a:lstStyle/>
          <a:p>
            <a:pPr>
              <a:defRPr sz="1200" b="0"/>
            </a:pPr>
            <a:endParaRPr lang="en-US"/>
          </a:p>
        </c:txPr>
        <c:crossAx val="152829952"/>
        <c:crosses val="autoZero"/>
        <c:auto val="1"/>
        <c:lblAlgn val="ctr"/>
        <c:lblOffset val="100"/>
        <c:tickLblSkip val="1"/>
        <c:noMultiLvlLbl val="1"/>
      </c:catAx>
      <c:valAx>
        <c:axId val="152829952"/>
        <c:scaling>
          <c:orientation val="minMax"/>
        </c:scaling>
        <c:delete val="0"/>
        <c:axPos val="l"/>
        <c:majorGridlines/>
        <c:title>
          <c:tx>
            <c:rich>
              <a:bodyPr rot="-5400000" vert="horz"/>
              <a:lstStyle/>
              <a:p>
                <a:pPr>
                  <a:defRPr/>
                </a:pPr>
                <a:r>
                  <a:rPr lang="en-US"/>
                  <a:t>Sales ($M)</a:t>
                </a:r>
              </a:p>
            </c:rich>
          </c:tx>
          <c:layout>
            <c:manualLayout>
              <c:xMode val="edge"/>
              <c:yMode val="edge"/>
              <c:x val="1.1262946313117417E-2"/>
              <c:y val="0.39913658654762618"/>
            </c:manualLayout>
          </c:layout>
          <c:overlay val="0"/>
        </c:title>
        <c:numFmt formatCode="_(&quot;$&quot;* #,##0_);_(&quot;$&quot;* \(#,##0\);_(&quot;$&quot;* &quot;-&quot;??_);_(@_)" sourceLinked="1"/>
        <c:majorTickMark val="out"/>
        <c:minorTickMark val="none"/>
        <c:tickLblPos val="nextTo"/>
        <c:crossAx val="152692992"/>
        <c:crosses val="autoZero"/>
        <c:crossBetween val="between"/>
      </c:valAx>
    </c:plotArea>
    <c:legend>
      <c:legendPos val="r"/>
      <c:layout>
        <c:manualLayout>
          <c:xMode val="edge"/>
          <c:yMode val="edge"/>
          <c:x val="0.81372483950987895"/>
          <c:y val="4.9851804232028257E-2"/>
          <c:w val="0.16641533533883901"/>
          <c:h val="0.84216150759122899"/>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9815657924786"/>
          <c:y val="5.5257369935372801E-2"/>
          <c:w val="0.78346667405655401"/>
          <c:h val="0.83840517809944959"/>
        </c:manualLayout>
      </c:layout>
      <c:lineChart>
        <c:grouping val="standard"/>
        <c:varyColors val="0"/>
        <c:ser>
          <c:idx val="1"/>
          <c:order val="0"/>
          <c:tx>
            <c:strRef>
              <c:f>Summary!$N$196</c:f>
              <c:strCache>
                <c:ptCount val="1"/>
                <c:pt idx="0">
                  <c:v>On board</c:v>
                </c:pt>
              </c:strCache>
            </c:strRef>
          </c:tx>
          <c:cat>
            <c:numRef>
              <c:f>Summary!$O$195:$Y$195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Summary!$O$196:$Y$196</c:f>
              <c:numCache>
                <c:formatCode>_(* #,##0_);_(* \(#,##0\);_(* "-"??_);_(@_)</c:formatCode>
                <c:ptCount val="11"/>
                <c:pt idx="0">
                  <c:v>271842</c:v>
                </c:pt>
                <c:pt idx="1">
                  <c:v>220820.20000000004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487B-C744-8624-0F1137E8F1D2}"/>
            </c:ext>
          </c:extLst>
        </c:ser>
        <c:ser>
          <c:idx val="2"/>
          <c:order val="1"/>
          <c:tx>
            <c:strRef>
              <c:f>Summary!$N$197</c:f>
              <c:strCache>
                <c:ptCount val="1"/>
                <c:pt idx="0">
                  <c:v>Direct detect</c:v>
                </c:pt>
              </c:strCache>
            </c:strRef>
          </c:tx>
          <c:cat>
            <c:numRef>
              <c:f>Summary!$O$195:$Y$195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Summary!$O$197:$Y$197</c:f>
              <c:numCache>
                <c:formatCode>_(* #,##0_);_(* \(#,##0\);_(* "-"??_);_(@_)</c:formatCode>
                <c:ptCount val="11"/>
                <c:pt idx="0">
                  <c:v>27000</c:v>
                </c:pt>
                <c:pt idx="1">
                  <c:v>38000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487B-C744-8624-0F1137E8F1D2}"/>
            </c:ext>
          </c:extLst>
        </c:ser>
        <c:ser>
          <c:idx val="0"/>
          <c:order val="2"/>
          <c:tx>
            <c:strRef>
              <c:f>Summary!$N$198</c:f>
              <c:strCache>
                <c:ptCount val="1"/>
                <c:pt idx="0">
                  <c:v>CFP-DCO</c:v>
                </c:pt>
              </c:strCache>
            </c:strRef>
          </c:tx>
          <c:cat>
            <c:numRef>
              <c:f>Summary!$O$195:$Y$195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Summary!$O$198:$Y$198</c:f>
              <c:numCache>
                <c:formatCode>_(* #,##0_);_(* \(#,##0\);_(* "-"??_);_(@_)</c:formatCode>
                <c:ptCount val="11"/>
                <c:pt idx="0">
                  <c:v>39955</c:v>
                </c:pt>
                <c:pt idx="1">
                  <c:v>77155.600000000006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22C-0346-B90F-F11B9BC80C4E}"/>
            </c:ext>
          </c:extLst>
        </c:ser>
        <c:ser>
          <c:idx val="4"/>
          <c:order val="3"/>
          <c:tx>
            <c:strRef>
              <c:f>Summary!$N$199</c:f>
              <c:strCache>
                <c:ptCount val="1"/>
                <c:pt idx="0">
                  <c:v>100GbE ZR</c:v>
                </c:pt>
              </c:strCache>
            </c:strRef>
          </c:tx>
          <c:cat>
            <c:numRef>
              <c:f>Summary!$O$195:$Y$195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Summary!$O$199:$Y$199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487B-C744-8624-0F1137E8F1D2}"/>
            </c:ext>
          </c:extLst>
        </c:ser>
        <c:ser>
          <c:idx val="3"/>
          <c:order val="4"/>
          <c:tx>
            <c:strRef>
              <c:f>Summary!$N$200</c:f>
              <c:strCache>
                <c:ptCount val="1"/>
                <c:pt idx="0">
                  <c:v>CFP2-ACO</c:v>
                </c:pt>
              </c:strCache>
            </c:strRef>
          </c:tx>
          <c:cat>
            <c:numRef>
              <c:f>Summary!$O$195:$Y$195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Summary!$O$200:$Y$200</c:f>
              <c:numCache>
                <c:formatCode>_(* #,##0_);_(* \(#,##0\);_(* "-"??_);_(@_)</c:formatCode>
                <c:ptCount val="11"/>
                <c:pt idx="0">
                  <c:v>18203</c:v>
                </c:pt>
                <c:pt idx="1">
                  <c:v>9024.2000000000007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96C-AA4F-9F6E-5FAD18C0A5D0}"/>
            </c:ext>
          </c:extLst>
        </c:ser>
        <c:dLbls>
          <c:showLegendKey val="0"/>
          <c:showVal val="0"/>
          <c:showCatName val="0"/>
          <c:showSerName val="0"/>
          <c:showPercent val="0"/>
          <c:showBubbleSize val="0"/>
        </c:dLbls>
        <c:marker val="1"/>
        <c:smooth val="0"/>
        <c:axId val="152942080"/>
        <c:axId val="152943616"/>
      </c:lineChart>
      <c:catAx>
        <c:axId val="152942080"/>
        <c:scaling>
          <c:orientation val="minMax"/>
        </c:scaling>
        <c:delete val="0"/>
        <c:axPos val="b"/>
        <c:numFmt formatCode="General" sourceLinked="1"/>
        <c:majorTickMark val="out"/>
        <c:minorTickMark val="none"/>
        <c:tickLblPos val="nextTo"/>
        <c:txPr>
          <a:bodyPr/>
          <a:lstStyle/>
          <a:p>
            <a:pPr>
              <a:defRPr sz="1200" b="0"/>
            </a:pPr>
            <a:endParaRPr lang="en-US"/>
          </a:p>
        </c:txPr>
        <c:crossAx val="152943616"/>
        <c:crosses val="autoZero"/>
        <c:auto val="1"/>
        <c:lblAlgn val="ctr"/>
        <c:lblOffset val="100"/>
        <c:noMultiLvlLbl val="0"/>
      </c:catAx>
      <c:valAx>
        <c:axId val="152943616"/>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4.6561006413460403E-3"/>
              <c:y val="0.38790507099830263"/>
            </c:manualLayout>
          </c:layout>
          <c:overlay val="0"/>
        </c:title>
        <c:numFmt formatCode="_(* #,##0_);_(* \(#,##0\);_(* &quot;-&quot;_);_(@_)" sourceLinked="0"/>
        <c:majorTickMark val="out"/>
        <c:minorTickMark val="none"/>
        <c:tickLblPos val="nextTo"/>
        <c:txPr>
          <a:bodyPr/>
          <a:lstStyle/>
          <a:p>
            <a:pPr>
              <a:defRPr sz="1400" b="0"/>
            </a:pPr>
            <a:endParaRPr lang="en-US"/>
          </a:p>
        </c:txPr>
        <c:crossAx val="152942080"/>
        <c:crosses val="autoZero"/>
        <c:crossBetween val="between"/>
      </c:valAx>
    </c:plotArea>
    <c:legend>
      <c:legendPos val="r"/>
      <c:layout>
        <c:manualLayout>
          <c:xMode val="edge"/>
          <c:yMode val="edge"/>
          <c:x val="0.33124546554536682"/>
          <c:y val="3.3481864166589659E-2"/>
          <c:w val="0.44413912993238075"/>
          <c:h val="0.2367690111589755"/>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53676311441582"/>
          <c:y val="0.13880663370973664"/>
          <c:w val="0.80827817040103134"/>
          <c:h val="0.75375248580132637"/>
        </c:manualLayout>
      </c:layout>
      <c:lineChart>
        <c:grouping val="standard"/>
        <c:varyColors val="0"/>
        <c:ser>
          <c:idx val="1"/>
          <c:order val="0"/>
          <c:tx>
            <c:strRef>
              <c:f>Summary!$B$97</c:f>
              <c:strCache>
                <c:ptCount val="1"/>
                <c:pt idx="0">
                  <c:v>Ethernet</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Summary!$C$97:$M$97</c:f>
              <c:numCache>
                <c:formatCode>_("$"* #,##0_);_("$"* \(#,##0\);_("$"* "-"??_);_(@_)</c:formatCode>
                <c:ptCount val="11"/>
                <c:pt idx="0">
                  <c:v>3383.8982428713425</c:v>
                </c:pt>
                <c:pt idx="1">
                  <c:v>2782.4703988713959</c:v>
                </c:pt>
              </c:numCache>
            </c:numRef>
          </c:val>
          <c:smooth val="1"/>
          <c:extLst>
            <c:ext xmlns:c16="http://schemas.microsoft.com/office/drawing/2014/chart" uri="{C3380CC4-5D6E-409C-BE32-E72D297353CC}">
              <c16:uniqueId val="{00000000-2CE6-6542-B6CC-8EB5FA18C9D7}"/>
            </c:ext>
          </c:extLst>
        </c:ser>
        <c:ser>
          <c:idx val="2"/>
          <c:order val="1"/>
          <c:tx>
            <c:strRef>
              <c:f>Summary!$B$98</c:f>
              <c:strCache>
                <c:ptCount val="1"/>
                <c:pt idx="0">
                  <c:v>Fibre Channel</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Summary!$C$98:$M$98</c:f>
              <c:numCache>
                <c:formatCode>_("$"* #,##0_);_("$"* \(#,##0\);_("$"* "-"??_);_(@_)</c:formatCode>
                <c:ptCount val="11"/>
                <c:pt idx="0">
                  <c:v>218.4222266667125</c:v>
                </c:pt>
                <c:pt idx="1">
                  <c:v>271.04595053612644</c:v>
                </c:pt>
              </c:numCache>
            </c:numRef>
          </c:val>
          <c:smooth val="1"/>
          <c:extLst>
            <c:ext xmlns:c16="http://schemas.microsoft.com/office/drawing/2014/chart" uri="{C3380CC4-5D6E-409C-BE32-E72D297353CC}">
              <c16:uniqueId val="{00000001-2CE6-6542-B6CC-8EB5FA18C9D7}"/>
            </c:ext>
          </c:extLst>
        </c:ser>
        <c:ser>
          <c:idx val="4"/>
          <c:order val="2"/>
          <c:tx>
            <c:strRef>
              <c:f>Summary!$B$99</c:f>
              <c:strCache>
                <c:ptCount val="1"/>
                <c:pt idx="0">
                  <c:v>Optical Interconnects</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227.1686618283141</c:v>
                </c:pt>
                <c:pt idx="1">
                  <c:v>383.14520409235945</c:v>
                </c:pt>
              </c:numCache>
            </c:numRef>
          </c:val>
          <c:smooth val="1"/>
          <c:extLst>
            <c:ext xmlns:c16="http://schemas.microsoft.com/office/drawing/2014/chart" uri="{C3380CC4-5D6E-409C-BE32-E72D297353CC}">
              <c16:uniqueId val="{00000002-2CE6-6542-B6CC-8EB5FA18C9D7}"/>
            </c:ext>
          </c:extLst>
        </c:ser>
        <c:dLbls>
          <c:showLegendKey val="0"/>
          <c:showVal val="0"/>
          <c:showCatName val="0"/>
          <c:showSerName val="0"/>
          <c:showPercent val="0"/>
          <c:showBubbleSize val="0"/>
        </c:dLbls>
        <c:marker val="1"/>
        <c:smooth val="0"/>
        <c:axId val="153008000"/>
        <c:axId val="153009536"/>
      </c:lineChart>
      <c:catAx>
        <c:axId val="153008000"/>
        <c:scaling>
          <c:orientation val="minMax"/>
        </c:scaling>
        <c:delete val="0"/>
        <c:axPos val="b"/>
        <c:numFmt formatCode="General" sourceLinked="1"/>
        <c:majorTickMark val="out"/>
        <c:minorTickMark val="none"/>
        <c:tickLblPos val="nextTo"/>
        <c:txPr>
          <a:bodyPr/>
          <a:lstStyle/>
          <a:p>
            <a:pPr>
              <a:defRPr sz="1200" b="0"/>
            </a:pPr>
            <a:endParaRPr lang="en-US"/>
          </a:p>
        </c:txPr>
        <c:crossAx val="153009536"/>
        <c:crosses val="autoZero"/>
        <c:auto val="1"/>
        <c:lblAlgn val="ctr"/>
        <c:lblOffset val="100"/>
        <c:noMultiLvlLbl val="1"/>
      </c:catAx>
      <c:valAx>
        <c:axId val="153009536"/>
        <c:scaling>
          <c:orientation val="minMax"/>
          <c:min val="0"/>
        </c:scaling>
        <c:delete val="0"/>
        <c:axPos val="l"/>
        <c:majorGridlines/>
        <c:title>
          <c:tx>
            <c:rich>
              <a:bodyPr rot="-5400000" vert="horz"/>
              <a:lstStyle/>
              <a:p>
                <a:pPr>
                  <a:defRPr sz="1400" b="1" i="0">
                    <a:latin typeface="+mn-lt"/>
                  </a:defRPr>
                </a:pPr>
                <a:r>
                  <a:rPr lang="en-US" sz="1400" b="1" i="0">
                    <a:latin typeface="+mn-lt"/>
                  </a:rPr>
                  <a:t>Revenues ($ M)</a:t>
                </a:r>
              </a:p>
            </c:rich>
          </c:tx>
          <c:layout>
            <c:manualLayout>
              <c:xMode val="edge"/>
              <c:yMode val="edge"/>
              <c:x val="6.9216932824454165E-4"/>
              <c:y val="0.28490545304537213"/>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153008000"/>
        <c:crosses val="autoZero"/>
        <c:crossBetween val="between"/>
      </c:valAx>
    </c:plotArea>
    <c:legend>
      <c:legendPos val="t"/>
      <c:layout>
        <c:manualLayout>
          <c:xMode val="edge"/>
          <c:yMode val="edge"/>
          <c:x val="0.12978719085924434"/>
          <c:y val="2.866796448066752E-2"/>
          <c:w val="0.8186658467371426"/>
          <c:h val="7.194747392545040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59676176270957"/>
          <c:y val="0.14322830389888461"/>
          <c:w val="0.78674227281334819"/>
          <c:h val="0.74691108396639905"/>
        </c:manualLayout>
      </c:layout>
      <c:lineChart>
        <c:grouping val="standard"/>
        <c:varyColors val="0"/>
        <c:ser>
          <c:idx val="0"/>
          <c:order val="0"/>
          <c:tx>
            <c:strRef>
              <c:f>Summary!$B$100</c:f>
              <c:strCache>
                <c:ptCount val="1"/>
                <c:pt idx="0">
                  <c:v>CWDM / DWDM</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Summary!$C$100:$M$100</c:f>
              <c:numCache>
                <c:formatCode>_("$"* #,##0_);_("$"* \(#,##0\);_("$"* "-"??_);_(@_)</c:formatCode>
                <c:ptCount val="11"/>
                <c:pt idx="0">
                  <c:v>3757.3280952727268</c:v>
                </c:pt>
                <c:pt idx="1">
                  <c:v>3740.8947562632848</c:v>
                </c:pt>
              </c:numCache>
            </c:numRef>
          </c:val>
          <c:smooth val="1"/>
          <c:extLst>
            <c:ext xmlns:c16="http://schemas.microsoft.com/office/drawing/2014/chart" uri="{C3380CC4-5D6E-409C-BE32-E72D297353CC}">
              <c16:uniqueId val="{00000000-444C-1A4F-AA15-F2A7FB53F3FB}"/>
            </c:ext>
          </c:extLst>
        </c:ser>
        <c:ser>
          <c:idx val="5"/>
          <c:order val="1"/>
          <c:tx>
            <c:strRef>
              <c:f>Summary!$B$101</c:f>
              <c:strCache>
                <c:ptCount val="1"/>
                <c:pt idx="0">
                  <c:v>Wireless Fronthaul</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365.79070959702165</c:v>
                </c:pt>
                <c:pt idx="1">
                  <c:v>918.08542910141614</c:v>
                </c:pt>
              </c:numCache>
            </c:numRef>
          </c:val>
          <c:smooth val="1"/>
          <c:extLst>
            <c:ext xmlns:c16="http://schemas.microsoft.com/office/drawing/2014/chart" uri="{C3380CC4-5D6E-409C-BE32-E72D297353CC}">
              <c16:uniqueId val="{00000001-444C-1A4F-AA15-F2A7FB53F3FB}"/>
            </c:ext>
          </c:extLst>
        </c:ser>
        <c:ser>
          <c:idx val="1"/>
          <c:order val="2"/>
          <c:tx>
            <c:strRef>
              <c:f>Summary!$B$102</c:f>
              <c:strCache>
                <c:ptCount val="1"/>
                <c:pt idx="0">
                  <c:v>Wireless Backhaul</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82.303681142702601</c:v>
                </c:pt>
                <c:pt idx="1">
                  <c:v>144.68243122208546</c:v>
                </c:pt>
              </c:numCache>
            </c:numRef>
          </c:val>
          <c:smooth val="1"/>
          <c:extLst>
            <c:ext xmlns:c16="http://schemas.microsoft.com/office/drawing/2014/chart" uri="{C3380CC4-5D6E-409C-BE32-E72D297353CC}">
              <c16:uniqueId val="{00000003-444C-1A4F-AA15-F2A7FB53F3FB}"/>
            </c:ext>
          </c:extLst>
        </c:ser>
        <c:ser>
          <c:idx val="4"/>
          <c:order val="3"/>
          <c:tx>
            <c:strRef>
              <c:f>Summary!$B$103</c:f>
              <c:strCache>
                <c:ptCount val="1"/>
                <c:pt idx="0">
                  <c:v>FTTx</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641.86446407319875</c:v>
                </c:pt>
                <c:pt idx="1">
                  <c:v>581.80538191035816</c:v>
                </c:pt>
              </c:numCache>
            </c:numRef>
          </c:val>
          <c:smooth val="1"/>
          <c:extLst>
            <c:ext xmlns:c16="http://schemas.microsoft.com/office/drawing/2014/chart" uri="{C3380CC4-5D6E-409C-BE32-E72D297353CC}">
              <c16:uniqueId val="{00000002-444C-1A4F-AA15-F2A7FB53F3FB}"/>
            </c:ext>
          </c:extLst>
        </c:ser>
        <c:dLbls>
          <c:showLegendKey val="0"/>
          <c:showVal val="0"/>
          <c:showCatName val="0"/>
          <c:showSerName val="0"/>
          <c:showPercent val="0"/>
          <c:showBubbleSize val="0"/>
        </c:dLbls>
        <c:marker val="1"/>
        <c:smooth val="0"/>
        <c:axId val="153120128"/>
        <c:axId val="153138304"/>
      </c:lineChart>
      <c:catAx>
        <c:axId val="153120128"/>
        <c:scaling>
          <c:orientation val="minMax"/>
        </c:scaling>
        <c:delete val="0"/>
        <c:axPos val="b"/>
        <c:numFmt formatCode="General" sourceLinked="1"/>
        <c:majorTickMark val="out"/>
        <c:minorTickMark val="none"/>
        <c:tickLblPos val="nextTo"/>
        <c:txPr>
          <a:bodyPr/>
          <a:lstStyle/>
          <a:p>
            <a:pPr>
              <a:defRPr sz="1200" b="0"/>
            </a:pPr>
            <a:endParaRPr lang="en-US"/>
          </a:p>
        </c:txPr>
        <c:crossAx val="153138304"/>
        <c:crosses val="autoZero"/>
        <c:auto val="1"/>
        <c:lblAlgn val="ctr"/>
        <c:lblOffset val="100"/>
        <c:noMultiLvlLbl val="1"/>
      </c:catAx>
      <c:valAx>
        <c:axId val="153138304"/>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1.2045613981443725E-2"/>
              <c:y val="0.34713095633136909"/>
            </c:manualLayout>
          </c:layout>
          <c:overlay val="0"/>
        </c:title>
        <c:numFmt formatCode="_(&quot;$&quot;* #,##0_);_(&quot;$&quot;* \(#,##0\);_(&quot;$&quot;* &quot;-&quot;??_);_(@_)" sourceLinked="1"/>
        <c:majorTickMark val="out"/>
        <c:minorTickMark val="none"/>
        <c:tickLblPos val="nextTo"/>
        <c:txPr>
          <a:bodyPr/>
          <a:lstStyle/>
          <a:p>
            <a:pPr>
              <a:defRPr sz="1100" b="0"/>
            </a:pPr>
            <a:endParaRPr lang="en-US"/>
          </a:p>
        </c:txPr>
        <c:crossAx val="153120128"/>
        <c:crosses val="autoZero"/>
        <c:crossBetween val="between"/>
      </c:valAx>
    </c:plotArea>
    <c:legend>
      <c:legendPos val="t"/>
      <c:layout>
        <c:manualLayout>
          <c:xMode val="edge"/>
          <c:yMode val="edge"/>
          <c:x val="0.21327292322726496"/>
          <c:y val="2.9149790136812744E-2"/>
          <c:w val="0.67984591994102372"/>
          <c:h val="0.1919372139533389"/>
        </c:manualLayout>
      </c:layout>
      <c:overlay val="0"/>
      <c:spPr>
        <a:solidFill>
          <a:schemeClr val="bg1"/>
        </a:solidFill>
        <a:ln>
          <a:noFill/>
        </a:ln>
      </c:spPr>
      <c:txPr>
        <a:bodyPr/>
        <a:lstStyle/>
        <a:p>
          <a:pPr>
            <a:defRPr sz="12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582886149699857"/>
          <c:y val="0"/>
        </c:manualLayout>
      </c:layout>
      <c:overlay val="0"/>
      <c:txPr>
        <a:bodyPr/>
        <a:lstStyle/>
        <a:p>
          <a:pPr>
            <a:defRPr sz="1400"/>
          </a:pPr>
          <a:endParaRPr lang="en-US"/>
        </a:p>
      </c:txPr>
    </c:title>
    <c:autoTitleDeleted val="0"/>
    <c:plotArea>
      <c:layout>
        <c:manualLayout>
          <c:layoutTarget val="inner"/>
          <c:xMode val="edge"/>
          <c:yMode val="edge"/>
          <c:x val="0.1665519750309841"/>
          <c:y val="0.110970552865765"/>
          <c:w val="0.76781538148930639"/>
          <c:h val="0.76527516243190996"/>
        </c:manualLayout>
      </c:layout>
      <c:barChart>
        <c:barDir val="col"/>
        <c:grouping val="clustered"/>
        <c:varyColors val="0"/>
        <c:ser>
          <c:idx val="1"/>
          <c:order val="0"/>
          <c:tx>
            <c:strRef>
              <c:f>Summary!$B$28</c:f>
              <c:strCache>
                <c:ptCount val="1"/>
                <c:pt idx="0">
                  <c:v>WSS modules</c:v>
                </c:pt>
              </c:strCache>
            </c:strRef>
          </c:tx>
          <c:invertIfNegative val="0"/>
          <c:cat>
            <c:numRef>
              <c:f>Summary!$C$26:$M$26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Summary!$C$28:$M$28</c:f>
              <c:numCache>
                <c:formatCode>_("$"* #,##0_);_("$"* \(#,##0\);_("$"* "-"??_);_(@_)</c:formatCode>
                <c:ptCount val="11"/>
                <c:pt idx="0">
                  <c:v>365.31830158163763</c:v>
                </c:pt>
                <c:pt idx="1">
                  <c:v>518.68237217981789</c:v>
                </c:pt>
              </c:numCache>
            </c:numRef>
          </c:val>
          <c:extLst>
            <c:ext xmlns:c16="http://schemas.microsoft.com/office/drawing/2014/chart" uri="{C3380CC4-5D6E-409C-BE32-E72D297353CC}">
              <c16:uniqueId val="{00000001-8BCC-374F-BA47-71F2469DD882}"/>
            </c:ext>
          </c:extLst>
        </c:ser>
        <c:dLbls>
          <c:showLegendKey val="0"/>
          <c:showVal val="0"/>
          <c:showCatName val="0"/>
          <c:showSerName val="0"/>
          <c:showPercent val="0"/>
          <c:showBubbleSize val="0"/>
        </c:dLbls>
        <c:gapWidth val="150"/>
        <c:axId val="153171840"/>
        <c:axId val="153173376"/>
      </c:barChart>
      <c:catAx>
        <c:axId val="153171840"/>
        <c:scaling>
          <c:orientation val="minMax"/>
        </c:scaling>
        <c:delete val="0"/>
        <c:axPos val="b"/>
        <c:numFmt formatCode="General" sourceLinked="1"/>
        <c:majorTickMark val="out"/>
        <c:minorTickMark val="none"/>
        <c:tickLblPos val="nextTo"/>
        <c:txPr>
          <a:bodyPr/>
          <a:lstStyle/>
          <a:p>
            <a:pPr>
              <a:defRPr sz="1200" b="0"/>
            </a:pPr>
            <a:endParaRPr lang="en-US"/>
          </a:p>
        </c:txPr>
        <c:crossAx val="153173376"/>
        <c:crosses val="autoZero"/>
        <c:auto val="1"/>
        <c:lblAlgn val="ctr"/>
        <c:lblOffset val="100"/>
        <c:noMultiLvlLbl val="0"/>
      </c:catAx>
      <c:valAx>
        <c:axId val="153173376"/>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6.2744459448220791E-3"/>
              <c:y val="0.38795274965645604"/>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153171840"/>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38749084768745401"/>
          <c:y val="1.11763819342253E-2"/>
        </c:manualLayout>
      </c:layout>
      <c:overlay val="0"/>
      <c:txPr>
        <a:bodyPr/>
        <a:lstStyle/>
        <a:p>
          <a:pPr>
            <a:defRPr sz="1400"/>
          </a:pPr>
          <a:endParaRPr lang="en-US"/>
        </a:p>
      </c:txPr>
    </c:title>
    <c:autoTitleDeleted val="0"/>
    <c:plotArea>
      <c:layout>
        <c:manualLayout>
          <c:layoutTarget val="inner"/>
          <c:xMode val="edge"/>
          <c:yMode val="edge"/>
          <c:x val="0.22046495058187332"/>
          <c:y val="8.9743524613158904E-2"/>
          <c:w val="0.73695050879660928"/>
          <c:h val="0.769035269387495"/>
        </c:manualLayout>
      </c:layout>
      <c:barChart>
        <c:barDir val="col"/>
        <c:grouping val="stacked"/>
        <c:varyColors val="0"/>
        <c:ser>
          <c:idx val="0"/>
          <c:order val="0"/>
          <c:tx>
            <c:strRef>
              <c:f>Summary!$B$27</c:f>
              <c:strCache>
                <c:ptCount val="1"/>
                <c:pt idx="0">
                  <c:v>Transceivers (all types)</c:v>
                </c:pt>
              </c:strCache>
            </c:strRef>
          </c:tx>
          <c:spPr>
            <a:ln>
              <a:solidFill>
                <a:schemeClr val="accent1"/>
              </a:solidFill>
            </a:ln>
          </c:spPr>
          <c:invertIfNegative val="0"/>
          <c:cat>
            <c:numRef>
              <c:f>Summary!$C$26:$M$26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Summary!$C$27:$M$27</c:f>
              <c:numCache>
                <c:formatCode>_("$"* #,##0_);_("$"* \(#,##0\);_("$"* "-"??_);_(@_)</c:formatCode>
                <c:ptCount val="11"/>
                <c:pt idx="0">
                  <c:v>8676.7760814520188</c:v>
                </c:pt>
                <c:pt idx="1">
                  <c:v>8822.1295519970263</c:v>
                </c:pt>
              </c:numCache>
            </c:numRef>
          </c:val>
          <c:extLst>
            <c:ext xmlns:c16="http://schemas.microsoft.com/office/drawing/2014/chart" uri="{C3380CC4-5D6E-409C-BE32-E72D297353CC}">
              <c16:uniqueId val="{00000000-F513-B14F-850B-A9C5AA7EF1D4}"/>
            </c:ext>
          </c:extLst>
        </c:ser>
        <c:dLbls>
          <c:showLegendKey val="0"/>
          <c:showVal val="0"/>
          <c:showCatName val="0"/>
          <c:showSerName val="0"/>
          <c:showPercent val="0"/>
          <c:showBubbleSize val="0"/>
        </c:dLbls>
        <c:gapWidth val="100"/>
        <c:overlap val="100"/>
        <c:axId val="153197952"/>
        <c:axId val="153228416"/>
      </c:barChart>
      <c:catAx>
        <c:axId val="153197952"/>
        <c:scaling>
          <c:orientation val="minMax"/>
        </c:scaling>
        <c:delete val="0"/>
        <c:axPos val="b"/>
        <c:numFmt formatCode="General" sourceLinked="1"/>
        <c:majorTickMark val="none"/>
        <c:minorTickMark val="none"/>
        <c:tickLblPos val="nextTo"/>
        <c:txPr>
          <a:bodyPr/>
          <a:lstStyle/>
          <a:p>
            <a:pPr>
              <a:defRPr sz="1400" b="0"/>
            </a:pPr>
            <a:endParaRPr lang="en-US"/>
          </a:p>
        </c:txPr>
        <c:crossAx val="153228416"/>
        <c:crosses val="autoZero"/>
        <c:auto val="1"/>
        <c:lblAlgn val="ctr"/>
        <c:lblOffset val="100"/>
        <c:noMultiLvlLbl val="0"/>
      </c:catAx>
      <c:valAx>
        <c:axId val="153228416"/>
        <c:scaling>
          <c:orientation val="minMax"/>
        </c:scaling>
        <c:delete val="0"/>
        <c:axPos val="l"/>
        <c:majorGridlines/>
        <c:title>
          <c:tx>
            <c:rich>
              <a:bodyPr/>
              <a:lstStyle/>
              <a:p>
                <a:pPr>
                  <a:defRPr sz="1400" b="0"/>
                </a:pPr>
                <a:r>
                  <a:rPr lang="en-US" sz="1400" b="0"/>
                  <a:t>Sales ($M)</a:t>
                </a:r>
              </a:p>
            </c:rich>
          </c:tx>
          <c:layout>
            <c:manualLayout>
              <c:xMode val="edge"/>
              <c:yMode val="edge"/>
              <c:x val="5.8508985936229496E-3"/>
              <c:y val="0.31702630682615202"/>
            </c:manualLayout>
          </c:layout>
          <c:overlay val="0"/>
        </c:title>
        <c:numFmt formatCode="_(\$* #,##0_);_(\$* \(#,##0\);_(\$* &quot;-&quot;_);_(@_)" sourceLinked="0"/>
        <c:majorTickMark val="out"/>
        <c:minorTickMark val="none"/>
        <c:tickLblPos val="nextTo"/>
        <c:txPr>
          <a:bodyPr/>
          <a:lstStyle/>
          <a:p>
            <a:pPr>
              <a:defRPr sz="1400" b="0"/>
            </a:pPr>
            <a:endParaRPr lang="en-US"/>
          </a:p>
        </c:txPr>
        <c:crossAx val="153197952"/>
        <c:crosses val="autoZero"/>
        <c:crossBetween val="between"/>
      </c:valAx>
    </c:plotArea>
    <c:plotVisOnly val="1"/>
    <c:dispBlanksAs val="gap"/>
    <c:showDLblsOverMax val="0"/>
  </c:chart>
  <c:printSettings>
    <c:headerFooter/>
    <c:pageMargins b="0.750000000000003" l="0.70000000000000095" r="0.70000000000000095" t="0.750000000000003"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9902299553723748"/>
          <c:y val="4.7075354866308539E-2"/>
          <c:w val="0.77368267444188621"/>
          <c:h val="0.86166208589873916"/>
        </c:manualLayout>
      </c:layout>
      <c:barChart>
        <c:barDir val="col"/>
        <c:grouping val="clustered"/>
        <c:varyColors val="0"/>
        <c:ser>
          <c:idx val="0"/>
          <c:order val="0"/>
          <c:tx>
            <c:strRef>
              <c:f>Summary!$B$196</c:f>
              <c:strCache>
                <c:ptCount val="1"/>
                <c:pt idx="0">
                  <c:v>Coherent On-Board</c:v>
                </c:pt>
              </c:strCache>
            </c:strRef>
          </c:tx>
          <c:invertIfNegative val="0"/>
          <c:cat>
            <c:numRef>
              <c:f>Summary!$C$195:$M$195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Summary!$C$196:$M$196</c:f>
              <c:numCache>
                <c:formatCode>_(* #,##0_);_(* \(#,##0\);_(* "-"??_);_(@_)</c:formatCode>
                <c:ptCount val="11"/>
                <c:pt idx="0">
                  <c:v>362394</c:v>
                </c:pt>
                <c:pt idx="1">
                  <c:v>354772.4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192-114D-A124-147331240296}"/>
            </c:ext>
          </c:extLst>
        </c:ser>
        <c:ser>
          <c:idx val="1"/>
          <c:order val="1"/>
          <c:tx>
            <c:strRef>
              <c:f>Summary!$B$197</c:f>
              <c:strCache>
                <c:ptCount val="1"/>
                <c:pt idx="0">
                  <c:v>Coherent Pluggables</c:v>
                </c:pt>
              </c:strCache>
            </c:strRef>
          </c:tx>
          <c:invertIfNegative val="0"/>
          <c:cat>
            <c:numRef>
              <c:f>Summary!$C$195:$M$195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Summary!$C$197:$M$197</c:f>
              <c:numCache>
                <c:formatCode>_(* #,##0_);_(* \(#,##0\);_(* "-"??_);_(@_)</c:formatCode>
                <c:ptCount val="11"/>
                <c:pt idx="0">
                  <c:v>107106</c:v>
                </c:pt>
                <c:pt idx="1">
                  <c:v>208309.60000000003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C192-114D-A124-147331240296}"/>
            </c:ext>
          </c:extLst>
        </c:ser>
        <c:dLbls>
          <c:showLegendKey val="0"/>
          <c:showVal val="0"/>
          <c:showCatName val="0"/>
          <c:showSerName val="0"/>
          <c:showPercent val="0"/>
          <c:showBubbleSize val="0"/>
        </c:dLbls>
        <c:gapWidth val="150"/>
        <c:axId val="153266816"/>
        <c:axId val="153272704"/>
      </c:barChart>
      <c:catAx>
        <c:axId val="153266816"/>
        <c:scaling>
          <c:orientation val="minMax"/>
        </c:scaling>
        <c:delete val="0"/>
        <c:axPos val="b"/>
        <c:numFmt formatCode="General" sourceLinked="1"/>
        <c:majorTickMark val="out"/>
        <c:minorTickMark val="none"/>
        <c:tickLblPos val="nextTo"/>
        <c:txPr>
          <a:bodyPr/>
          <a:lstStyle/>
          <a:p>
            <a:pPr>
              <a:defRPr sz="1200" b="0"/>
            </a:pPr>
            <a:endParaRPr lang="en-US"/>
          </a:p>
        </c:txPr>
        <c:crossAx val="153272704"/>
        <c:crosses val="autoZero"/>
        <c:auto val="1"/>
        <c:lblAlgn val="ctr"/>
        <c:lblOffset val="100"/>
        <c:noMultiLvlLbl val="0"/>
      </c:catAx>
      <c:valAx>
        <c:axId val="153272704"/>
        <c:scaling>
          <c:orientation val="minMax"/>
          <c:min val="0"/>
        </c:scaling>
        <c:delete val="0"/>
        <c:axPos val="l"/>
        <c:majorGridlines/>
        <c:title>
          <c:tx>
            <c:rich>
              <a:bodyPr rot="-5400000" vert="horz"/>
              <a:lstStyle/>
              <a:p>
                <a:pPr>
                  <a:defRPr sz="1400" b="0"/>
                </a:pPr>
                <a:r>
                  <a:rPr lang="en-US" sz="1400" b="0"/>
                  <a:t>Unit</a:t>
                </a:r>
                <a:r>
                  <a:rPr lang="en-US" sz="1400" b="0" baseline="0"/>
                  <a:t> </a:t>
                </a:r>
                <a:r>
                  <a:rPr lang="en-US" sz="1400" b="0"/>
                  <a:t> Shipments</a:t>
                </a:r>
              </a:p>
            </c:rich>
          </c:tx>
          <c:layout>
            <c:manualLayout>
              <c:xMode val="edge"/>
              <c:yMode val="edge"/>
              <c:x val="1.1503223087608672E-2"/>
              <c:y val="0.31107162292602136"/>
            </c:manualLayout>
          </c:layout>
          <c:overlay val="0"/>
        </c:title>
        <c:numFmt formatCode="_(* #,##0_);_(* \(#,##0\);_(* &quot;-&quot;??_);_(@_)" sourceLinked="1"/>
        <c:majorTickMark val="out"/>
        <c:minorTickMark val="none"/>
        <c:tickLblPos val="nextTo"/>
        <c:txPr>
          <a:bodyPr/>
          <a:lstStyle/>
          <a:p>
            <a:pPr>
              <a:defRPr sz="1200"/>
            </a:pPr>
            <a:endParaRPr lang="en-US"/>
          </a:p>
        </c:txPr>
        <c:crossAx val="153266816"/>
        <c:crosses val="autoZero"/>
        <c:crossBetween val="between"/>
        <c:majorUnit val="200000"/>
      </c:valAx>
    </c:plotArea>
    <c:legend>
      <c:legendPos val="r"/>
      <c:layout>
        <c:manualLayout>
          <c:xMode val="edge"/>
          <c:yMode val="edge"/>
          <c:x val="0.19535748031496064"/>
          <c:y val="6.570104822995633E-2"/>
          <c:w val="0.33140084449964696"/>
          <c:h val="0.21743482342232145"/>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11999322557612"/>
          <c:y val="5.5257369935372801E-2"/>
          <c:w val="0.74075095482730491"/>
          <c:h val="0.83430383572958799"/>
        </c:manualLayout>
      </c:layout>
      <c:lineChart>
        <c:grouping val="standard"/>
        <c:varyColors val="0"/>
        <c:ser>
          <c:idx val="4"/>
          <c:order val="0"/>
          <c:tx>
            <c:strRef>
              <c:f>Summary!$N$225</c:f>
              <c:strCache>
                <c:ptCount val="1"/>
                <c:pt idx="0">
                  <c:v>400ZR</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Summary!$O$225:$Y$225</c:f>
              <c:numCache>
                <c:formatCode>_(* #,##0_);_(* \(#,##0\);_(* "-"??_);_(@_)</c:formatCode>
                <c:ptCount val="11"/>
              </c:numCache>
            </c:numRef>
          </c:val>
          <c:smooth val="0"/>
          <c:extLst>
            <c:ext xmlns:c16="http://schemas.microsoft.com/office/drawing/2014/chart" uri="{C3380CC4-5D6E-409C-BE32-E72D297353CC}">
              <c16:uniqueId val="{00000000-DD26-084E-8DD2-F2BB3413A44B}"/>
            </c:ext>
          </c:extLst>
        </c:ser>
        <c:ser>
          <c:idx val="2"/>
          <c:order val="1"/>
          <c:tx>
            <c:strRef>
              <c:f>Summary!$N$226</c:f>
              <c:strCache>
                <c:ptCount val="1"/>
                <c:pt idx="0">
                  <c:v>400ZR+   OSPF/QSFP-DD</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Summary!$O$226:$Y$226</c:f>
              <c:numCache>
                <c:formatCode>_(* #,##0_);_(* \(#,##0\);_(* "-"??_);_(@_)</c:formatCode>
                <c:ptCount val="11"/>
              </c:numCache>
            </c:numRef>
          </c:val>
          <c:smooth val="0"/>
          <c:extLst>
            <c:ext xmlns:c16="http://schemas.microsoft.com/office/drawing/2014/chart" uri="{C3380CC4-5D6E-409C-BE32-E72D297353CC}">
              <c16:uniqueId val="{00000001-DD26-084E-8DD2-F2BB3413A44B}"/>
            </c:ext>
          </c:extLst>
        </c:ser>
        <c:ser>
          <c:idx val="1"/>
          <c:order val="2"/>
          <c:tx>
            <c:strRef>
              <c:f>Summary!$N$227</c:f>
              <c:strCache>
                <c:ptCount val="1"/>
                <c:pt idx="0">
                  <c:v>400ZR+ CFP2</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Summary!$O$227:$Y$227</c:f>
              <c:numCache>
                <c:formatCode>_(* #,##0_);_(* \(#,##0\);_(* "-"??_);_(@_)</c:formatCode>
                <c:ptCount val="11"/>
              </c:numCache>
            </c:numRef>
          </c:val>
          <c:smooth val="0"/>
          <c:extLst>
            <c:ext xmlns:c16="http://schemas.microsoft.com/office/drawing/2014/chart" uri="{C3380CC4-5D6E-409C-BE32-E72D297353CC}">
              <c16:uniqueId val="{00000001-BCA8-2049-B8ED-39D878DA0EC4}"/>
            </c:ext>
          </c:extLst>
        </c:ser>
        <c:ser>
          <c:idx val="0"/>
          <c:order val="3"/>
          <c:tx>
            <c:strRef>
              <c:f>Summary!$N$228</c:f>
              <c:strCache>
                <c:ptCount val="1"/>
                <c:pt idx="0">
                  <c:v>600G and above</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Summary!$O$228:$Y$228</c:f>
              <c:numCache>
                <c:formatCode>_(* #,##0_);_(* \(#,##0\);_(* "-"??_);_(@_)</c:formatCode>
                <c:ptCount val="11"/>
              </c:numCache>
            </c:numRef>
          </c:val>
          <c:smooth val="0"/>
          <c:extLst>
            <c:ext xmlns:c16="http://schemas.microsoft.com/office/drawing/2014/chart" uri="{C3380CC4-5D6E-409C-BE32-E72D297353CC}">
              <c16:uniqueId val="{00000000-AFDB-6B44-A4EB-B13777380C2F}"/>
            </c:ext>
          </c:extLst>
        </c:ser>
        <c:dLbls>
          <c:showLegendKey val="0"/>
          <c:showVal val="0"/>
          <c:showCatName val="0"/>
          <c:showSerName val="0"/>
          <c:showPercent val="0"/>
          <c:showBubbleSize val="0"/>
        </c:dLbls>
        <c:marker val="1"/>
        <c:smooth val="0"/>
        <c:axId val="154427776"/>
        <c:axId val="154429312"/>
      </c:lineChart>
      <c:catAx>
        <c:axId val="154427776"/>
        <c:scaling>
          <c:orientation val="minMax"/>
        </c:scaling>
        <c:delete val="0"/>
        <c:axPos val="b"/>
        <c:numFmt formatCode="General" sourceLinked="1"/>
        <c:majorTickMark val="out"/>
        <c:minorTickMark val="none"/>
        <c:tickLblPos val="nextTo"/>
        <c:txPr>
          <a:bodyPr/>
          <a:lstStyle/>
          <a:p>
            <a:pPr>
              <a:defRPr sz="1200" b="0"/>
            </a:pPr>
            <a:endParaRPr lang="en-US"/>
          </a:p>
        </c:txPr>
        <c:crossAx val="154429312"/>
        <c:crosses val="autoZero"/>
        <c:auto val="1"/>
        <c:lblAlgn val="ctr"/>
        <c:lblOffset val="100"/>
        <c:noMultiLvlLbl val="0"/>
      </c:catAx>
      <c:valAx>
        <c:axId val="15442931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7119248834666305E-2"/>
              <c:y val="0.37425896939495584"/>
            </c:manualLayout>
          </c:layout>
          <c:overlay val="0"/>
        </c:title>
        <c:numFmt formatCode="_(* #,##0_);_(* \(#,##0\);_(* &quot;-&quot;_);_(@_)" sourceLinked="0"/>
        <c:majorTickMark val="out"/>
        <c:minorTickMark val="none"/>
        <c:tickLblPos val="nextTo"/>
        <c:txPr>
          <a:bodyPr/>
          <a:lstStyle/>
          <a:p>
            <a:pPr>
              <a:defRPr sz="1100" b="0"/>
            </a:pPr>
            <a:endParaRPr lang="en-US"/>
          </a:p>
        </c:txPr>
        <c:crossAx val="154427776"/>
        <c:crosses val="autoZero"/>
        <c:crossBetween val="between"/>
        <c:majorUnit val="100000"/>
      </c:valAx>
    </c:plotArea>
    <c:legend>
      <c:legendPos val="r"/>
      <c:layout>
        <c:manualLayout>
          <c:xMode val="edge"/>
          <c:yMode val="edge"/>
          <c:x val="0.22732167395352024"/>
          <c:y val="7.237625007491702E-2"/>
          <c:w val="0.52889761779205546"/>
          <c:h val="0.3605148646663015"/>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4399374219181"/>
          <c:y val="5.5257369935372801E-2"/>
          <c:w val="0.77401166586005465"/>
          <c:h val="0.80066019617723105"/>
        </c:manualLayout>
      </c:layout>
      <c:lineChart>
        <c:grouping val="standard"/>
        <c:varyColors val="0"/>
        <c:ser>
          <c:idx val="1"/>
          <c:order val="0"/>
          <c:tx>
            <c:strRef>
              <c:f>Summary!$B$225</c:f>
              <c:strCache>
                <c:ptCount val="1"/>
                <c:pt idx="0">
                  <c:v>CFP2-DCO</c:v>
                </c:pt>
              </c:strCache>
            </c:strRef>
          </c:tx>
          <c:cat>
            <c:numRef>
              <c:f>Summary!$C$224:$M$224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Summary!$C$225:$M$225</c:f>
              <c:numCache>
                <c:formatCode>_(* #,##0_);_(* \(#,##0\);_(* "-"??_);_(@_)</c:formatCode>
                <c:ptCount val="11"/>
                <c:pt idx="0">
                  <c:v>30745.000000000004</c:v>
                </c:pt>
                <c:pt idx="1">
                  <c:v>85733.000000000015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251-2E4C-BB76-C77E39289CF0}"/>
            </c:ext>
          </c:extLst>
        </c:ser>
        <c:ser>
          <c:idx val="3"/>
          <c:order val="1"/>
          <c:tx>
            <c:strRef>
              <c:f>Summary!$B$226</c:f>
              <c:strCache>
                <c:ptCount val="1"/>
                <c:pt idx="0">
                  <c:v>CFP2-ACO</c:v>
                </c:pt>
              </c:strCache>
            </c:strRef>
          </c:tx>
          <c:cat>
            <c:numRef>
              <c:f>Summary!$C$224:$M$224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Summary!$C$226:$M$226</c:f>
              <c:numCache>
                <c:formatCode>_(* #,##0_);_(* \(#,##0\);_(* "-"??_);_(@_)</c:formatCode>
                <c:ptCount val="11"/>
                <c:pt idx="0">
                  <c:v>18203</c:v>
                </c:pt>
                <c:pt idx="1">
                  <c:v>36096.800000000003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251-2E4C-BB76-C77E39289CF0}"/>
            </c:ext>
          </c:extLst>
        </c:ser>
        <c:dLbls>
          <c:showLegendKey val="0"/>
          <c:showVal val="0"/>
          <c:showCatName val="0"/>
          <c:showSerName val="0"/>
          <c:showPercent val="0"/>
          <c:showBubbleSize val="0"/>
        </c:dLbls>
        <c:marker val="1"/>
        <c:smooth val="0"/>
        <c:axId val="154447232"/>
        <c:axId val="154457216"/>
      </c:lineChart>
      <c:catAx>
        <c:axId val="154447232"/>
        <c:scaling>
          <c:orientation val="minMax"/>
        </c:scaling>
        <c:delete val="0"/>
        <c:axPos val="b"/>
        <c:numFmt formatCode="General" sourceLinked="1"/>
        <c:majorTickMark val="out"/>
        <c:minorTickMark val="none"/>
        <c:tickLblPos val="nextTo"/>
        <c:txPr>
          <a:bodyPr/>
          <a:lstStyle/>
          <a:p>
            <a:pPr>
              <a:defRPr sz="1200" b="0"/>
            </a:pPr>
            <a:endParaRPr lang="en-US"/>
          </a:p>
        </c:txPr>
        <c:crossAx val="154457216"/>
        <c:crosses val="autoZero"/>
        <c:auto val="1"/>
        <c:lblAlgn val="ctr"/>
        <c:lblOffset val="100"/>
        <c:noMultiLvlLbl val="0"/>
      </c:catAx>
      <c:valAx>
        <c:axId val="154457216"/>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200" b="0"/>
            </a:pPr>
            <a:endParaRPr lang="en-US"/>
          </a:p>
        </c:txPr>
        <c:crossAx val="154447232"/>
        <c:crosses val="autoZero"/>
        <c:crossBetween val="between"/>
      </c:valAx>
    </c:plotArea>
    <c:legend>
      <c:legendPos val="r"/>
      <c:layout>
        <c:manualLayout>
          <c:xMode val="edge"/>
          <c:yMode val="edge"/>
          <c:x val="0.1861089372959592"/>
          <c:y val="7.2647481505192485E-2"/>
          <c:w val="0.1974086584663946"/>
          <c:h val="0.18976232612432969"/>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74536945682189"/>
          <c:y val="0.16805134449145787"/>
          <c:w val="0.79058666316254711"/>
          <c:h val="0.73723223393403603"/>
        </c:manualLayout>
      </c:layout>
      <c:barChart>
        <c:barDir val="col"/>
        <c:grouping val="stacked"/>
        <c:varyColors val="0"/>
        <c:ser>
          <c:idx val="0"/>
          <c:order val="0"/>
          <c:tx>
            <c:strRef>
              <c:f>Summary!$B$261</c:f>
              <c:strCache>
                <c:ptCount val="1"/>
                <c:pt idx="0">
                  <c:v>Fixed Grid  all</c:v>
                </c:pt>
              </c:strCache>
            </c:strRef>
          </c:tx>
          <c:spPr>
            <a:solidFill>
              <a:schemeClr val="accent1"/>
            </a:solidFill>
            <a:ln>
              <a:noFill/>
            </a:ln>
            <a:effectLst/>
          </c:spPr>
          <c:invertIfNegative val="0"/>
          <c:cat>
            <c:numRef>
              <c:f>Summary!$C$260:$M$260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Summary!$C$261:$M$261</c:f>
              <c:numCache>
                <c:formatCode>_(* #,##0_);_(* \(#,##0\);_(* "-"??_);_(@_)</c:formatCode>
                <c:ptCount val="11"/>
                <c:pt idx="0">
                  <c:v>14467</c:v>
                </c:pt>
                <c:pt idx="1">
                  <c:v>17118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FE-824D-8EBC-60B16970F0CA}"/>
            </c:ext>
          </c:extLst>
        </c:ser>
        <c:ser>
          <c:idx val="1"/>
          <c:order val="1"/>
          <c:tx>
            <c:strRef>
              <c:f>Summary!$B$262</c:f>
              <c:strCache>
                <c:ptCount val="1"/>
                <c:pt idx="0">
                  <c:v>Flex Grid single 1x9</c:v>
                </c:pt>
              </c:strCache>
            </c:strRef>
          </c:tx>
          <c:invertIfNegative val="0"/>
          <c:cat>
            <c:numRef>
              <c:f>Summary!$C$260:$M$260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Summary!$C$262:$M$262</c:f>
              <c:numCache>
                <c:formatCode>_(* #,##0_);_(* \(#,##0\);_(* "-"??_);_(@_)</c:formatCode>
                <c:ptCount val="11"/>
                <c:pt idx="0">
                  <c:v>43136</c:v>
                </c:pt>
                <c:pt idx="1">
                  <c:v>77356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936-439A-8021-EFA8986F789A}"/>
            </c:ext>
          </c:extLst>
        </c:ser>
        <c:ser>
          <c:idx val="2"/>
          <c:order val="2"/>
          <c:tx>
            <c:strRef>
              <c:f>Summary!$B$263</c:f>
              <c:strCache>
                <c:ptCount val="1"/>
                <c:pt idx="0">
                  <c:v>Flex Grid  twin 1x9</c:v>
                </c:pt>
              </c:strCache>
            </c:strRef>
          </c:tx>
          <c:invertIfNegative val="0"/>
          <c:cat>
            <c:numRef>
              <c:f>Summary!$C$260:$M$260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Summary!$C$263:$M$263</c:f>
              <c:numCache>
                <c:formatCode>_(* #,##0_);_(* \(#,##0\);_(* "-"??_);_(@_)</c:formatCode>
                <c:ptCount val="11"/>
                <c:pt idx="0">
                  <c:v>5964</c:v>
                </c:pt>
                <c:pt idx="1">
                  <c:v>8376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936-439A-8021-EFA8986F789A}"/>
            </c:ext>
          </c:extLst>
        </c:ser>
        <c:ser>
          <c:idx val="3"/>
          <c:order val="3"/>
          <c:tx>
            <c:strRef>
              <c:f>Summary!$B$264</c:f>
              <c:strCache>
                <c:ptCount val="1"/>
                <c:pt idx="0">
                  <c:v>Flex Grid twin 1x20 </c:v>
                </c:pt>
              </c:strCache>
            </c:strRef>
          </c:tx>
          <c:invertIfNegative val="0"/>
          <c:cat>
            <c:numRef>
              <c:f>Summary!$C$260:$M$260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Summary!$C$264:$M$264</c:f>
              <c:numCache>
                <c:formatCode>_(* #,##0_);_(* \(#,##0\);_(* "-"??_);_(@_)</c:formatCode>
                <c:ptCount val="11"/>
                <c:pt idx="0">
                  <c:v>25010</c:v>
                </c:pt>
                <c:pt idx="1">
                  <c:v>52226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D936-439A-8021-EFA8986F789A}"/>
            </c:ext>
          </c:extLst>
        </c:ser>
        <c:ser>
          <c:idx val="4"/>
          <c:order val="4"/>
          <c:tx>
            <c:strRef>
              <c:f>Summary!$B$265</c:f>
              <c:strCache>
                <c:ptCount val="1"/>
                <c:pt idx="0">
                  <c:v>Flex Grid L-band</c:v>
                </c:pt>
              </c:strCache>
            </c:strRef>
          </c:tx>
          <c:invertIfNegative val="0"/>
          <c:cat>
            <c:numRef>
              <c:f>Summary!$C$260:$M$260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Summary!$C$265:$M$265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D936-439A-8021-EFA8986F789A}"/>
            </c:ext>
          </c:extLst>
        </c:ser>
        <c:ser>
          <c:idx val="5"/>
          <c:order val="5"/>
          <c:tx>
            <c:strRef>
              <c:f>Summary!$B$266</c:f>
              <c:strCache>
                <c:ptCount val="1"/>
                <c:pt idx="0">
                  <c:v>Next Generation All</c:v>
                </c:pt>
              </c:strCache>
            </c:strRef>
          </c:tx>
          <c:invertIfNegative val="0"/>
          <c:cat>
            <c:numRef>
              <c:f>Summary!$C$260:$M$260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Summary!$C$266:$M$266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D936-439A-8021-EFA8986F789A}"/>
            </c:ext>
          </c:extLst>
        </c:ser>
        <c:dLbls>
          <c:showLegendKey val="0"/>
          <c:showVal val="0"/>
          <c:showCatName val="0"/>
          <c:showSerName val="0"/>
          <c:showPercent val="0"/>
          <c:showBubbleSize val="0"/>
        </c:dLbls>
        <c:gapWidth val="150"/>
        <c:overlap val="100"/>
        <c:axId val="154637440"/>
        <c:axId val="154638976"/>
      </c:barChart>
      <c:catAx>
        <c:axId val="15463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54638976"/>
        <c:crosses val="autoZero"/>
        <c:auto val="1"/>
        <c:lblAlgn val="ctr"/>
        <c:lblOffset val="100"/>
        <c:noMultiLvlLbl val="0"/>
      </c:catAx>
      <c:valAx>
        <c:axId val="154638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solidFill>
                      <a:sysClr val="windowText" lastClr="000000"/>
                    </a:solidFill>
                  </a:rPr>
                  <a:t>Annual shipments</a:t>
                </a:r>
              </a:p>
            </c:rich>
          </c:tx>
          <c:layout>
            <c:manualLayout>
              <c:xMode val="edge"/>
              <c:yMode val="edge"/>
              <c:x val="1.7119566316302185E-2"/>
              <c:y val="0.35837379260603175"/>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54637440"/>
        <c:crosses val="autoZero"/>
        <c:crossBetween val="between"/>
      </c:valAx>
      <c:spPr>
        <a:noFill/>
        <a:ln>
          <a:solidFill>
            <a:sysClr val="windowText" lastClr="000000"/>
          </a:solidFill>
        </a:ln>
        <a:effectLst/>
      </c:spPr>
    </c:plotArea>
    <c:legend>
      <c:legendPos val="t"/>
      <c:layout>
        <c:manualLayout>
          <c:xMode val="edge"/>
          <c:yMode val="edge"/>
          <c:x val="7.8172630921423777E-2"/>
          <c:y val="1.7918087533384783E-2"/>
          <c:w val="0.89202667760092624"/>
          <c:h val="0.12422906370232836"/>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79312949189218"/>
          <c:y val="0.106272060455931"/>
          <c:w val="0.76168398442898788"/>
          <c:h val="0.78628717588645303"/>
        </c:manualLayout>
      </c:layout>
      <c:lineChart>
        <c:grouping val="standard"/>
        <c:varyColors val="0"/>
        <c:ser>
          <c:idx val="1"/>
          <c:order val="0"/>
          <c:tx>
            <c:strRef>
              <c:f>Summary!$B$58</c:f>
              <c:strCache>
                <c:ptCount val="1"/>
                <c:pt idx="0">
                  <c:v>Ethernet</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Summary!$C$58:$M$58</c:f>
              <c:numCache>
                <c:formatCode>_(* #,##0_);_(* \(#,##0\);_(* "-"??_);_(@_)</c:formatCode>
                <c:ptCount val="11"/>
                <c:pt idx="0">
                  <c:v>45990087.589244679</c:v>
                </c:pt>
                <c:pt idx="1">
                  <c:v>42208306.517515101</c:v>
                </c:pt>
              </c:numCache>
            </c:numRef>
          </c:val>
          <c:smooth val="1"/>
          <c:extLst>
            <c:ext xmlns:c16="http://schemas.microsoft.com/office/drawing/2014/chart" uri="{C3380CC4-5D6E-409C-BE32-E72D297353CC}">
              <c16:uniqueId val="{00000000-B406-1D48-A508-D1E1F5998803}"/>
            </c:ext>
          </c:extLst>
        </c:ser>
        <c:ser>
          <c:idx val="2"/>
          <c:order val="1"/>
          <c:tx>
            <c:strRef>
              <c:f>Summary!$B$59</c:f>
              <c:strCache>
                <c:ptCount val="1"/>
                <c:pt idx="0">
                  <c:v>Fibre Channel</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Summary!$C$59:$M$59</c:f>
              <c:numCache>
                <c:formatCode>_(* #,##0_);_(* \(#,##0\);_(* "-"??_);_(@_)</c:formatCode>
                <c:ptCount val="11"/>
                <c:pt idx="0">
                  <c:v>7839170</c:v>
                </c:pt>
                <c:pt idx="1">
                  <c:v>7687734.5578942783</c:v>
                </c:pt>
              </c:numCache>
            </c:numRef>
          </c:val>
          <c:smooth val="1"/>
          <c:extLst>
            <c:ext xmlns:c16="http://schemas.microsoft.com/office/drawing/2014/chart" uri="{C3380CC4-5D6E-409C-BE32-E72D297353CC}">
              <c16:uniqueId val="{00000001-B406-1D48-A508-D1E1F5998803}"/>
            </c:ext>
          </c:extLst>
        </c:ser>
        <c:ser>
          <c:idx val="4"/>
          <c:order val="2"/>
          <c:tx>
            <c:strRef>
              <c:f>Summary!$B$60</c:f>
              <c:strCache>
                <c:ptCount val="1"/>
                <c:pt idx="0">
                  <c:v>Optical Interconnects</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Summary!$C$60:$M$60</c:f>
              <c:numCache>
                <c:formatCode>_(* #,##0_);_(* \(#,##0\);_(* "-"??_);_(@_)</c:formatCode>
                <c:ptCount val="11"/>
                <c:pt idx="0">
                  <c:v>6080954</c:v>
                </c:pt>
                <c:pt idx="1">
                  <c:v>4940245</c:v>
                </c:pt>
              </c:numCache>
            </c:numRef>
          </c:val>
          <c:smooth val="1"/>
          <c:extLst>
            <c:ext xmlns:c16="http://schemas.microsoft.com/office/drawing/2014/chart" uri="{C3380CC4-5D6E-409C-BE32-E72D297353CC}">
              <c16:uniqueId val="{00000002-B406-1D48-A508-D1E1F5998803}"/>
            </c:ext>
          </c:extLst>
        </c:ser>
        <c:dLbls>
          <c:showLegendKey val="0"/>
          <c:showVal val="0"/>
          <c:showCatName val="0"/>
          <c:showSerName val="0"/>
          <c:showPercent val="0"/>
          <c:showBubbleSize val="0"/>
        </c:dLbls>
        <c:marker val="1"/>
        <c:smooth val="0"/>
        <c:axId val="149745024"/>
        <c:axId val="149894272"/>
      </c:lineChart>
      <c:catAx>
        <c:axId val="149745024"/>
        <c:scaling>
          <c:orientation val="minMax"/>
        </c:scaling>
        <c:delete val="0"/>
        <c:axPos val="b"/>
        <c:numFmt formatCode="General" sourceLinked="1"/>
        <c:majorTickMark val="out"/>
        <c:minorTickMark val="none"/>
        <c:tickLblPos val="nextTo"/>
        <c:txPr>
          <a:bodyPr/>
          <a:lstStyle/>
          <a:p>
            <a:pPr>
              <a:defRPr sz="1200" b="0"/>
            </a:pPr>
            <a:endParaRPr lang="en-US"/>
          </a:p>
        </c:txPr>
        <c:crossAx val="149894272"/>
        <c:crosses val="autoZero"/>
        <c:auto val="1"/>
        <c:lblAlgn val="ctr"/>
        <c:lblOffset val="100"/>
        <c:noMultiLvlLbl val="1"/>
      </c:catAx>
      <c:valAx>
        <c:axId val="149894272"/>
        <c:scaling>
          <c:orientation val="minMax"/>
          <c:min val="0"/>
        </c:scaling>
        <c:delete val="0"/>
        <c:axPos val="l"/>
        <c:majorGridlines/>
        <c:title>
          <c:tx>
            <c:rich>
              <a:bodyPr rot="-5400000" vert="horz"/>
              <a:lstStyle/>
              <a:p>
                <a:pPr>
                  <a:defRPr sz="1400"/>
                </a:pPr>
                <a:r>
                  <a:rPr lang="en-US" sz="1400"/>
                  <a:t>Shipments</a:t>
                </a:r>
              </a:p>
            </c:rich>
          </c:tx>
          <c:layout>
            <c:manualLayout>
              <c:xMode val="edge"/>
              <c:yMode val="edge"/>
              <c:x val="1.784065032213264E-3"/>
              <c:y val="0.34579859051461315"/>
            </c:manualLayout>
          </c:layout>
          <c:overlay val="0"/>
        </c:title>
        <c:numFmt formatCode="_(* #,##0_);_(* \(#,##0\);_(* &quot;-&quot;??_);_(@_)" sourceLinked="1"/>
        <c:majorTickMark val="out"/>
        <c:minorTickMark val="none"/>
        <c:tickLblPos val="nextTo"/>
        <c:txPr>
          <a:bodyPr/>
          <a:lstStyle/>
          <a:p>
            <a:pPr>
              <a:defRPr sz="1200" b="0"/>
            </a:pPr>
            <a:endParaRPr lang="en-US"/>
          </a:p>
        </c:txPr>
        <c:crossAx val="149745024"/>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86856884824882"/>
          <c:y val="0.14178410775204611"/>
          <c:w val="0.79506406457257361"/>
          <c:h val="0.75317288602452281"/>
        </c:manualLayout>
      </c:layout>
      <c:barChart>
        <c:barDir val="col"/>
        <c:grouping val="stacked"/>
        <c:varyColors val="0"/>
        <c:ser>
          <c:idx val="0"/>
          <c:order val="0"/>
          <c:tx>
            <c:strRef>
              <c:f>Summary!$B$353</c:f>
              <c:strCache>
                <c:ptCount val="1"/>
                <c:pt idx="0">
                  <c:v>Legacy 1,3,6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Summary!$C$353:$M$353</c:f>
              <c:numCache>
                <c:formatCode>_(* #,##0_);_(* \(#,##0\);_(* "-"??_);_(@_)</c:formatCode>
                <c:ptCount val="11"/>
                <c:pt idx="0">
                  <c:v>7401851.8200361906</c:v>
                </c:pt>
                <c:pt idx="1">
                  <c:v>7610509.7457169611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5F1-8F4C-B8EF-2CCCCA382A1E}"/>
            </c:ext>
          </c:extLst>
        </c:ser>
        <c:ser>
          <c:idx val="1"/>
          <c:order val="1"/>
          <c:tx>
            <c:strRef>
              <c:f>Summary!$B$354</c:f>
              <c:strCache>
                <c:ptCount val="1"/>
                <c:pt idx="0">
                  <c:v>10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Summary!$C$354:$M$354</c:f>
              <c:numCache>
                <c:formatCode>_(* #,##0_);_(* \(#,##0\);_(* "-"??_);_(@_)</c:formatCode>
                <c:ptCount val="11"/>
                <c:pt idx="0">
                  <c:v>8723735.2416260391</c:v>
                </c:pt>
                <c:pt idx="1">
                  <c:v>21129008.220813021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5F1-8F4C-B8EF-2CCCCA382A1E}"/>
            </c:ext>
          </c:extLst>
        </c:ser>
        <c:ser>
          <c:idx val="2"/>
          <c:order val="2"/>
          <c:tx>
            <c:strRef>
              <c:f>Summary!$B$355</c:f>
              <c:strCache>
                <c:ptCount val="1"/>
                <c:pt idx="0">
                  <c:v>25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Summary!$C$355:$M$355</c:f>
              <c:numCache>
                <c:formatCode>_(* #,##0_);_(* \(#,##0\);_(* "-"??_);_(@_)</c:formatCode>
                <c:ptCount val="11"/>
                <c:pt idx="0">
                  <c:v>339082</c:v>
                </c:pt>
                <c:pt idx="1">
                  <c:v>3595182.9999999995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5F1-8F4C-B8EF-2CCCCA382A1E}"/>
            </c:ext>
          </c:extLst>
        </c:ser>
        <c:ser>
          <c:idx val="3"/>
          <c:order val="3"/>
          <c:tx>
            <c:strRef>
              <c:f>Summary!$B$356</c:f>
              <c:strCache>
                <c:ptCount val="1"/>
                <c:pt idx="0">
                  <c:v>50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Summary!$C$356:$M$356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803-D740-9613-A59A21C7EE6F}"/>
            </c:ext>
          </c:extLst>
        </c:ser>
        <c:ser>
          <c:idx val="5"/>
          <c:order val="4"/>
          <c:tx>
            <c:strRef>
              <c:f>Summary!$B$357</c:f>
              <c:strCache>
                <c:ptCount val="1"/>
                <c:pt idx="0">
                  <c:v>100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Summary!$C$357:$M$357</c:f>
              <c:numCache>
                <c:formatCode>_(* #,##0_);_(* \(#,##0\);_(* "-"??_);_(@_)</c:formatCode>
                <c:ptCount val="11"/>
                <c:pt idx="0">
                  <c:v>0</c:v>
                </c:pt>
                <c:pt idx="1">
                  <c:v>2200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45F1-8F4C-B8EF-2CCCCA382A1E}"/>
            </c:ext>
          </c:extLst>
        </c:ser>
        <c:dLbls>
          <c:showLegendKey val="0"/>
          <c:showVal val="0"/>
          <c:showCatName val="0"/>
          <c:showSerName val="0"/>
          <c:showPercent val="0"/>
          <c:showBubbleSize val="0"/>
        </c:dLbls>
        <c:gapWidth val="150"/>
        <c:overlap val="100"/>
        <c:axId val="155209728"/>
        <c:axId val="155211264"/>
      </c:barChart>
      <c:catAx>
        <c:axId val="155209728"/>
        <c:scaling>
          <c:orientation val="minMax"/>
        </c:scaling>
        <c:delete val="0"/>
        <c:axPos val="b"/>
        <c:numFmt formatCode="General" sourceLinked="1"/>
        <c:majorTickMark val="out"/>
        <c:minorTickMark val="none"/>
        <c:tickLblPos val="nextTo"/>
        <c:crossAx val="155211264"/>
        <c:crosses val="autoZero"/>
        <c:auto val="1"/>
        <c:lblAlgn val="ctr"/>
        <c:lblOffset val="100"/>
        <c:noMultiLvlLbl val="0"/>
      </c:catAx>
      <c:valAx>
        <c:axId val="155211264"/>
        <c:scaling>
          <c:orientation val="minMax"/>
        </c:scaling>
        <c:delete val="0"/>
        <c:axPos val="l"/>
        <c:majorGridlines/>
        <c:title>
          <c:tx>
            <c:rich>
              <a:bodyPr rot="-5400000" vert="horz"/>
              <a:lstStyle/>
              <a:p>
                <a:pPr>
                  <a:defRPr/>
                </a:pPr>
                <a:r>
                  <a:rPr lang="en-US" sz="1200" b="1" i="0" u="none" strike="noStrike" baseline="0">
                    <a:effectLst/>
                  </a:rPr>
                  <a:t>Annual shipments (units)</a:t>
                </a:r>
                <a:endParaRPr lang="en-US"/>
              </a:p>
            </c:rich>
          </c:tx>
          <c:layout>
            <c:manualLayout>
              <c:xMode val="edge"/>
              <c:yMode val="edge"/>
              <c:x val="1.800200378178534E-2"/>
              <c:y val="0.28499180788309025"/>
            </c:manualLayout>
          </c:layout>
          <c:overlay val="0"/>
        </c:title>
        <c:numFmt formatCode="_(* #,##0_);_(* \(#,##0\);_(* &quot;-&quot;??_);_(@_)" sourceLinked="1"/>
        <c:majorTickMark val="out"/>
        <c:minorTickMark val="none"/>
        <c:tickLblPos val="nextTo"/>
        <c:crossAx val="155209728"/>
        <c:crosses val="autoZero"/>
        <c:crossBetween val="between"/>
      </c:valAx>
    </c:plotArea>
    <c:legend>
      <c:legendPos val="t"/>
      <c:layout>
        <c:manualLayout>
          <c:xMode val="edge"/>
          <c:yMode val="edge"/>
          <c:x val="0.15935797855776501"/>
          <c:y val="1.6741939750698844E-2"/>
          <c:w val="0.71745420935286319"/>
          <c:h val="7.855763719190272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Summary!$N$353</c:f>
              <c:strCache>
                <c:ptCount val="1"/>
                <c:pt idx="0">
                  <c:v>Legacy 1,3,6 Gbps</c:v>
                </c:pt>
              </c:strCache>
            </c:strRef>
          </c:tx>
          <c:invertIfNegative val="0"/>
          <c:cat>
            <c:numRef>
              <c:f>Summary!$O$352:$Y$352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Summary!$O$353:$Y$353</c:f>
              <c:numCache>
                <c:formatCode>_("$"* #,##0_);_("$"* \(#,##0\);_("$"* "-"??_);_(@_)</c:formatCode>
                <c:ptCount val="11"/>
                <c:pt idx="0">
                  <c:v>100.15924885256101</c:v>
                </c:pt>
                <c:pt idx="1">
                  <c:v>80.529743039643847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CE7-C14E-8EB6-F19D3F78C2A7}"/>
            </c:ext>
          </c:extLst>
        </c:ser>
        <c:ser>
          <c:idx val="1"/>
          <c:order val="1"/>
          <c:tx>
            <c:strRef>
              <c:f>Summary!$N$354</c:f>
              <c:strCache>
                <c:ptCount val="1"/>
                <c:pt idx="0">
                  <c:v>10 Gbps</c:v>
                </c:pt>
              </c:strCache>
            </c:strRef>
          </c:tx>
          <c:invertIfNegative val="0"/>
          <c:cat>
            <c:numRef>
              <c:f>Summary!$O$352:$Y$352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Summary!$O$354:$Y$354</c:f>
              <c:numCache>
                <c:formatCode>_("$"* #,##0_);_("$"* \(#,##0\);_("$"* "-"??_);_(@_)</c:formatCode>
                <c:ptCount val="11"/>
                <c:pt idx="0">
                  <c:v>196.8123706070254</c:v>
                </c:pt>
                <c:pt idx="1">
                  <c:v>497.90928965557566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CCE7-C14E-8EB6-F19D3F78C2A7}"/>
            </c:ext>
          </c:extLst>
        </c:ser>
        <c:ser>
          <c:idx val="2"/>
          <c:order val="2"/>
          <c:tx>
            <c:strRef>
              <c:f>Summary!$N$355</c:f>
              <c:strCache>
                <c:ptCount val="1"/>
                <c:pt idx="0">
                  <c:v>25 Gbps</c:v>
                </c:pt>
              </c:strCache>
            </c:strRef>
          </c:tx>
          <c:invertIfNegative val="0"/>
          <c:cat>
            <c:numRef>
              <c:f>Summary!$O$352:$Y$352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Summary!$O$355:$Y$355</c:f>
              <c:numCache>
                <c:formatCode>_("$"* #,##0_);_("$"* \(#,##0\);_("$"* "-"??_);_(@_)</c:formatCode>
                <c:ptCount val="11"/>
                <c:pt idx="0">
                  <c:v>68.819090137435296</c:v>
                </c:pt>
                <c:pt idx="1">
                  <c:v>338.26039640619649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CCE7-C14E-8EB6-F19D3F78C2A7}"/>
            </c:ext>
          </c:extLst>
        </c:ser>
        <c:ser>
          <c:idx val="3"/>
          <c:order val="3"/>
          <c:tx>
            <c:strRef>
              <c:f>Summary!$N$356</c:f>
              <c:strCache>
                <c:ptCount val="1"/>
                <c:pt idx="0">
                  <c:v>50 Gbps</c:v>
                </c:pt>
              </c:strCache>
            </c:strRef>
          </c:tx>
          <c:invertIfNegative val="0"/>
          <c:cat>
            <c:numRef>
              <c:f>Summary!$O$352:$Y$352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Summary!$O$356:$Y$356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25F-6840-8E9B-F515CC361973}"/>
            </c:ext>
          </c:extLst>
        </c:ser>
        <c:ser>
          <c:idx val="5"/>
          <c:order val="4"/>
          <c:tx>
            <c:strRef>
              <c:f>Summary!$N$357</c:f>
              <c:strCache>
                <c:ptCount val="1"/>
                <c:pt idx="0">
                  <c:v>100 Gbps</c:v>
                </c:pt>
              </c:strCache>
            </c:strRef>
          </c:tx>
          <c:invertIfNegative val="0"/>
          <c:cat>
            <c:numRef>
              <c:f>Summary!$O$352:$Y$352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Summary!$O$357:$Y$357</c:f>
              <c:numCache>
                <c:formatCode>_("$"* #,##0_);_("$"* \(#,##0\);_("$"* "-"??_);_(@_)</c:formatCode>
                <c:ptCount val="11"/>
                <c:pt idx="0">
                  <c:v>0</c:v>
                </c:pt>
                <c:pt idx="1">
                  <c:v>1.3859999999999999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CCE7-C14E-8EB6-F19D3F78C2A7}"/>
            </c:ext>
          </c:extLst>
        </c:ser>
        <c:dLbls>
          <c:showLegendKey val="0"/>
          <c:showVal val="0"/>
          <c:showCatName val="0"/>
          <c:showSerName val="0"/>
          <c:showPercent val="0"/>
          <c:showBubbleSize val="0"/>
        </c:dLbls>
        <c:gapWidth val="150"/>
        <c:overlap val="100"/>
        <c:axId val="155241088"/>
        <c:axId val="155246976"/>
      </c:barChart>
      <c:catAx>
        <c:axId val="155241088"/>
        <c:scaling>
          <c:orientation val="minMax"/>
        </c:scaling>
        <c:delete val="0"/>
        <c:axPos val="b"/>
        <c:numFmt formatCode="General" sourceLinked="1"/>
        <c:majorTickMark val="out"/>
        <c:minorTickMark val="none"/>
        <c:tickLblPos val="nextTo"/>
        <c:crossAx val="155246976"/>
        <c:crosses val="autoZero"/>
        <c:auto val="1"/>
        <c:lblAlgn val="ctr"/>
        <c:lblOffset val="100"/>
        <c:noMultiLvlLbl val="0"/>
      </c:catAx>
      <c:valAx>
        <c:axId val="155246976"/>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crossAx val="155241088"/>
        <c:crosses val="autoZero"/>
        <c:crossBetween val="between"/>
      </c:valAx>
    </c:plotArea>
    <c:legend>
      <c:legendPos val="t"/>
      <c:layout>
        <c:manualLayout>
          <c:xMode val="edge"/>
          <c:yMode val="edge"/>
          <c:x val="0.15935797855776501"/>
          <c:y val="1.6741939750698844E-2"/>
          <c:w val="0.79885298390419124"/>
          <c:h val="7.6956995758713301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6846382607084"/>
          <c:y val="0.1754950908304993"/>
          <c:w val="0.80517271882257457"/>
          <c:h val="0.72413523558670734"/>
        </c:manualLayout>
      </c:layout>
      <c:barChart>
        <c:barDir val="col"/>
        <c:grouping val="stacked"/>
        <c:varyColors val="0"/>
        <c:ser>
          <c:idx val="0"/>
          <c:order val="0"/>
          <c:tx>
            <c:strRef>
              <c:f>Summary!$B$384</c:f>
              <c:strCache>
                <c:ptCount val="1"/>
                <c:pt idx="0">
                  <c:v>1 Gbps SFP</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Summary!$C$384:$M$384</c:f>
              <c:numCache>
                <c:formatCode>#,##0_);\(#,##0\)</c:formatCode>
                <c:ptCount val="11"/>
                <c:pt idx="0">
                  <c:v>666557.69230769225</c:v>
                </c:pt>
                <c:pt idx="1">
                  <c:v>533246.15384615387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CFB-E746-BBDE-9CB85FD94A70}"/>
            </c:ext>
          </c:extLst>
        </c:ser>
        <c:ser>
          <c:idx val="1"/>
          <c:order val="1"/>
          <c:tx>
            <c:strRef>
              <c:f>Summary!$B$385</c:f>
              <c:strCache>
                <c:ptCount val="1"/>
                <c:pt idx="0">
                  <c:v>10 Gbps SFP+</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Summary!$C$385:$M$385</c:f>
              <c:numCache>
                <c:formatCode>#,##0_);\(#,##0\)</c:formatCode>
                <c:ptCount val="11"/>
                <c:pt idx="0">
                  <c:v>705000</c:v>
                </c:pt>
                <c:pt idx="1">
                  <c:v>1594858.577488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CFB-E746-BBDE-9CB85FD94A70}"/>
            </c:ext>
          </c:extLst>
        </c:ser>
        <c:ser>
          <c:idx val="2"/>
          <c:order val="2"/>
          <c:tx>
            <c:strRef>
              <c:f>Summary!$B$386</c:f>
              <c:strCache>
                <c:ptCount val="1"/>
                <c:pt idx="0">
                  <c:v>25 Gbps SFP28</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Summary!$C$386:$M$386</c:f>
              <c:numCache>
                <c:formatCode>#,##0_);\(#,##0\)</c:formatCode>
                <c:ptCount val="11"/>
                <c:pt idx="0">
                  <c:v>18180</c:v>
                </c:pt>
                <c:pt idx="1">
                  <c:v>37251.656393120014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CFB-E746-BBDE-9CB85FD94A70}"/>
            </c:ext>
          </c:extLst>
        </c:ser>
        <c:ser>
          <c:idx val="3"/>
          <c:order val="3"/>
          <c:tx>
            <c:strRef>
              <c:f>Summary!$B$387</c:f>
              <c:strCache>
                <c:ptCount val="1"/>
                <c:pt idx="0">
                  <c:v>50 Gbps QSFP28</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Summary!$C$387:$M$387</c:f>
              <c:numCache>
                <c:formatCode>#,##0_);\(#,##0\)</c:formatCode>
                <c:ptCount val="11"/>
                <c:pt idx="0">
                  <c:v>0</c:v>
                </c:pt>
                <c:pt idx="1">
                  <c:v>110894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ACFB-E746-BBDE-9CB85FD94A70}"/>
            </c:ext>
          </c:extLst>
        </c:ser>
        <c:ser>
          <c:idx val="4"/>
          <c:order val="4"/>
          <c:tx>
            <c:strRef>
              <c:f>Summary!$B$388</c:f>
              <c:strCache>
                <c:ptCount val="1"/>
                <c:pt idx="0">
                  <c:v>100 Gbps QSFP28</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Summary!$C$388:$M$388</c:f>
              <c:numCache>
                <c:formatCode>#,##0_);\(#,##0\)</c:formatCode>
                <c:ptCount val="11"/>
                <c:pt idx="0">
                  <c:v>0</c:v>
                </c:pt>
                <c:pt idx="1">
                  <c:v>10000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ACFB-E746-BBDE-9CB85FD94A70}"/>
            </c:ext>
          </c:extLst>
        </c:ser>
        <c:ser>
          <c:idx val="5"/>
          <c:order val="5"/>
          <c:tx>
            <c:strRef>
              <c:f>Summary!$B$389</c:f>
              <c:strCache>
                <c:ptCount val="1"/>
                <c:pt idx="0">
                  <c:v>200 Gbps All</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Summary!$C$389:$M$389</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7D0-4849-97B6-1AB2FC2D595C}"/>
            </c:ext>
          </c:extLst>
        </c:ser>
        <c:dLbls>
          <c:showLegendKey val="0"/>
          <c:showVal val="0"/>
          <c:showCatName val="0"/>
          <c:showSerName val="0"/>
          <c:showPercent val="0"/>
          <c:showBubbleSize val="0"/>
        </c:dLbls>
        <c:gapWidth val="150"/>
        <c:overlap val="100"/>
        <c:axId val="155409024"/>
        <c:axId val="155423104"/>
      </c:barChart>
      <c:catAx>
        <c:axId val="155409024"/>
        <c:scaling>
          <c:orientation val="minMax"/>
        </c:scaling>
        <c:delete val="0"/>
        <c:axPos val="b"/>
        <c:numFmt formatCode="General" sourceLinked="1"/>
        <c:majorTickMark val="out"/>
        <c:minorTickMark val="none"/>
        <c:tickLblPos val="nextTo"/>
        <c:crossAx val="155423104"/>
        <c:crosses val="autoZero"/>
        <c:auto val="1"/>
        <c:lblAlgn val="ctr"/>
        <c:lblOffset val="100"/>
        <c:noMultiLvlLbl val="0"/>
      </c:catAx>
      <c:valAx>
        <c:axId val="155423104"/>
        <c:scaling>
          <c:orientation val="minMax"/>
        </c:scaling>
        <c:delete val="0"/>
        <c:axPos val="l"/>
        <c:majorGridlines/>
        <c:title>
          <c:tx>
            <c:rich>
              <a:bodyPr rot="-5400000" vert="horz"/>
              <a:lstStyle/>
              <a:p>
                <a:pPr>
                  <a:defRPr/>
                </a:pPr>
                <a:r>
                  <a:rPr lang="en-US"/>
                  <a:t>Annual shipments (units)</a:t>
                </a:r>
              </a:p>
            </c:rich>
          </c:tx>
          <c:layout>
            <c:manualLayout>
              <c:xMode val="edge"/>
              <c:yMode val="edge"/>
              <c:x val="1.2067711507193227E-2"/>
              <c:y val="0.30810256744543707"/>
            </c:manualLayout>
          </c:layout>
          <c:overlay val="0"/>
        </c:title>
        <c:numFmt formatCode="#,##0_);\(#,##0\)" sourceLinked="1"/>
        <c:majorTickMark val="out"/>
        <c:minorTickMark val="none"/>
        <c:tickLblPos val="nextTo"/>
        <c:crossAx val="155409024"/>
        <c:crosses val="autoZero"/>
        <c:crossBetween val="between"/>
      </c:valAx>
    </c:plotArea>
    <c:legend>
      <c:legendPos val="t"/>
      <c:layout>
        <c:manualLayout>
          <c:xMode val="edge"/>
          <c:yMode val="edge"/>
          <c:x val="0.13082653981055828"/>
          <c:y val="2.7104679914528979E-3"/>
          <c:w val="0.84064206863821578"/>
          <c:h val="0.15380200242624589"/>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16593264824948"/>
          <c:y val="0.17895496578318648"/>
          <c:w val="0.82897531028960358"/>
          <c:h val="0.71341953083342913"/>
        </c:manualLayout>
      </c:layout>
      <c:barChart>
        <c:barDir val="col"/>
        <c:grouping val="stacked"/>
        <c:varyColors val="0"/>
        <c:ser>
          <c:idx val="0"/>
          <c:order val="0"/>
          <c:tx>
            <c:strRef>
              <c:f>Summary!$N$384</c:f>
              <c:strCache>
                <c:ptCount val="1"/>
                <c:pt idx="0">
                  <c:v>1 Gbps SFP</c:v>
                </c:pt>
              </c:strCache>
            </c:strRef>
          </c:tx>
          <c:invertIfNegative val="0"/>
          <c:cat>
            <c:numRef>
              <c:f>Summary!$O$383:$Y$383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Summary!$O$384:$Y$384</c:f>
              <c:numCache>
                <c:formatCode>_("$"* #,##0_);_("$"* \(#,##0\);_("$"* "-"??_);_(@_)</c:formatCode>
                <c:ptCount val="11"/>
                <c:pt idx="0">
                  <c:v>8.2306948330175711</c:v>
                </c:pt>
                <c:pt idx="1">
                  <c:v>4.4242065045895984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343-6F42-B260-2F30D343040C}"/>
            </c:ext>
          </c:extLst>
        </c:ser>
        <c:ser>
          <c:idx val="1"/>
          <c:order val="1"/>
          <c:tx>
            <c:strRef>
              <c:f>Summary!$N$385</c:f>
              <c:strCache>
                <c:ptCount val="1"/>
                <c:pt idx="0">
                  <c:v>10 Gbps SFP+</c:v>
                </c:pt>
              </c:strCache>
            </c:strRef>
          </c:tx>
          <c:invertIfNegative val="0"/>
          <c:cat>
            <c:numRef>
              <c:f>Summary!$O$383:$Y$383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Summary!$O$385:$Y$385</c:f>
              <c:numCache>
                <c:formatCode>_("$"* #,##0_);_("$"* \(#,##0\);_("$"* "-"??_);_(@_)</c:formatCode>
                <c:ptCount val="11"/>
                <c:pt idx="0">
                  <c:v>70.529240304289061</c:v>
                </c:pt>
                <c:pt idx="1">
                  <c:v>78.078966957356343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343-6F42-B260-2F30D343040C}"/>
            </c:ext>
          </c:extLst>
        </c:ser>
        <c:ser>
          <c:idx val="2"/>
          <c:order val="2"/>
          <c:tx>
            <c:strRef>
              <c:f>Summary!$N$386</c:f>
              <c:strCache>
                <c:ptCount val="1"/>
                <c:pt idx="0">
                  <c:v>25 Gbps SFP28</c:v>
                </c:pt>
              </c:strCache>
            </c:strRef>
          </c:tx>
          <c:invertIfNegative val="0"/>
          <c:cat>
            <c:numRef>
              <c:f>Summary!$O$383:$Y$383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Summary!$O$386:$Y$386</c:f>
              <c:numCache>
                <c:formatCode>_("$"* #,##0_);_("$"* \(#,##0\);_("$"* "-"??_);_(@_)</c:formatCode>
                <c:ptCount val="11"/>
                <c:pt idx="0">
                  <c:v>3.5437460053959682</c:v>
                </c:pt>
                <c:pt idx="1">
                  <c:v>4.3987534672724831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D343-6F42-B260-2F30D343040C}"/>
            </c:ext>
          </c:extLst>
        </c:ser>
        <c:ser>
          <c:idx val="3"/>
          <c:order val="3"/>
          <c:tx>
            <c:strRef>
              <c:f>Summary!$N$387</c:f>
              <c:strCache>
                <c:ptCount val="1"/>
                <c:pt idx="0">
                  <c:v>50 Gbps QSFP28</c:v>
                </c:pt>
              </c:strCache>
            </c:strRef>
          </c:tx>
          <c:invertIfNegative val="0"/>
          <c:cat>
            <c:numRef>
              <c:f>Summary!$O$383:$Y$383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Summary!$O$387:$Y$387</c:f>
              <c:numCache>
                <c:formatCode>_("$"* #,##0_);_("$"* \(#,##0\);_("$"* "-"??_);_(@_)</c:formatCode>
                <c:ptCount val="11"/>
                <c:pt idx="0">
                  <c:v>0</c:v>
                </c:pt>
                <c:pt idx="1">
                  <c:v>52.509632451955227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D343-6F42-B260-2F30D343040C}"/>
            </c:ext>
          </c:extLst>
        </c:ser>
        <c:ser>
          <c:idx val="4"/>
          <c:order val="4"/>
          <c:tx>
            <c:strRef>
              <c:f>Summary!$N$388</c:f>
              <c:strCache>
                <c:ptCount val="1"/>
                <c:pt idx="0">
                  <c:v>100 Gbps QSFP28</c:v>
                </c:pt>
              </c:strCache>
            </c:strRef>
          </c:tx>
          <c:invertIfNegative val="0"/>
          <c:cat>
            <c:numRef>
              <c:f>Summary!$O$383:$Y$383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Summary!$O$388:$Y$388</c:f>
              <c:numCache>
                <c:formatCode>_("$"* #,##0_);_("$"* \(#,##0\);_("$"* "-"??_);_(@_)</c:formatCode>
                <c:ptCount val="11"/>
                <c:pt idx="0">
                  <c:v>0</c:v>
                </c:pt>
                <c:pt idx="1">
                  <c:v>5.2708718409117781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D343-6F42-B260-2F30D343040C}"/>
            </c:ext>
          </c:extLst>
        </c:ser>
        <c:ser>
          <c:idx val="5"/>
          <c:order val="5"/>
          <c:tx>
            <c:strRef>
              <c:f>Summary!$N$389</c:f>
              <c:strCache>
                <c:ptCount val="1"/>
                <c:pt idx="0">
                  <c:v>200 Gbps All</c:v>
                </c:pt>
              </c:strCache>
            </c:strRef>
          </c:tx>
          <c:invertIfNegative val="0"/>
          <c:cat>
            <c:numRef>
              <c:f>Summary!$O$383:$Y$383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Summary!$O$389:$Y$389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C87-48A7-B6EC-CF108D957820}"/>
            </c:ext>
          </c:extLst>
        </c:ser>
        <c:dLbls>
          <c:showLegendKey val="0"/>
          <c:showVal val="0"/>
          <c:showCatName val="0"/>
          <c:showSerName val="0"/>
          <c:showPercent val="0"/>
          <c:showBubbleSize val="0"/>
        </c:dLbls>
        <c:gapWidth val="150"/>
        <c:overlap val="100"/>
        <c:axId val="155588480"/>
        <c:axId val="155590016"/>
      </c:barChart>
      <c:catAx>
        <c:axId val="155588480"/>
        <c:scaling>
          <c:orientation val="minMax"/>
        </c:scaling>
        <c:delete val="0"/>
        <c:axPos val="b"/>
        <c:numFmt formatCode="General" sourceLinked="1"/>
        <c:majorTickMark val="out"/>
        <c:minorTickMark val="none"/>
        <c:tickLblPos val="nextTo"/>
        <c:crossAx val="155590016"/>
        <c:crosses val="autoZero"/>
        <c:auto val="1"/>
        <c:lblAlgn val="ctr"/>
        <c:lblOffset val="100"/>
        <c:noMultiLvlLbl val="0"/>
      </c:catAx>
      <c:valAx>
        <c:axId val="155590016"/>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crossAx val="155588480"/>
        <c:crosses val="autoZero"/>
        <c:crossBetween val="between"/>
      </c:valAx>
    </c:plotArea>
    <c:legend>
      <c:legendPos val="t"/>
      <c:layout>
        <c:manualLayout>
          <c:xMode val="edge"/>
          <c:yMode val="edge"/>
          <c:x val="0.15575885832419983"/>
          <c:y val="1.6741939750698844E-2"/>
          <c:w val="0.5950869395231454"/>
          <c:h val="0.14070185474960598"/>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6756556912585"/>
          <c:y val="2.3610548206746743E-2"/>
          <c:w val="0.66140317673584059"/>
          <c:h val="0.89907052523678399"/>
        </c:manualLayout>
      </c:layout>
      <c:barChart>
        <c:barDir val="col"/>
        <c:grouping val="stacked"/>
        <c:varyColors val="0"/>
        <c:ser>
          <c:idx val="0"/>
          <c:order val="0"/>
          <c:tx>
            <c:strRef>
              <c:f>Summary!$B$97</c:f>
              <c:strCache>
                <c:ptCount val="1"/>
                <c:pt idx="0">
                  <c:v>Ethernet</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Summary!$C$97:$M$97</c:f>
              <c:numCache>
                <c:formatCode>_("$"* #,##0_);_("$"* \(#,##0\);_("$"* "-"??_);_(@_)</c:formatCode>
                <c:ptCount val="11"/>
                <c:pt idx="0">
                  <c:v>3383.8982428713425</c:v>
                </c:pt>
                <c:pt idx="1">
                  <c:v>2782.4703988713959</c:v>
                </c:pt>
              </c:numCache>
            </c:numRef>
          </c:val>
          <c:extLst>
            <c:ext xmlns:c16="http://schemas.microsoft.com/office/drawing/2014/chart" uri="{C3380CC4-5D6E-409C-BE32-E72D297353CC}">
              <c16:uniqueId val="{00000000-7A21-4649-890F-ABF99D30F193}"/>
            </c:ext>
          </c:extLst>
        </c:ser>
        <c:ser>
          <c:idx val="1"/>
          <c:order val="1"/>
          <c:tx>
            <c:strRef>
              <c:f>Summary!$B$98</c:f>
              <c:strCache>
                <c:ptCount val="1"/>
                <c:pt idx="0">
                  <c:v>Fibre Channel</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Summary!$C$98:$M$98</c:f>
              <c:numCache>
                <c:formatCode>_("$"* #,##0_);_("$"* \(#,##0\);_("$"* "-"??_);_(@_)</c:formatCode>
                <c:ptCount val="11"/>
                <c:pt idx="0">
                  <c:v>218.4222266667125</c:v>
                </c:pt>
                <c:pt idx="1">
                  <c:v>271.04595053612644</c:v>
                </c:pt>
              </c:numCache>
            </c:numRef>
          </c:val>
          <c:extLst>
            <c:ext xmlns:c16="http://schemas.microsoft.com/office/drawing/2014/chart" uri="{C3380CC4-5D6E-409C-BE32-E72D297353CC}">
              <c16:uniqueId val="{00000001-7A21-4649-890F-ABF99D30F193}"/>
            </c:ext>
          </c:extLst>
        </c:ser>
        <c:ser>
          <c:idx val="2"/>
          <c:order val="2"/>
          <c:tx>
            <c:strRef>
              <c:f>Summary!$B$99</c:f>
              <c:strCache>
                <c:ptCount val="1"/>
                <c:pt idx="0">
                  <c:v>Optical Interconnects</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227.1686618283141</c:v>
                </c:pt>
                <c:pt idx="1">
                  <c:v>383.14520409235945</c:v>
                </c:pt>
              </c:numCache>
            </c:numRef>
          </c:val>
          <c:extLst>
            <c:ext xmlns:c16="http://schemas.microsoft.com/office/drawing/2014/chart" uri="{C3380CC4-5D6E-409C-BE32-E72D297353CC}">
              <c16:uniqueId val="{00000002-7A21-4649-890F-ABF99D30F193}"/>
            </c:ext>
          </c:extLst>
        </c:ser>
        <c:ser>
          <c:idx val="3"/>
          <c:order val="3"/>
          <c:tx>
            <c:strRef>
              <c:f>Summary!$B$100</c:f>
              <c:strCache>
                <c:ptCount val="1"/>
                <c:pt idx="0">
                  <c:v>CWDM / DWDM</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Summary!$C$100:$M$100</c:f>
              <c:numCache>
                <c:formatCode>_("$"* #,##0_);_("$"* \(#,##0\);_("$"* "-"??_);_(@_)</c:formatCode>
                <c:ptCount val="11"/>
                <c:pt idx="0">
                  <c:v>3757.3280952727268</c:v>
                </c:pt>
                <c:pt idx="1">
                  <c:v>3740.8947562632848</c:v>
                </c:pt>
              </c:numCache>
            </c:numRef>
          </c:val>
          <c:extLst>
            <c:ext xmlns:c16="http://schemas.microsoft.com/office/drawing/2014/chart" uri="{C3380CC4-5D6E-409C-BE32-E72D297353CC}">
              <c16:uniqueId val="{00000003-7A21-4649-890F-ABF99D30F193}"/>
            </c:ext>
          </c:extLst>
        </c:ser>
        <c:ser>
          <c:idx val="4"/>
          <c:order val="4"/>
          <c:tx>
            <c:strRef>
              <c:f>Summary!$B$101</c:f>
              <c:strCache>
                <c:ptCount val="1"/>
                <c:pt idx="0">
                  <c:v>Wireless Fronthaul</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365.79070959702165</c:v>
                </c:pt>
                <c:pt idx="1">
                  <c:v>918.08542910141614</c:v>
                </c:pt>
              </c:numCache>
            </c:numRef>
          </c:val>
          <c:extLst>
            <c:ext xmlns:c16="http://schemas.microsoft.com/office/drawing/2014/chart" uri="{C3380CC4-5D6E-409C-BE32-E72D297353CC}">
              <c16:uniqueId val="{00000004-7A21-4649-890F-ABF99D30F193}"/>
            </c:ext>
          </c:extLst>
        </c:ser>
        <c:ser>
          <c:idx val="5"/>
          <c:order val="5"/>
          <c:tx>
            <c:strRef>
              <c:f>Summary!$B$102</c:f>
              <c:strCache>
                <c:ptCount val="1"/>
                <c:pt idx="0">
                  <c:v>Wireless Backhaul</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82.303681142702601</c:v>
                </c:pt>
                <c:pt idx="1">
                  <c:v>144.68243122208546</c:v>
                </c:pt>
              </c:numCache>
            </c:numRef>
          </c:val>
          <c:extLst>
            <c:ext xmlns:c16="http://schemas.microsoft.com/office/drawing/2014/chart" uri="{C3380CC4-5D6E-409C-BE32-E72D297353CC}">
              <c16:uniqueId val="{00000005-7A21-4649-890F-ABF99D30F193}"/>
            </c:ext>
          </c:extLst>
        </c:ser>
        <c:ser>
          <c:idx val="6"/>
          <c:order val="6"/>
          <c:tx>
            <c:strRef>
              <c:f>Summary!$B$103</c:f>
              <c:strCache>
                <c:ptCount val="1"/>
                <c:pt idx="0">
                  <c:v>FTTx</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641.86446407319875</c:v>
                </c:pt>
                <c:pt idx="1">
                  <c:v>581.80538191035816</c:v>
                </c:pt>
              </c:numCache>
            </c:numRef>
          </c:val>
          <c:extLst>
            <c:ext xmlns:c16="http://schemas.microsoft.com/office/drawing/2014/chart" uri="{C3380CC4-5D6E-409C-BE32-E72D297353CC}">
              <c16:uniqueId val="{00000006-7A21-4649-890F-ABF99D30F193}"/>
            </c:ext>
          </c:extLst>
        </c:ser>
        <c:dLbls>
          <c:showLegendKey val="0"/>
          <c:showVal val="0"/>
          <c:showCatName val="0"/>
          <c:showSerName val="0"/>
          <c:showPercent val="0"/>
          <c:showBubbleSize val="0"/>
        </c:dLbls>
        <c:gapWidth val="150"/>
        <c:overlap val="100"/>
        <c:axId val="155656192"/>
        <c:axId val="155657728"/>
      </c:barChart>
      <c:catAx>
        <c:axId val="155656192"/>
        <c:scaling>
          <c:orientation val="minMax"/>
        </c:scaling>
        <c:delete val="0"/>
        <c:axPos val="b"/>
        <c:numFmt formatCode="General" sourceLinked="1"/>
        <c:majorTickMark val="none"/>
        <c:minorTickMark val="none"/>
        <c:tickLblPos val="nextTo"/>
        <c:txPr>
          <a:bodyPr rot="-60000000" vert="horz"/>
          <a:lstStyle/>
          <a:p>
            <a:pPr>
              <a:defRPr/>
            </a:pPr>
            <a:endParaRPr lang="en-US"/>
          </a:p>
        </c:txPr>
        <c:crossAx val="155657728"/>
        <c:crossesAt val="0"/>
        <c:auto val="1"/>
        <c:lblAlgn val="ctr"/>
        <c:lblOffset val="100"/>
        <c:noMultiLvlLbl val="0"/>
      </c:catAx>
      <c:valAx>
        <c:axId val="155657728"/>
        <c:scaling>
          <c:orientation val="minMax"/>
          <c:min val="0"/>
        </c:scaling>
        <c:delete val="0"/>
        <c:axPos val="l"/>
        <c:majorGridlines/>
        <c:title>
          <c:tx>
            <c:rich>
              <a:bodyPr rot="-5400000" vert="horz"/>
              <a:lstStyle/>
              <a:p>
                <a:pPr>
                  <a:defRPr/>
                </a:pPr>
                <a:r>
                  <a:rPr lang="en-US"/>
                  <a:t>Sales ($M)</a:t>
                </a:r>
              </a:p>
            </c:rich>
          </c:tx>
          <c:layout>
            <c:manualLayout>
              <c:xMode val="edge"/>
              <c:yMode val="edge"/>
              <c:x val="1.3089337769830846E-2"/>
              <c:y val="0.40414409519650912"/>
            </c:manualLayout>
          </c:layout>
          <c:overlay val="0"/>
        </c:title>
        <c:numFmt formatCode="_(&quot;$&quot;* #,##0_);_(&quot;$&quot;* \(#,##0\);_(&quot;$&quot;* &quot;-&quot;??_);_(@_)" sourceLinked="1"/>
        <c:majorTickMark val="none"/>
        <c:minorTickMark val="none"/>
        <c:tickLblPos val="nextTo"/>
        <c:txPr>
          <a:bodyPr rot="-60000000" vert="horz"/>
          <a:lstStyle/>
          <a:p>
            <a:pPr>
              <a:defRPr/>
            </a:pPr>
            <a:endParaRPr lang="en-US"/>
          </a:p>
        </c:txPr>
        <c:crossAx val="155656192"/>
        <c:crosses val="autoZero"/>
        <c:crossBetween val="between"/>
        <c:majorUnit val="2000"/>
      </c:valAx>
    </c:plotArea>
    <c:legend>
      <c:legendPos val="r"/>
      <c:layout>
        <c:manualLayout>
          <c:xMode val="edge"/>
          <c:yMode val="edge"/>
          <c:x val="0.83184643968286509"/>
          <c:y val="0.17518805352604974"/>
          <c:w val="0.16561183959248921"/>
          <c:h val="0.77963127196739612"/>
        </c:manualLayout>
      </c:layout>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54826289151882"/>
          <c:y val="4.4825778224365717E-2"/>
          <c:w val="0.8080953139453414"/>
          <c:h val="0.84295819953324636"/>
        </c:manualLayout>
      </c:layout>
      <c:lineChart>
        <c:grouping val="standard"/>
        <c:varyColors val="0"/>
        <c:ser>
          <c:idx val="0"/>
          <c:order val="0"/>
          <c:tx>
            <c:strRef>
              <c:f>Summary!$N$199</c:f>
              <c:strCache>
                <c:ptCount val="1"/>
                <c:pt idx="0">
                  <c:v>100GbE ZR</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Summary!$O$199:$Y$199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8EF9-FE45-A7B1-A491B05F3056}"/>
            </c:ext>
          </c:extLst>
        </c:ser>
        <c:ser>
          <c:idx val="4"/>
          <c:order val="1"/>
          <c:tx>
            <c:strRef>
              <c:f>Summary!$N$225</c:f>
              <c:strCache>
                <c:ptCount val="1"/>
                <c:pt idx="0">
                  <c:v>400ZR</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Summary!$O$225:$Y$225</c:f>
              <c:numCache>
                <c:formatCode>_(* #,##0_);_(* \(#,##0\);_(* "-"??_);_(@_)</c:formatCode>
                <c:ptCount val="11"/>
              </c:numCache>
            </c:numRef>
          </c:val>
          <c:smooth val="0"/>
          <c:extLst>
            <c:ext xmlns:c16="http://schemas.microsoft.com/office/drawing/2014/chart" uri="{C3380CC4-5D6E-409C-BE32-E72D297353CC}">
              <c16:uniqueId val="{00000000-8EF9-FE45-A7B1-A491B05F3056}"/>
            </c:ext>
          </c:extLst>
        </c:ser>
        <c:ser>
          <c:idx val="2"/>
          <c:order val="2"/>
          <c:tx>
            <c:strRef>
              <c:f>Summary!$N$226</c:f>
              <c:strCache>
                <c:ptCount val="1"/>
                <c:pt idx="0">
                  <c:v>400ZR+   OSPF/QSFP-DD</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Summary!$O$226:$Y$226</c:f>
              <c:numCache>
                <c:formatCode>_(* #,##0_);_(* \(#,##0\);_(* "-"??_);_(@_)</c:formatCode>
                <c:ptCount val="11"/>
              </c:numCache>
            </c:numRef>
          </c:val>
          <c:smooth val="0"/>
          <c:extLst>
            <c:ext xmlns:c16="http://schemas.microsoft.com/office/drawing/2014/chart" uri="{C3380CC4-5D6E-409C-BE32-E72D297353CC}">
              <c16:uniqueId val="{00000001-8EF9-FE45-A7B1-A491B05F3056}"/>
            </c:ext>
          </c:extLst>
        </c:ser>
        <c:ser>
          <c:idx val="3"/>
          <c:order val="3"/>
          <c:tx>
            <c:strRef>
              <c:f>Summary!$N$227</c:f>
              <c:strCache>
                <c:ptCount val="1"/>
                <c:pt idx="0">
                  <c:v>400ZR+ CFP2</c:v>
                </c:pt>
              </c:strCache>
            </c:strRef>
          </c:tx>
          <c:cat>
            <c:numRef>
              <c:f>Summary!$O$224:$Y$224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Summary!$O$227:$Y$227</c:f>
              <c:numCache>
                <c:formatCode>_(* #,##0_);_(* \(#,##0\);_(* "-"??_);_(@_)</c:formatCode>
                <c:ptCount val="11"/>
              </c:numCache>
            </c:numRef>
          </c:val>
          <c:smooth val="0"/>
          <c:extLst>
            <c:ext xmlns:c16="http://schemas.microsoft.com/office/drawing/2014/chart" uri="{C3380CC4-5D6E-409C-BE32-E72D297353CC}">
              <c16:uniqueId val="{00000000-0EA6-E74F-BAA2-05A1E9A5AB02}"/>
            </c:ext>
          </c:extLst>
        </c:ser>
        <c:dLbls>
          <c:showLegendKey val="0"/>
          <c:showVal val="0"/>
          <c:showCatName val="0"/>
          <c:showSerName val="0"/>
          <c:showPercent val="0"/>
          <c:showBubbleSize val="0"/>
        </c:dLbls>
        <c:marker val="1"/>
        <c:smooth val="0"/>
        <c:axId val="155765760"/>
        <c:axId val="155771648"/>
      </c:lineChart>
      <c:catAx>
        <c:axId val="155765760"/>
        <c:scaling>
          <c:orientation val="minMax"/>
        </c:scaling>
        <c:delete val="0"/>
        <c:axPos val="b"/>
        <c:numFmt formatCode="General" sourceLinked="1"/>
        <c:majorTickMark val="out"/>
        <c:minorTickMark val="none"/>
        <c:tickLblPos val="nextTo"/>
        <c:txPr>
          <a:bodyPr/>
          <a:lstStyle/>
          <a:p>
            <a:pPr>
              <a:defRPr sz="1200" b="0"/>
            </a:pPr>
            <a:endParaRPr lang="en-US"/>
          </a:p>
        </c:txPr>
        <c:crossAx val="155771648"/>
        <c:crosses val="autoZero"/>
        <c:auto val="1"/>
        <c:lblAlgn val="ctr"/>
        <c:lblOffset val="100"/>
        <c:noMultiLvlLbl val="0"/>
      </c:catAx>
      <c:valAx>
        <c:axId val="155771648"/>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4.6913506040752639E-4"/>
              <c:y val="0.39126949392952165"/>
            </c:manualLayout>
          </c:layout>
          <c:overlay val="0"/>
        </c:title>
        <c:numFmt formatCode="_(* #,##0_);_(* \(#,##0\);_(* &quot;-&quot;_);_(@_)" sourceLinked="0"/>
        <c:majorTickMark val="out"/>
        <c:minorTickMark val="none"/>
        <c:tickLblPos val="nextTo"/>
        <c:txPr>
          <a:bodyPr/>
          <a:lstStyle/>
          <a:p>
            <a:pPr>
              <a:defRPr sz="1050" b="0"/>
            </a:pPr>
            <a:endParaRPr lang="en-US"/>
          </a:p>
        </c:txPr>
        <c:crossAx val="155765760"/>
        <c:crosses val="autoZero"/>
        <c:crossBetween val="between"/>
        <c:majorUnit val="50000"/>
      </c:valAx>
    </c:plotArea>
    <c:legend>
      <c:legendPos val="r"/>
      <c:layout>
        <c:manualLayout>
          <c:xMode val="edge"/>
          <c:yMode val="edge"/>
          <c:x val="0.16995997231294835"/>
          <c:y val="6.7753262594167932E-2"/>
          <c:w val="0.3478520038239718"/>
          <c:h val="0.3656653890817994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Summary!$B$58</c:f>
              <c:strCache>
                <c:ptCount val="1"/>
                <c:pt idx="0">
                  <c:v>Ethernet</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Summary!$C$58:$M$58</c:f>
              <c:numCache>
                <c:formatCode>_(* #,##0_);_(* \(#,##0\);_(* "-"??_);_(@_)</c:formatCode>
                <c:ptCount val="11"/>
                <c:pt idx="0">
                  <c:v>45990087.589244679</c:v>
                </c:pt>
                <c:pt idx="1">
                  <c:v>42208306.517515101</c:v>
                </c:pt>
              </c:numCache>
            </c:numRef>
          </c:val>
          <c:extLst>
            <c:ext xmlns:c16="http://schemas.microsoft.com/office/drawing/2014/chart" uri="{C3380CC4-5D6E-409C-BE32-E72D297353CC}">
              <c16:uniqueId val="{00000000-BC98-C845-A2C7-25499CA2F7B2}"/>
            </c:ext>
          </c:extLst>
        </c:ser>
        <c:ser>
          <c:idx val="1"/>
          <c:order val="1"/>
          <c:tx>
            <c:strRef>
              <c:f>Summary!$B$59</c:f>
              <c:strCache>
                <c:ptCount val="1"/>
                <c:pt idx="0">
                  <c:v>Fibre Channel</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Summary!$C$59:$M$59</c:f>
              <c:numCache>
                <c:formatCode>_(* #,##0_);_(* \(#,##0\);_(* "-"??_);_(@_)</c:formatCode>
                <c:ptCount val="11"/>
                <c:pt idx="0">
                  <c:v>7839170</c:v>
                </c:pt>
                <c:pt idx="1">
                  <c:v>7687734.5578942783</c:v>
                </c:pt>
              </c:numCache>
            </c:numRef>
          </c:val>
          <c:extLst>
            <c:ext xmlns:c16="http://schemas.microsoft.com/office/drawing/2014/chart" uri="{C3380CC4-5D6E-409C-BE32-E72D297353CC}">
              <c16:uniqueId val="{00000001-BC98-C845-A2C7-25499CA2F7B2}"/>
            </c:ext>
          </c:extLst>
        </c:ser>
        <c:ser>
          <c:idx val="2"/>
          <c:order val="2"/>
          <c:tx>
            <c:strRef>
              <c:f>Summary!$B$60</c:f>
              <c:strCache>
                <c:ptCount val="1"/>
                <c:pt idx="0">
                  <c:v>Optical Interconnects</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Summary!$C$60:$M$60</c:f>
              <c:numCache>
                <c:formatCode>_(* #,##0_);_(* \(#,##0\);_(* "-"??_);_(@_)</c:formatCode>
                <c:ptCount val="11"/>
                <c:pt idx="0">
                  <c:v>6080954</c:v>
                </c:pt>
                <c:pt idx="1">
                  <c:v>4940245</c:v>
                </c:pt>
              </c:numCache>
            </c:numRef>
          </c:val>
          <c:extLst>
            <c:ext xmlns:c16="http://schemas.microsoft.com/office/drawing/2014/chart" uri="{C3380CC4-5D6E-409C-BE32-E72D297353CC}">
              <c16:uniqueId val="{00000002-BC98-C845-A2C7-25499CA2F7B2}"/>
            </c:ext>
          </c:extLst>
        </c:ser>
        <c:ser>
          <c:idx val="3"/>
          <c:order val="3"/>
          <c:tx>
            <c:strRef>
              <c:f>Summary!$B$61</c:f>
              <c:strCache>
                <c:ptCount val="1"/>
                <c:pt idx="0">
                  <c:v>CWDM / DWDM</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Summary!$C$61:$M$61</c:f>
              <c:numCache>
                <c:formatCode>_(* #,##0_);_(* \(#,##0\);_(* "-"??_);_(@_)</c:formatCode>
                <c:ptCount val="11"/>
                <c:pt idx="0">
                  <c:v>1281197</c:v>
                </c:pt>
                <c:pt idx="1">
                  <c:v>1540857</c:v>
                </c:pt>
              </c:numCache>
            </c:numRef>
          </c:val>
          <c:extLst>
            <c:ext xmlns:c16="http://schemas.microsoft.com/office/drawing/2014/chart" uri="{C3380CC4-5D6E-409C-BE32-E72D297353CC}">
              <c16:uniqueId val="{00000003-BC98-C845-A2C7-25499CA2F7B2}"/>
            </c:ext>
          </c:extLst>
        </c:ser>
        <c:ser>
          <c:idx val="4"/>
          <c:order val="4"/>
          <c:tx>
            <c:strRef>
              <c:f>Summary!$B$62</c:f>
              <c:strCache>
                <c:ptCount val="1"/>
                <c:pt idx="0">
                  <c:v>Wireless Fronthaul</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Summary!$C$62:$M$62</c:f>
              <c:numCache>
                <c:formatCode>_(* #,##0_);_(* \(#,##0\);_(* "-"??_);_(@_)</c:formatCode>
                <c:ptCount val="11"/>
                <c:pt idx="0">
                  <c:v>16464669.061662231</c:v>
                </c:pt>
                <c:pt idx="1">
                  <c:v>32336900.96652998</c:v>
                </c:pt>
              </c:numCache>
            </c:numRef>
          </c:val>
          <c:extLst>
            <c:ext xmlns:c16="http://schemas.microsoft.com/office/drawing/2014/chart" uri="{C3380CC4-5D6E-409C-BE32-E72D297353CC}">
              <c16:uniqueId val="{00000004-BC98-C845-A2C7-25499CA2F7B2}"/>
            </c:ext>
          </c:extLst>
        </c:ser>
        <c:ser>
          <c:idx val="5"/>
          <c:order val="5"/>
          <c:tx>
            <c:strRef>
              <c:f>Summary!$B$63</c:f>
              <c:strCache>
                <c:ptCount val="1"/>
                <c:pt idx="0">
                  <c:v>Wireless Backhaul</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Summary!$C$63:$M$63</c:f>
              <c:numCache>
                <c:formatCode>_(* #,##0_);_(* \(#,##0\);_(* "-"??_);_(@_)</c:formatCode>
                <c:ptCount val="11"/>
                <c:pt idx="0">
                  <c:v>1389737.6923076923</c:v>
                </c:pt>
                <c:pt idx="1">
                  <c:v>2286250.3877272741</c:v>
                </c:pt>
              </c:numCache>
            </c:numRef>
          </c:val>
          <c:extLst>
            <c:ext xmlns:c16="http://schemas.microsoft.com/office/drawing/2014/chart" uri="{C3380CC4-5D6E-409C-BE32-E72D297353CC}">
              <c16:uniqueId val="{00000005-BC98-C845-A2C7-25499CA2F7B2}"/>
            </c:ext>
          </c:extLst>
        </c:ser>
        <c:ser>
          <c:idx val="6"/>
          <c:order val="6"/>
          <c:tx>
            <c:strRef>
              <c:f>Summary!$B$64</c:f>
              <c:strCache>
                <c:ptCount val="1"/>
                <c:pt idx="0">
                  <c:v>FTTx</c:v>
                </c:pt>
              </c:strCache>
            </c:strRef>
          </c:tx>
          <c:invertIfNegative val="0"/>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Summary!$C$64:$M$64</c:f>
              <c:numCache>
                <c:formatCode>_(* #,##0_);_(* \(#,##0\);_(* "-"??_);_(@_)</c:formatCode>
                <c:ptCount val="11"/>
                <c:pt idx="0">
                  <c:v>92056484.942399994</c:v>
                </c:pt>
                <c:pt idx="1">
                  <c:v>72316081.971200004</c:v>
                </c:pt>
              </c:numCache>
            </c:numRef>
          </c:val>
          <c:extLst>
            <c:ext xmlns:c16="http://schemas.microsoft.com/office/drawing/2014/chart" uri="{C3380CC4-5D6E-409C-BE32-E72D297353CC}">
              <c16:uniqueId val="{00000006-BC98-C845-A2C7-25499CA2F7B2}"/>
            </c:ext>
          </c:extLst>
        </c:ser>
        <c:dLbls>
          <c:showLegendKey val="0"/>
          <c:showVal val="0"/>
          <c:showCatName val="0"/>
          <c:showSerName val="0"/>
          <c:showPercent val="0"/>
          <c:showBubbleSize val="0"/>
        </c:dLbls>
        <c:gapWidth val="150"/>
        <c:overlap val="100"/>
        <c:axId val="155816320"/>
        <c:axId val="155817856"/>
      </c:barChart>
      <c:catAx>
        <c:axId val="155816320"/>
        <c:scaling>
          <c:orientation val="minMax"/>
        </c:scaling>
        <c:delete val="0"/>
        <c:axPos val="b"/>
        <c:numFmt formatCode="General" sourceLinked="1"/>
        <c:majorTickMark val="out"/>
        <c:minorTickMark val="none"/>
        <c:tickLblPos val="nextTo"/>
        <c:crossAx val="155817856"/>
        <c:crosses val="autoZero"/>
        <c:auto val="1"/>
        <c:lblAlgn val="ctr"/>
        <c:lblOffset val="100"/>
        <c:noMultiLvlLbl val="0"/>
      </c:catAx>
      <c:valAx>
        <c:axId val="155817856"/>
        <c:scaling>
          <c:orientation val="minMax"/>
        </c:scaling>
        <c:delete val="0"/>
        <c:axPos val="l"/>
        <c:majorGridlines/>
        <c:numFmt formatCode="_(* #,##0_);_(* \(#,##0\);_(* &quot;-&quot;??_);_(@_)" sourceLinked="1"/>
        <c:majorTickMark val="out"/>
        <c:minorTickMark val="none"/>
        <c:tickLblPos val="nextTo"/>
        <c:crossAx val="155816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77109096006895"/>
          <c:y val="5.5212278483564657E-2"/>
          <c:w val="0.67849190071542742"/>
          <c:h val="0.84070430201982094"/>
        </c:manualLayout>
      </c:layout>
      <c:barChart>
        <c:barDir val="col"/>
        <c:grouping val="stacked"/>
        <c:varyColors val="0"/>
        <c:ser>
          <c:idx val="3"/>
          <c:order val="0"/>
          <c:tx>
            <c:strRef>
              <c:f>Summary!$B$578</c:f>
              <c:strCache>
                <c:ptCount val="1"/>
                <c:pt idx="0">
                  <c:v>10G</c:v>
                </c:pt>
              </c:strCache>
            </c:strRef>
          </c:tx>
          <c:spPr>
            <a:solidFill>
              <a:schemeClr val="accent2"/>
            </a:solidFill>
          </c:spPr>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Summary!$O$578:$Y$578</c:f>
              <c:numCache>
                <c:formatCode>_("$"* #,##0_);_("$"* \(#,##0\);_("$"* "-"??_);_(@_)</c:formatCode>
                <c:ptCount val="11"/>
                <c:pt idx="0">
                  <c:v>66.906791699999971</c:v>
                </c:pt>
                <c:pt idx="1">
                  <c:v>34.263987950000001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F88-DD48-B279-CF6EFC8632AD}"/>
            </c:ext>
          </c:extLst>
        </c:ser>
        <c:ser>
          <c:idx val="0"/>
          <c:order val="1"/>
          <c:tx>
            <c:strRef>
              <c:f>Summary!$B$579</c:f>
              <c:strCache>
                <c:ptCount val="1"/>
                <c:pt idx="0">
                  <c:v>25G</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Summary!$O$579:$Y$579</c:f>
              <c:numCache>
                <c:formatCode>_("$"* #,##0_);_("$"* \(#,##0\);_("$"* "-"??_);_(@_)</c:formatCode>
                <c:ptCount val="11"/>
                <c:pt idx="0">
                  <c:v>52.011518000000002</c:v>
                </c:pt>
                <c:pt idx="1">
                  <c:v>54.517853859999995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FA0-5546-B37F-5CD80F250E21}"/>
            </c:ext>
          </c:extLst>
        </c:ser>
        <c:ser>
          <c:idx val="1"/>
          <c:order val="2"/>
          <c:tx>
            <c:strRef>
              <c:f>Summary!$B$580</c:f>
              <c:strCache>
                <c:ptCount val="1"/>
                <c:pt idx="0">
                  <c:v>40G</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Summary!$O$580:$Y$580</c:f>
              <c:numCache>
                <c:formatCode>_("$"* #,##0_);_("$"* \(#,##0\);_("$"* "-"??_);_(@_)</c:formatCode>
                <c:ptCount val="11"/>
                <c:pt idx="0">
                  <c:v>33.409706077143589</c:v>
                </c:pt>
                <c:pt idx="1">
                  <c:v>24.870835694223633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CFA0-5546-B37F-5CD80F250E21}"/>
            </c:ext>
          </c:extLst>
        </c:ser>
        <c:ser>
          <c:idx val="2"/>
          <c:order val="3"/>
          <c:tx>
            <c:strRef>
              <c:f>Summary!$B$581</c:f>
              <c:strCache>
                <c:ptCount val="1"/>
                <c:pt idx="0">
                  <c:v>100G</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Summary!$O$581:$Y$581</c:f>
              <c:numCache>
                <c:formatCode>_("$"* #,##0_);_("$"* \(#,##0\);_("$"* "-"??_);_(@_)</c:formatCode>
                <c:ptCount val="11"/>
                <c:pt idx="0">
                  <c:v>45.049838524645217</c:v>
                </c:pt>
                <c:pt idx="1">
                  <c:v>57.242590999999997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CFA0-5546-B37F-5CD80F250E21}"/>
            </c:ext>
          </c:extLst>
        </c:ser>
        <c:ser>
          <c:idx val="4"/>
          <c:order val="4"/>
          <c:tx>
            <c:strRef>
              <c:f>Summary!$B$582</c:f>
              <c:strCache>
                <c:ptCount val="1"/>
                <c:pt idx="0">
                  <c:v>200G</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Summary!$O$582:$Y$582</c:f>
              <c:numCache>
                <c:formatCode>_("$"* #,##0_);_("$"* \(#,##0\);_("$"* "-"??_);_(@_)</c:formatCode>
                <c:ptCount val="11"/>
                <c:pt idx="0">
                  <c:v>0</c:v>
                </c:pt>
                <c:pt idx="1">
                  <c:v>44.484650000000002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CFA0-5546-B37F-5CD80F250E21}"/>
            </c:ext>
          </c:extLst>
        </c:ser>
        <c:ser>
          <c:idx val="5"/>
          <c:order val="5"/>
          <c:tx>
            <c:strRef>
              <c:f>Summary!$B$583</c:f>
              <c:strCache>
                <c:ptCount val="1"/>
                <c:pt idx="0">
                  <c:v>400G </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Summary!$O$583:$Y$583</c:f>
              <c:numCache>
                <c:formatCode>_("$"* #,##0_);_("$"* \(#,##0\);_("$"* "-"??_);_(@_)</c:formatCode>
                <c:ptCount val="11"/>
                <c:pt idx="0">
                  <c:v>0</c:v>
                </c:pt>
                <c:pt idx="1">
                  <c:v>24.172000000000001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CFA0-5546-B37F-5CD80F250E21}"/>
            </c:ext>
          </c:extLst>
        </c:ser>
        <c:ser>
          <c:idx val="6"/>
          <c:order val="6"/>
          <c:tx>
            <c:strRef>
              <c:f>Summary!$B$584</c:f>
              <c:strCache>
                <c:ptCount val="1"/>
                <c:pt idx="0">
                  <c:v>800G, 1.6T</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Summary!$O$584:$Y$584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FE7-48E8-B266-DED97B5D3F0F}"/>
            </c:ext>
          </c:extLst>
        </c:ser>
        <c:ser>
          <c:idx val="7"/>
          <c:order val="7"/>
          <c:tx>
            <c:strRef>
              <c:f>Summary!$B$585</c:f>
              <c:strCache>
                <c:ptCount val="1"/>
                <c:pt idx="0">
                  <c:v>All other</c:v>
                </c:pt>
              </c:strCache>
            </c:strRef>
          </c:tx>
          <c:invertIfNegative val="0"/>
          <c:cat>
            <c:numRef>
              <c:f>Summary!$O$577:$Y$577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Summary!$O$585:$Y$585</c:f>
              <c:numCache>
                <c:formatCode>_("$"* #,##0_);_("$"* \(#,##0\);_("$"* "-"??_);_(@_)</c:formatCode>
                <c:ptCount val="11"/>
                <c:pt idx="0">
                  <c:v>29.790807526525285</c:v>
                </c:pt>
                <c:pt idx="1">
                  <c:v>143.59328558813581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FE7-48E8-B266-DED97B5D3F0F}"/>
            </c:ext>
          </c:extLst>
        </c:ser>
        <c:dLbls>
          <c:showLegendKey val="0"/>
          <c:showVal val="0"/>
          <c:showCatName val="0"/>
          <c:showSerName val="0"/>
          <c:showPercent val="0"/>
          <c:showBubbleSize val="0"/>
        </c:dLbls>
        <c:gapWidth val="111"/>
        <c:overlap val="100"/>
        <c:axId val="155878528"/>
        <c:axId val="155880064"/>
      </c:barChart>
      <c:catAx>
        <c:axId val="155878528"/>
        <c:scaling>
          <c:orientation val="minMax"/>
        </c:scaling>
        <c:delete val="0"/>
        <c:axPos val="b"/>
        <c:numFmt formatCode="General" sourceLinked="1"/>
        <c:majorTickMark val="out"/>
        <c:minorTickMark val="none"/>
        <c:tickLblPos val="nextTo"/>
        <c:txPr>
          <a:bodyPr/>
          <a:lstStyle/>
          <a:p>
            <a:pPr>
              <a:defRPr sz="1200" b="0"/>
            </a:pPr>
            <a:endParaRPr lang="en-US"/>
          </a:p>
        </c:txPr>
        <c:crossAx val="155880064"/>
        <c:crosses val="autoZero"/>
        <c:auto val="1"/>
        <c:lblAlgn val="ctr"/>
        <c:lblOffset val="100"/>
        <c:noMultiLvlLbl val="0"/>
      </c:catAx>
      <c:valAx>
        <c:axId val="155880064"/>
        <c:scaling>
          <c:orientation val="minMax"/>
          <c:min val="0"/>
        </c:scaling>
        <c:delete val="0"/>
        <c:axPos val="l"/>
        <c:majorGridlines/>
        <c:title>
          <c:tx>
            <c:rich>
              <a:bodyPr rot="-5400000" vert="horz"/>
              <a:lstStyle/>
              <a:p>
                <a:pPr>
                  <a:defRPr/>
                </a:pPr>
                <a:r>
                  <a:rPr lang="en-US"/>
                  <a:t>Sales ($ millions)</a:t>
                </a:r>
              </a:p>
            </c:rich>
          </c:tx>
          <c:overlay val="0"/>
        </c:title>
        <c:numFmt formatCode="_(&quot;$&quot;* #,##0_);_(&quot;$&quot;* \(#,##0\);_(&quot;$&quot;* &quot;-&quot;??_);_(@_)" sourceLinked="1"/>
        <c:majorTickMark val="out"/>
        <c:minorTickMark val="none"/>
        <c:tickLblPos val="nextTo"/>
        <c:crossAx val="155878528"/>
        <c:crosses val="autoZero"/>
        <c:crossBetween val="between"/>
      </c:valAx>
    </c:plotArea>
    <c:legend>
      <c:legendPos val="r"/>
      <c:layout>
        <c:manualLayout>
          <c:xMode val="edge"/>
          <c:yMode val="edge"/>
          <c:x val="0.85920370719086958"/>
          <c:y val="0.14967343473892103"/>
          <c:w val="0.12902517705719943"/>
          <c:h val="0.68231783375489419"/>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57712505799324"/>
          <c:y val="0.13670818559125975"/>
          <c:w val="0.80186128113004562"/>
          <c:h val="0.77340888461102741"/>
        </c:manualLayout>
      </c:layout>
      <c:barChart>
        <c:barDir val="col"/>
        <c:grouping val="stacked"/>
        <c:varyColors val="0"/>
        <c:ser>
          <c:idx val="0"/>
          <c:order val="0"/>
          <c:tx>
            <c:strRef>
              <c:f>Summary!$N$295</c:f>
              <c:strCache>
                <c:ptCount val="1"/>
                <c:pt idx="0">
                  <c:v>GPON</c:v>
                </c:pt>
              </c:strCache>
            </c:strRef>
          </c:tx>
          <c:invertIfNegative val="0"/>
          <c:cat>
            <c:numRef>
              <c:f>Summary!$O$294:$Y$294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Summary!$O$295:$Y$295</c:f>
              <c:numCache>
                <c:formatCode>_("$"* #,##0_);_("$"* \(#,##0\);_("$"* "-"??_);_(@_)</c:formatCode>
                <c:ptCount val="11"/>
                <c:pt idx="0">
                  <c:v>412.92291733724369</c:v>
                </c:pt>
                <c:pt idx="1">
                  <c:v>308.10625172132325</c:v>
                </c:pt>
                <c:pt idx="2">
                  <c:v>173.30062999999998</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691-F542-B866-6C8DC10FFD88}"/>
            </c:ext>
          </c:extLst>
        </c:ser>
        <c:ser>
          <c:idx val="1"/>
          <c:order val="1"/>
          <c:tx>
            <c:strRef>
              <c:f>Summary!$N$296</c:f>
              <c:strCache>
                <c:ptCount val="1"/>
                <c:pt idx="0">
                  <c:v>EPON</c:v>
                </c:pt>
              </c:strCache>
            </c:strRef>
          </c:tx>
          <c:invertIfNegative val="0"/>
          <c:cat>
            <c:numRef>
              <c:f>Summary!$O$294:$Y$294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Summary!$O$296:$Y$296</c:f>
              <c:numCache>
                <c:formatCode>_("$"* #,##0_);_("$"* \(#,##0\);_("$"* "-"??_);_(@_)</c:formatCode>
                <c:ptCount val="11"/>
                <c:pt idx="0">
                  <c:v>44.537029713288099</c:v>
                </c:pt>
                <c:pt idx="1">
                  <c:v>18.822052169774089</c:v>
                </c:pt>
                <c:pt idx="2">
                  <c:v>6.6421205596799986</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691-F542-B866-6C8DC10FFD88}"/>
            </c:ext>
          </c:extLst>
        </c:ser>
        <c:ser>
          <c:idx val="2"/>
          <c:order val="2"/>
          <c:tx>
            <c:strRef>
              <c:f>Summary!$N$297</c:f>
              <c:strCache>
                <c:ptCount val="1"/>
                <c:pt idx="0">
                  <c:v>10G-PON</c:v>
                </c:pt>
              </c:strCache>
            </c:strRef>
          </c:tx>
          <c:invertIfNegative val="0"/>
          <c:cat>
            <c:numRef>
              <c:f>Summary!$O$294:$Y$294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Summary!$O$297:$Y$297</c:f>
              <c:numCache>
                <c:formatCode>_("$"* #,##0_);_("$"* \(#,##0\);_("$"* "-"??_);_(@_)</c:formatCode>
                <c:ptCount val="11"/>
                <c:pt idx="0">
                  <c:v>183.62701702266691</c:v>
                </c:pt>
                <c:pt idx="1">
                  <c:v>252.11707801926076</c:v>
                </c:pt>
                <c:pt idx="2">
                  <c:v>356.76576064296671</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691-F542-B866-6C8DC10FFD88}"/>
            </c:ext>
          </c:extLst>
        </c:ser>
        <c:ser>
          <c:idx val="3"/>
          <c:order val="3"/>
          <c:tx>
            <c:strRef>
              <c:f>Summary!$N$298</c:f>
              <c:strCache>
                <c:ptCount val="1"/>
                <c:pt idx="0">
                  <c:v>NG-PON2</c:v>
                </c:pt>
              </c:strCache>
            </c:strRef>
          </c:tx>
          <c:invertIfNegative val="0"/>
          <c:cat>
            <c:numRef>
              <c:f>Summary!$O$294:$Y$294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Summary!$O$298:$Y$298</c:f>
              <c:numCache>
                <c:formatCode>_("$"* #,##0_);_("$"* \(#,##0\);_("$"* "-"??_);_(@_)</c:formatCode>
                <c:ptCount val="11"/>
                <c:pt idx="0">
                  <c:v>0.77749999999999997</c:v>
                </c:pt>
                <c:pt idx="1">
                  <c:v>2.76</c:v>
                </c:pt>
                <c:pt idx="2">
                  <c:v>65.875</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A691-F542-B866-6C8DC10FFD88}"/>
            </c:ext>
          </c:extLst>
        </c:ser>
        <c:ser>
          <c:idx val="4"/>
          <c:order val="4"/>
          <c:tx>
            <c:strRef>
              <c:f>Summary!$N$299</c:f>
              <c:strCache>
                <c:ptCount val="1"/>
                <c:pt idx="0">
                  <c:v>25G PON</c:v>
                </c:pt>
              </c:strCache>
            </c:strRef>
          </c:tx>
          <c:invertIfNegative val="0"/>
          <c:cat>
            <c:numRef>
              <c:f>Summary!$O$294:$Y$294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Summary!$O$299:$Y$299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A691-F542-B866-6C8DC10FFD88}"/>
            </c:ext>
          </c:extLst>
        </c:ser>
        <c:ser>
          <c:idx val="5"/>
          <c:order val="5"/>
          <c:tx>
            <c:strRef>
              <c:f>Summary!$N$300</c:f>
              <c:strCache>
                <c:ptCount val="1"/>
                <c:pt idx="0">
                  <c:v>50G PON</c:v>
                </c:pt>
              </c:strCache>
            </c:strRef>
          </c:tx>
          <c:invertIfNegative val="0"/>
          <c:cat>
            <c:numRef>
              <c:f>Summary!$O$294:$Y$294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Summary!$O$300:$Y$300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567-4BF1-9365-2A97D501E996}"/>
            </c:ext>
          </c:extLst>
        </c:ser>
        <c:dLbls>
          <c:showLegendKey val="0"/>
          <c:showVal val="0"/>
          <c:showCatName val="0"/>
          <c:showSerName val="0"/>
          <c:showPercent val="0"/>
          <c:showBubbleSize val="0"/>
        </c:dLbls>
        <c:gapWidth val="150"/>
        <c:overlap val="100"/>
        <c:axId val="155931392"/>
        <c:axId val="155932928"/>
      </c:barChart>
      <c:catAx>
        <c:axId val="155931392"/>
        <c:scaling>
          <c:orientation val="minMax"/>
        </c:scaling>
        <c:delete val="0"/>
        <c:axPos val="b"/>
        <c:numFmt formatCode="General" sourceLinked="1"/>
        <c:majorTickMark val="out"/>
        <c:minorTickMark val="none"/>
        <c:tickLblPos val="nextTo"/>
        <c:txPr>
          <a:bodyPr/>
          <a:lstStyle/>
          <a:p>
            <a:pPr>
              <a:defRPr sz="1200"/>
            </a:pPr>
            <a:endParaRPr lang="en-US"/>
          </a:p>
        </c:txPr>
        <c:crossAx val="155932928"/>
        <c:crosses val="autoZero"/>
        <c:auto val="1"/>
        <c:lblAlgn val="ctr"/>
        <c:lblOffset val="100"/>
        <c:noMultiLvlLbl val="0"/>
      </c:catAx>
      <c:valAx>
        <c:axId val="155932928"/>
        <c:scaling>
          <c:orientation val="minMax"/>
        </c:scaling>
        <c:delete val="0"/>
        <c:axPos val="l"/>
        <c:majorGridlines/>
        <c:title>
          <c:tx>
            <c:rich>
              <a:bodyPr rot="-5400000" vert="horz"/>
              <a:lstStyle/>
              <a:p>
                <a:pPr>
                  <a:defRPr sz="1400"/>
                </a:pPr>
                <a:r>
                  <a:rPr lang="en-US" sz="1400"/>
                  <a:t>Annual 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155931392"/>
        <c:crosses val="autoZero"/>
        <c:crossBetween val="between"/>
      </c:valAx>
    </c:plotArea>
    <c:legend>
      <c:legendPos val="t"/>
      <c:layout>
        <c:manualLayout>
          <c:xMode val="edge"/>
          <c:yMode val="edge"/>
          <c:x val="0.17803633484361941"/>
          <c:y val="2.5115328514994754E-2"/>
          <c:w val="0.7586804544838992"/>
          <c:h val="7.300347502092161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13082303259578"/>
          <c:y val="0.13670818559125975"/>
          <c:w val="0.74424880130207183"/>
          <c:h val="0.77340888461102741"/>
        </c:manualLayout>
      </c:layout>
      <c:barChart>
        <c:barDir val="col"/>
        <c:grouping val="stacked"/>
        <c:varyColors val="0"/>
        <c:ser>
          <c:idx val="0"/>
          <c:order val="0"/>
          <c:tx>
            <c:strRef>
              <c:f>Summary!$B$295</c:f>
              <c:strCache>
                <c:ptCount val="1"/>
                <c:pt idx="0">
                  <c:v>GPON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Summary!$C$295:$M$295</c:f>
              <c:numCache>
                <c:formatCode>_(* #,##0_);_(* \(#,##0\);_(* "-"??_);_(@_)</c:formatCode>
                <c:ptCount val="11"/>
                <c:pt idx="0">
                  <c:v>81490373</c:v>
                </c:pt>
                <c:pt idx="1">
                  <c:v>64055791.75</c:v>
                </c:pt>
                <c:pt idx="2">
                  <c:v>64245753</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F44-E34F-AC34-540B3F75DEF5}"/>
            </c:ext>
          </c:extLst>
        </c:ser>
        <c:ser>
          <c:idx val="1"/>
          <c:order val="1"/>
          <c:tx>
            <c:strRef>
              <c:f>Summary!$B$296</c:f>
              <c:strCache>
                <c:ptCount val="1"/>
                <c:pt idx="0">
                  <c:v>EPON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Summary!$C$296:$M$296</c:f>
              <c:numCache>
                <c:formatCode>_(* #,##0_);_(* \(#,##0\);_(* "-"??_);_(@_)</c:formatCode>
                <c:ptCount val="11"/>
                <c:pt idx="0">
                  <c:v>8058961.9423999991</c:v>
                </c:pt>
                <c:pt idx="1">
                  <c:v>4035961.2211999996</c:v>
                </c:pt>
                <c:pt idx="2">
                  <c:v>2628060.2798399995</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F44-E34F-AC34-540B3F75DEF5}"/>
            </c:ext>
          </c:extLst>
        </c:ser>
        <c:ser>
          <c:idx val="2"/>
          <c:order val="2"/>
          <c:tx>
            <c:strRef>
              <c:f>Summary!$B$297</c:f>
              <c:strCache>
                <c:ptCount val="1"/>
                <c:pt idx="0">
                  <c:v>10G-PON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Summary!$C$297:$M$297</c:f>
              <c:numCache>
                <c:formatCode>_(* #,##0_);_(* \(#,##0\);_(* "-"??_);_(@_)</c:formatCode>
                <c:ptCount val="11"/>
                <c:pt idx="0">
                  <c:v>2506000</c:v>
                </c:pt>
                <c:pt idx="1">
                  <c:v>4220129</c:v>
                </c:pt>
                <c:pt idx="2">
                  <c:v>9728819.9031914882</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F44-E34F-AC34-540B3F75DEF5}"/>
            </c:ext>
          </c:extLst>
        </c:ser>
        <c:ser>
          <c:idx val="3"/>
          <c:order val="3"/>
          <c:tx>
            <c:strRef>
              <c:f>Summary!$B$298</c:f>
              <c:strCache>
                <c:ptCount val="1"/>
                <c:pt idx="0">
                  <c:v>NG-PON2</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Summary!$C$298:$M$298</c:f>
              <c:numCache>
                <c:formatCode>_(* #,##0_);_(* \(#,##0\);_(* "-"??_);_(@_)</c:formatCode>
                <c:ptCount val="11"/>
                <c:pt idx="0">
                  <c:v>1150</c:v>
                </c:pt>
                <c:pt idx="1">
                  <c:v>4200</c:v>
                </c:pt>
                <c:pt idx="2">
                  <c:v>100000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9F44-E34F-AC34-540B3F75DEF5}"/>
            </c:ext>
          </c:extLst>
        </c:ser>
        <c:ser>
          <c:idx val="4"/>
          <c:order val="4"/>
          <c:tx>
            <c:strRef>
              <c:f>Summary!$B$299</c:f>
              <c:strCache>
                <c:ptCount val="1"/>
                <c:pt idx="0">
                  <c:v>25G 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Summary!$C$299:$M$299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9F44-E34F-AC34-540B3F75DEF5}"/>
            </c:ext>
          </c:extLst>
        </c:ser>
        <c:ser>
          <c:idx val="5"/>
          <c:order val="5"/>
          <c:tx>
            <c:strRef>
              <c:f>Summary!$B$300</c:f>
              <c:strCache>
                <c:ptCount val="1"/>
                <c:pt idx="0">
                  <c:v>50G 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Summary!$C$300:$M$300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51B-4BED-8BDC-EA075BC13330}"/>
            </c:ext>
          </c:extLst>
        </c:ser>
        <c:dLbls>
          <c:showLegendKey val="0"/>
          <c:showVal val="0"/>
          <c:showCatName val="0"/>
          <c:showSerName val="0"/>
          <c:showPercent val="0"/>
          <c:showBubbleSize val="0"/>
        </c:dLbls>
        <c:gapWidth val="150"/>
        <c:overlap val="100"/>
        <c:axId val="156057984"/>
        <c:axId val="156059520"/>
      </c:barChart>
      <c:catAx>
        <c:axId val="156057984"/>
        <c:scaling>
          <c:orientation val="minMax"/>
        </c:scaling>
        <c:delete val="0"/>
        <c:axPos val="b"/>
        <c:numFmt formatCode="General" sourceLinked="1"/>
        <c:majorTickMark val="out"/>
        <c:minorTickMark val="none"/>
        <c:tickLblPos val="nextTo"/>
        <c:txPr>
          <a:bodyPr/>
          <a:lstStyle/>
          <a:p>
            <a:pPr>
              <a:defRPr sz="1200"/>
            </a:pPr>
            <a:endParaRPr lang="en-US"/>
          </a:p>
        </c:txPr>
        <c:crossAx val="156059520"/>
        <c:crosses val="autoZero"/>
        <c:auto val="1"/>
        <c:lblAlgn val="ctr"/>
        <c:lblOffset val="100"/>
        <c:noMultiLvlLbl val="0"/>
      </c:catAx>
      <c:valAx>
        <c:axId val="156059520"/>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4.1011035309730347E-2"/>
              <c:y val="0.22493324006801449"/>
            </c:manualLayout>
          </c:layout>
          <c:overlay val="0"/>
        </c:title>
        <c:numFmt formatCode="_(* #,##0_);_(* \(#,##0\);_(* &quot;-&quot;??_);_(@_)" sourceLinked="1"/>
        <c:majorTickMark val="out"/>
        <c:minorTickMark val="none"/>
        <c:tickLblPos val="nextTo"/>
        <c:txPr>
          <a:bodyPr/>
          <a:lstStyle/>
          <a:p>
            <a:pPr>
              <a:defRPr sz="1200"/>
            </a:pPr>
            <a:endParaRPr lang="en-US"/>
          </a:p>
        </c:txPr>
        <c:crossAx val="156057984"/>
        <c:crosses val="autoZero"/>
        <c:crossBetween val="between"/>
      </c:valAx>
    </c:plotArea>
    <c:legend>
      <c:legendPos val="t"/>
      <c:layout>
        <c:manualLayout>
          <c:xMode val="edge"/>
          <c:yMode val="edge"/>
          <c:x val="0.17803633484361941"/>
          <c:y val="2.5115328514994754E-2"/>
          <c:w val="0.74364861368786928"/>
          <c:h val="7.300347502092161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6930101259246"/>
          <c:y val="0.14353585792497997"/>
          <c:w val="0.78122892453587434"/>
          <c:h val="0.75777662046661032"/>
        </c:manualLayout>
      </c:layout>
      <c:barChart>
        <c:barDir val="col"/>
        <c:grouping val="stacked"/>
        <c:varyColors val="0"/>
        <c:ser>
          <c:idx val="3"/>
          <c:order val="0"/>
          <c:tx>
            <c:strRef>
              <c:f>Summary!$N$142</c:f>
              <c:strCache>
                <c:ptCount val="1"/>
                <c:pt idx="0">
                  <c:v>100G</c:v>
                </c:pt>
              </c:strCache>
            </c:strRef>
          </c:tx>
          <c:invertIfNegative val="0"/>
          <c:cat>
            <c:numRef>
              <c:f>Summary!$O$139:$Y$139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Summary!$O$142:$Y$142</c:f>
              <c:numCache>
                <c:formatCode>_("$"* #,##0_);_("$"* \(#,##0\);_("$"* "-"??_);_(@_)</c:formatCode>
                <c:ptCount val="11"/>
                <c:pt idx="0">
                  <c:v>2559.9320099999995</c:v>
                </c:pt>
                <c:pt idx="1">
                  <c:v>1881.344966666667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11A9-FE41-A323-E3D74DA825D6}"/>
            </c:ext>
          </c:extLst>
        </c:ser>
        <c:ser>
          <c:idx val="0"/>
          <c:order val="1"/>
          <c:tx>
            <c:strRef>
              <c:f>Summary!$N$143</c:f>
              <c:strCache>
                <c:ptCount val="1"/>
                <c:pt idx="0">
                  <c:v>200G </c:v>
                </c:pt>
              </c:strCache>
            </c:strRef>
          </c:tx>
          <c:invertIfNegative val="0"/>
          <c:cat>
            <c:numRef>
              <c:f>Summary!$O$139:$Y$139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Summary!$O$143:$Y$143</c:f>
              <c:numCache>
                <c:formatCode>_("$"* #,##0_);_("$"* \(#,##0\);_("$"* "-"??_);_(@_)</c:formatCode>
                <c:ptCount val="11"/>
                <c:pt idx="0">
                  <c:v>923.95152727272739</c:v>
                </c:pt>
                <c:pt idx="1">
                  <c:v>1231.1956727272725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DDD-9640-AA6A-6FE103212987}"/>
            </c:ext>
          </c:extLst>
        </c:ser>
        <c:ser>
          <c:idx val="1"/>
          <c:order val="2"/>
          <c:tx>
            <c:strRef>
              <c:f>Summary!$N$144</c:f>
              <c:strCache>
                <c:ptCount val="1"/>
                <c:pt idx="0">
                  <c:v>400G ZR, ZR+</c:v>
                </c:pt>
              </c:strCache>
            </c:strRef>
          </c:tx>
          <c:invertIfNegative val="0"/>
          <c:cat>
            <c:numRef>
              <c:f>Summary!$O$139:$Y$139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Summary!$O$144:$Y$144</c:f>
              <c:numCache>
                <c:formatCode>_("$"* #,##0_);_("$"* \(#,##0\);_("$"* "-"??_);_(@_)</c:formatCode>
                <c:ptCount val="11"/>
                <c:pt idx="0">
                  <c:v>0</c:v>
                </c:pt>
                <c:pt idx="1">
                  <c:v>339.76545454545453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DDD-9640-AA6A-6FE103212987}"/>
            </c:ext>
          </c:extLst>
        </c:ser>
        <c:ser>
          <c:idx val="2"/>
          <c:order val="3"/>
          <c:tx>
            <c:strRef>
              <c:f>Summary!$N$145</c:f>
              <c:strCache>
                <c:ptCount val="1"/>
                <c:pt idx="0">
                  <c:v>600G, 800G</c:v>
                </c:pt>
              </c:strCache>
            </c:strRef>
          </c:tx>
          <c:invertIfNegative val="0"/>
          <c:cat>
            <c:numRef>
              <c:f>Summary!$O$139:$Y$139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Summary!$O$145:$Y$145</c:f>
              <c:numCache>
                <c:formatCode>_("$"* #,##0_);_("$"* \(#,##0\);_("$"* "-"??_);_(@_)</c:formatCode>
                <c:ptCount val="11"/>
                <c:pt idx="0">
                  <c:v>0</c:v>
                </c:pt>
                <c:pt idx="1">
                  <c:v>0.82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75C-DD4E-B69E-B003C38AFA57}"/>
            </c:ext>
          </c:extLst>
        </c:ser>
        <c:ser>
          <c:idx val="4"/>
          <c:order val="4"/>
          <c:tx>
            <c:strRef>
              <c:f>Summary!$N$146</c:f>
              <c:strCache>
                <c:ptCount val="1"/>
                <c:pt idx="0">
                  <c:v>1.2T, 1.6T</c:v>
                </c:pt>
              </c:strCache>
            </c:strRef>
          </c:tx>
          <c:spPr>
            <a:solidFill>
              <a:srgbClr val="FFC000"/>
            </a:solidFill>
          </c:spPr>
          <c:invertIfNegative val="0"/>
          <c:cat>
            <c:numRef>
              <c:f>Summary!$O$139:$Y$139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Summary!$O$146:$Y$146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E3F-4FA5-A83D-11429610CE39}"/>
            </c:ext>
          </c:extLst>
        </c:ser>
        <c:dLbls>
          <c:showLegendKey val="0"/>
          <c:showVal val="0"/>
          <c:showCatName val="0"/>
          <c:showSerName val="0"/>
          <c:showPercent val="0"/>
          <c:showBubbleSize val="0"/>
        </c:dLbls>
        <c:gapWidth val="150"/>
        <c:overlap val="100"/>
        <c:axId val="150387328"/>
        <c:axId val="150397312"/>
      </c:barChart>
      <c:catAx>
        <c:axId val="150387328"/>
        <c:scaling>
          <c:orientation val="minMax"/>
        </c:scaling>
        <c:delete val="0"/>
        <c:axPos val="b"/>
        <c:numFmt formatCode="General" sourceLinked="1"/>
        <c:majorTickMark val="out"/>
        <c:minorTickMark val="none"/>
        <c:tickLblPos val="nextTo"/>
        <c:txPr>
          <a:bodyPr/>
          <a:lstStyle/>
          <a:p>
            <a:pPr>
              <a:defRPr sz="1200" b="0"/>
            </a:pPr>
            <a:endParaRPr lang="en-US"/>
          </a:p>
        </c:txPr>
        <c:crossAx val="150397312"/>
        <c:crosses val="autoZero"/>
        <c:auto val="1"/>
        <c:lblAlgn val="ctr"/>
        <c:lblOffset val="100"/>
        <c:noMultiLvlLbl val="1"/>
      </c:catAx>
      <c:valAx>
        <c:axId val="150397312"/>
        <c:scaling>
          <c:orientation val="minMax"/>
          <c:min val="0"/>
        </c:scaling>
        <c:delete val="0"/>
        <c:axPos val="l"/>
        <c:majorGridlines/>
        <c:title>
          <c:tx>
            <c:rich>
              <a:bodyPr rot="-5400000" vert="horz"/>
              <a:lstStyle/>
              <a:p>
                <a:pPr>
                  <a:defRPr sz="1400"/>
                </a:pPr>
                <a:r>
                  <a:rPr lang="en-US" sz="1400"/>
                  <a:t>Annual sales ($mn) </a:t>
                </a:r>
                <a:endParaRPr lang="en-US" sz="1400" baseline="0"/>
              </a:p>
            </c:rich>
          </c:tx>
          <c:layout>
            <c:manualLayout>
              <c:xMode val="edge"/>
              <c:yMode val="edge"/>
              <c:x val="2.0186103055072478E-2"/>
              <c:y val="0.21974596533609922"/>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150387328"/>
        <c:crosses val="autoZero"/>
        <c:crossBetween val="between"/>
        <c:majorUnit val="1000"/>
      </c:valAx>
    </c:plotArea>
    <c:legend>
      <c:legendPos val="t"/>
      <c:layout>
        <c:manualLayout>
          <c:xMode val="edge"/>
          <c:yMode val="edge"/>
          <c:x val="0.14706710601689757"/>
          <c:y val="2.2410601359305723E-2"/>
          <c:w val="0.85293285008969888"/>
          <c:h val="9.4954141160082661E-2"/>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996456199356765"/>
          <c:y val="5.6965480398501377E-2"/>
          <c:w val="0.83847070736500928"/>
          <c:h val="0.85862048154105408"/>
        </c:manualLayout>
      </c:layout>
      <c:barChart>
        <c:barDir val="col"/>
        <c:grouping val="clustered"/>
        <c:varyColors val="0"/>
        <c:ser>
          <c:idx val="0"/>
          <c:order val="0"/>
          <c:tx>
            <c:strRef>
              <c:f>Summary!$B$199</c:f>
              <c:strCache>
                <c:ptCount val="1"/>
                <c:pt idx="0">
                  <c:v>Coherent On-Board</c:v>
                </c:pt>
              </c:strCache>
            </c:strRef>
          </c:tx>
          <c:invertIfNegative val="0"/>
          <c:cat>
            <c:numRef>
              <c:f>Summary!$C$195:$M$195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Summary!$C$199:$M$199</c:f>
              <c:numCache>
                <c:formatCode>_("$"* #,##0_);_("$"* \(#,##0\);_("$"* "-"??_);_(@_)</c:formatCode>
                <c:ptCount val="11"/>
                <c:pt idx="0">
                  <c:v>2812.2807272727273</c:v>
                </c:pt>
                <c:pt idx="1">
                  <c:v>2416.275767272728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20D-7D4B-8301-E772F2C1009D}"/>
            </c:ext>
          </c:extLst>
        </c:ser>
        <c:ser>
          <c:idx val="1"/>
          <c:order val="1"/>
          <c:tx>
            <c:strRef>
              <c:f>Summary!$B$200</c:f>
              <c:strCache>
                <c:ptCount val="1"/>
                <c:pt idx="0">
                  <c:v>Coherent Pluggables</c:v>
                </c:pt>
              </c:strCache>
            </c:strRef>
          </c:tx>
          <c:invertIfNegative val="0"/>
          <c:cat>
            <c:numRef>
              <c:f>Summary!$C$195:$M$195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Summary!$C$200:$M$200</c:f>
              <c:numCache>
                <c:formatCode>_("$"* #,##0_);_("$"* \(#,##0\);_("$"* "-"??_);_(@_)</c:formatCode>
                <c:ptCount val="11"/>
                <c:pt idx="0">
                  <c:v>600.26881000000003</c:v>
                </c:pt>
                <c:pt idx="1">
                  <c:v>943.43366000000015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20D-7D4B-8301-E772F2C1009D}"/>
            </c:ext>
          </c:extLst>
        </c:ser>
        <c:dLbls>
          <c:showLegendKey val="0"/>
          <c:showVal val="0"/>
          <c:showCatName val="0"/>
          <c:showSerName val="0"/>
          <c:showPercent val="0"/>
          <c:showBubbleSize val="0"/>
        </c:dLbls>
        <c:gapWidth val="150"/>
        <c:axId val="156085632"/>
        <c:axId val="156087424"/>
      </c:barChart>
      <c:catAx>
        <c:axId val="156085632"/>
        <c:scaling>
          <c:orientation val="minMax"/>
        </c:scaling>
        <c:delete val="0"/>
        <c:axPos val="b"/>
        <c:numFmt formatCode="General" sourceLinked="1"/>
        <c:majorTickMark val="out"/>
        <c:minorTickMark val="none"/>
        <c:tickLblPos val="nextTo"/>
        <c:txPr>
          <a:bodyPr/>
          <a:lstStyle/>
          <a:p>
            <a:pPr>
              <a:defRPr sz="1200" b="0"/>
            </a:pPr>
            <a:endParaRPr lang="en-US"/>
          </a:p>
        </c:txPr>
        <c:crossAx val="156087424"/>
        <c:crosses val="autoZero"/>
        <c:auto val="1"/>
        <c:lblAlgn val="ctr"/>
        <c:lblOffset val="100"/>
        <c:noMultiLvlLbl val="0"/>
      </c:catAx>
      <c:valAx>
        <c:axId val="156087424"/>
        <c:scaling>
          <c:orientation val="minMax"/>
          <c:min val="0"/>
        </c:scaling>
        <c:delete val="0"/>
        <c:axPos val="l"/>
        <c:majorGridlines/>
        <c:title>
          <c:tx>
            <c:rich>
              <a:bodyPr rot="-5400000" vert="horz"/>
              <a:lstStyle/>
              <a:p>
                <a:pPr>
                  <a:defRPr sz="1400" b="0"/>
                </a:pPr>
                <a:r>
                  <a:rPr lang="en-US" sz="1400" b="0"/>
                  <a:t>Sales</a:t>
                </a:r>
                <a:r>
                  <a:rPr lang="en-US" sz="1400" b="0" baseline="0"/>
                  <a:t> ($M)</a:t>
                </a:r>
                <a:endParaRPr lang="en-US" sz="1400" b="0"/>
              </a:p>
            </c:rich>
          </c:tx>
          <c:layout>
            <c:manualLayout>
              <c:xMode val="edge"/>
              <c:yMode val="edge"/>
              <c:x val="8.0582289381695808E-3"/>
              <c:y val="0.3832822863444048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56085632"/>
        <c:crosses val="autoZero"/>
        <c:crossBetween val="between"/>
      </c:valAx>
    </c:plotArea>
    <c:legend>
      <c:legendPos val="r"/>
      <c:layout>
        <c:manualLayout>
          <c:xMode val="edge"/>
          <c:yMode val="edge"/>
          <c:x val="0.22918745031496957"/>
          <c:y val="9.6546397666787076E-2"/>
          <c:w val="0.3861002679684557"/>
          <c:h val="0.15838579936215291"/>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41979133202102"/>
          <c:y val="0.15013325695807309"/>
          <c:w val="0.8296564248809486"/>
          <c:h val="0.75515032146742078"/>
        </c:manualLayout>
      </c:layout>
      <c:barChart>
        <c:barDir val="col"/>
        <c:grouping val="stacked"/>
        <c:varyColors val="0"/>
        <c:ser>
          <c:idx val="0"/>
          <c:order val="0"/>
          <c:tx>
            <c:strRef>
              <c:f>Summary!$B$261</c:f>
              <c:strCache>
                <c:ptCount val="1"/>
                <c:pt idx="0">
                  <c:v>Fixed Grid  all</c:v>
                </c:pt>
              </c:strCache>
            </c:strRef>
          </c:tx>
          <c:spPr>
            <a:solidFill>
              <a:schemeClr val="accent1"/>
            </a:solidFill>
            <a:ln>
              <a:noFill/>
            </a:ln>
            <a:effectLst/>
          </c:spPr>
          <c:invertIfNegative val="0"/>
          <c:cat>
            <c:numRef>
              <c:f>Summary!$O$260:$Y$260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Summary!$O$261:$Y$261</c:f>
              <c:numCache>
                <c:formatCode>_("$"* #,##0_);_("$"* \(#,##0\);_("$"* "-"??_);_(@_)</c:formatCode>
                <c:ptCount val="11"/>
                <c:pt idx="0">
                  <c:v>39.037064905910405</c:v>
                </c:pt>
                <c:pt idx="1">
                  <c:v>38.567489999999999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FE-824D-8EBC-60B16970F0CA}"/>
            </c:ext>
          </c:extLst>
        </c:ser>
        <c:ser>
          <c:idx val="1"/>
          <c:order val="1"/>
          <c:tx>
            <c:strRef>
              <c:f>Summary!$B$262</c:f>
              <c:strCache>
                <c:ptCount val="1"/>
                <c:pt idx="0">
                  <c:v>Flex Grid single 1x9</c:v>
                </c:pt>
              </c:strCache>
            </c:strRef>
          </c:tx>
          <c:invertIfNegative val="0"/>
          <c:cat>
            <c:numRef>
              <c:f>Summary!$O$260:$Y$260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Summary!$O$262:$Y$262</c:f>
              <c:numCache>
                <c:formatCode>_("$"* #,##0_);_("$"* \(#,##0\);_("$"* "-"??_);_(@_)</c:formatCode>
                <c:ptCount val="11"/>
                <c:pt idx="0">
                  <c:v>141.71897079537212</c:v>
                </c:pt>
                <c:pt idx="1">
                  <c:v>199.20160383541099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3CE-41A9-B323-CD04AF24C203}"/>
            </c:ext>
          </c:extLst>
        </c:ser>
        <c:ser>
          <c:idx val="2"/>
          <c:order val="2"/>
          <c:tx>
            <c:strRef>
              <c:f>Summary!$B$263</c:f>
              <c:strCache>
                <c:ptCount val="1"/>
                <c:pt idx="0">
                  <c:v>Flex Grid  twin 1x9</c:v>
                </c:pt>
              </c:strCache>
            </c:strRef>
          </c:tx>
          <c:invertIfNegative val="0"/>
          <c:cat>
            <c:numRef>
              <c:f>Summary!$O$260:$Y$260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Summary!$O$263:$Y$263</c:f>
              <c:numCache>
                <c:formatCode>_("$"* #,##0_);_("$"* \(#,##0\);_("$"* "-"??_);_(@_)</c:formatCode>
                <c:ptCount val="11"/>
                <c:pt idx="0">
                  <c:v>27.670064759071593</c:v>
                </c:pt>
                <c:pt idx="1">
                  <c:v>36.476862887186336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3CE-41A9-B323-CD04AF24C203}"/>
            </c:ext>
          </c:extLst>
        </c:ser>
        <c:ser>
          <c:idx val="3"/>
          <c:order val="3"/>
          <c:tx>
            <c:strRef>
              <c:f>Summary!$B$264</c:f>
              <c:strCache>
                <c:ptCount val="1"/>
                <c:pt idx="0">
                  <c:v>Flex Grid twin 1x20 </c:v>
                </c:pt>
              </c:strCache>
            </c:strRef>
          </c:tx>
          <c:invertIfNegative val="0"/>
          <c:cat>
            <c:numRef>
              <c:f>Summary!$O$260:$Y$260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Summary!$O$264:$Y$264</c:f>
              <c:numCache>
                <c:formatCode>_("$"* #,##0_);_("$"* \(#,##0\);_("$"* "-"??_);_(@_)</c:formatCode>
                <c:ptCount val="11"/>
                <c:pt idx="0">
                  <c:v>156.89220112128351</c:v>
                </c:pt>
                <c:pt idx="1">
                  <c:v>244.43641545722053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83CE-41A9-B323-CD04AF24C203}"/>
            </c:ext>
          </c:extLst>
        </c:ser>
        <c:ser>
          <c:idx val="4"/>
          <c:order val="4"/>
          <c:tx>
            <c:strRef>
              <c:f>Summary!$B$265</c:f>
              <c:strCache>
                <c:ptCount val="1"/>
                <c:pt idx="0">
                  <c:v>Flex Grid L-band</c:v>
                </c:pt>
              </c:strCache>
            </c:strRef>
          </c:tx>
          <c:invertIfNegative val="0"/>
          <c:cat>
            <c:numRef>
              <c:f>Summary!$O$260:$Y$260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Summary!$O$265:$Y$265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83CE-41A9-B323-CD04AF24C203}"/>
            </c:ext>
          </c:extLst>
        </c:ser>
        <c:ser>
          <c:idx val="5"/>
          <c:order val="5"/>
          <c:tx>
            <c:strRef>
              <c:f>Summary!$B$266</c:f>
              <c:strCache>
                <c:ptCount val="1"/>
                <c:pt idx="0">
                  <c:v>Next Generation All</c:v>
                </c:pt>
              </c:strCache>
            </c:strRef>
          </c:tx>
          <c:invertIfNegative val="0"/>
          <c:cat>
            <c:numRef>
              <c:f>Summary!$O$260:$Y$260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Summary!$O$266:$Y$266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83CE-41A9-B323-CD04AF24C203}"/>
            </c:ext>
          </c:extLst>
        </c:ser>
        <c:dLbls>
          <c:showLegendKey val="0"/>
          <c:showVal val="0"/>
          <c:showCatName val="0"/>
          <c:showSerName val="0"/>
          <c:showPercent val="0"/>
          <c:showBubbleSize val="0"/>
        </c:dLbls>
        <c:gapWidth val="150"/>
        <c:overlap val="100"/>
        <c:axId val="156190592"/>
        <c:axId val="156192128"/>
      </c:barChart>
      <c:catAx>
        <c:axId val="15619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56192128"/>
        <c:crosses val="autoZero"/>
        <c:auto val="1"/>
        <c:lblAlgn val="ctr"/>
        <c:lblOffset val="100"/>
        <c:noMultiLvlLbl val="0"/>
      </c:catAx>
      <c:valAx>
        <c:axId val="15619212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400" b="1" i="0" baseline="0">
                    <a:effectLst/>
                  </a:rPr>
                  <a:t>Annual sales ($ millions)</a:t>
                </a:r>
                <a:endParaRPr lang="en-US" sz="1100">
                  <a:effectLst/>
                </a:endParaRPr>
              </a:p>
            </c:rich>
          </c:tx>
          <c:layout>
            <c:manualLayout>
              <c:xMode val="edge"/>
              <c:yMode val="edge"/>
              <c:x val="2.0840429102299343E-2"/>
              <c:y val="0.23294727144209562"/>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56190592"/>
        <c:crosses val="autoZero"/>
        <c:crossBetween val="between"/>
      </c:valAx>
      <c:spPr>
        <a:noFill/>
        <a:ln>
          <a:solidFill>
            <a:schemeClr val="tx1"/>
          </a:solidFill>
        </a:ln>
        <a:effectLst/>
      </c:spPr>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6924325754519"/>
          <c:y val="0.14353585792497997"/>
          <c:w val="0.78122888768440768"/>
          <c:h val="0.75777662046661032"/>
        </c:manualLayout>
      </c:layout>
      <c:barChart>
        <c:barDir val="col"/>
        <c:grouping val="clustered"/>
        <c:varyColors val="0"/>
        <c:ser>
          <c:idx val="3"/>
          <c:order val="0"/>
          <c:tx>
            <c:strRef>
              <c:f>Summary!$B$142</c:f>
              <c:strCache>
                <c:ptCount val="1"/>
                <c:pt idx="0">
                  <c:v>100G</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Summary!$C$142:$M$142</c:f>
              <c:numCache>
                <c:formatCode>_(* #,##0_);_(* \(#,##0\);_(* "-"??_);_(@_)</c:formatCode>
                <c:ptCount val="11"/>
                <c:pt idx="0">
                  <c:v>357000</c:v>
                </c:pt>
                <c:pt idx="1">
                  <c:v>345000.00000000006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11A9-FE41-A323-E3D74DA825D6}"/>
            </c:ext>
          </c:extLst>
        </c:ser>
        <c:ser>
          <c:idx val="0"/>
          <c:order val="1"/>
          <c:tx>
            <c:strRef>
              <c:f>Summary!$B$143</c:f>
              <c:strCache>
                <c:ptCount val="1"/>
                <c:pt idx="0">
                  <c:v>200G </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Summary!$C$143:$M$143</c:f>
              <c:numCache>
                <c:formatCode>_(* #,##0_);_(* \(#,##0\);_(* "-"??_);_(@_)</c:formatCode>
                <c:ptCount val="11"/>
                <c:pt idx="0">
                  <c:v>122000</c:v>
                </c:pt>
                <c:pt idx="1">
                  <c:v>217000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DDD-9640-AA6A-6FE103212987}"/>
            </c:ext>
          </c:extLst>
        </c:ser>
        <c:ser>
          <c:idx val="1"/>
          <c:order val="2"/>
          <c:tx>
            <c:strRef>
              <c:f>Summary!$B$144</c:f>
              <c:strCache>
                <c:ptCount val="1"/>
                <c:pt idx="0">
                  <c:v>400G ZR, ZR+</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Summary!$C$144:$M$144</c:f>
              <c:numCache>
                <c:formatCode>_(* #,##0_);_(* \(#,##0\);_(* "-"??_);_(@_)</c:formatCode>
                <c:ptCount val="11"/>
                <c:pt idx="0">
                  <c:v>17500</c:v>
                </c:pt>
                <c:pt idx="1">
                  <c:v>39000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DDD-9640-AA6A-6FE103212987}"/>
            </c:ext>
          </c:extLst>
        </c:ser>
        <c:ser>
          <c:idx val="2"/>
          <c:order val="3"/>
          <c:tx>
            <c:strRef>
              <c:f>Summary!$B$145</c:f>
              <c:strCache>
                <c:ptCount val="1"/>
                <c:pt idx="0">
                  <c:v>600G, 800G</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0">
                  <c:v>0</c:v>
                </c:pt>
                <c:pt idx="1">
                  <c:v>82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75C-DD4E-B69E-B003C38AFA57}"/>
            </c:ext>
          </c:extLst>
        </c:ser>
        <c:ser>
          <c:idx val="4"/>
          <c:order val="4"/>
          <c:tx>
            <c:strRef>
              <c:f>Summary!$B$146</c:f>
              <c:strCache>
                <c:ptCount val="1"/>
                <c:pt idx="0">
                  <c:v>1.2T, 1.6T</c:v>
                </c:pt>
              </c:strCache>
            </c:strRef>
          </c:tx>
          <c:spPr>
            <a:solidFill>
              <a:srgbClr val="FFC000"/>
            </a:solidFill>
          </c:spPr>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9E5-4CB1-84C5-C1D6896D75E2}"/>
            </c:ext>
          </c:extLst>
        </c:ser>
        <c:dLbls>
          <c:showLegendKey val="0"/>
          <c:showVal val="0"/>
          <c:showCatName val="0"/>
          <c:showSerName val="0"/>
          <c:showPercent val="0"/>
          <c:showBubbleSize val="0"/>
        </c:dLbls>
        <c:gapWidth val="150"/>
        <c:axId val="163172352"/>
        <c:axId val="163405824"/>
      </c:barChart>
      <c:catAx>
        <c:axId val="163172352"/>
        <c:scaling>
          <c:orientation val="minMax"/>
        </c:scaling>
        <c:delete val="0"/>
        <c:axPos val="b"/>
        <c:numFmt formatCode="General" sourceLinked="1"/>
        <c:majorTickMark val="out"/>
        <c:minorTickMark val="none"/>
        <c:tickLblPos val="nextTo"/>
        <c:txPr>
          <a:bodyPr/>
          <a:lstStyle/>
          <a:p>
            <a:pPr>
              <a:defRPr sz="1200" b="0"/>
            </a:pPr>
            <a:endParaRPr lang="en-US"/>
          </a:p>
        </c:txPr>
        <c:crossAx val="163405824"/>
        <c:crosses val="autoZero"/>
        <c:auto val="1"/>
        <c:lblAlgn val="ctr"/>
        <c:lblOffset val="100"/>
        <c:noMultiLvlLbl val="1"/>
      </c:catAx>
      <c:valAx>
        <c:axId val="163405824"/>
        <c:scaling>
          <c:orientation val="minMax"/>
          <c:min val="0"/>
        </c:scaling>
        <c:delete val="0"/>
        <c:axPos val="l"/>
        <c:majorGridlines/>
        <c:title>
          <c:tx>
            <c:rich>
              <a:bodyPr rot="-5400000" vert="horz"/>
              <a:lstStyle/>
              <a:p>
                <a:pPr>
                  <a:defRPr sz="1400"/>
                </a:pPr>
                <a:r>
                  <a:rPr lang="en-US" sz="1400"/>
                  <a:t>Annual shipments </a:t>
                </a:r>
                <a:endParaRPr lang="en-US" sz="1400" baseline="0"/>
              </a:p>
            </c:rich>
          </c:tx>
          <c:layout>
            <c:manualLayout>
              <c:xMode val="edge"/>
              <c:yMode val="edge"/>
              <c:x val="1.8352462322142797E-3"/>
              <c:y val="0.24568335091182017"/>
            </c:manualLayout>
          </c:layout>
          <c:overlay val="0"/>
        </c:title>
        <c:numFmt formatCode="_(* #,##0_);_(* \(#,##0\);_(* &quot;-&quot;??_);_(@_)" sourceLinked="1"/>
        <c:majorTickMark val="out"/>
        <c:minorTickMark val="none"/>
        <c:tickLblPos val="nextTo"/>
        <c:txPr>
          <a:bodyPr/>
          <a:lstStyle/>
          <a:p>
            <a:pPr>
              <a:defRPr sz="1200" b="0"/>
            </a:pPr>
            <a:endParaRPr lang="en-US"/>
          </a:p>
        </c:txPr>
        <c:crossAx val="163172352"/>
        <c:crosses val="autoZero"/>
        <c:crossBetween val="between"/>
      </c:valAx>
    </c:plotArea>
    <c:legend>
      <c:legendPos val="t"/>
      <c:layout>
        <c:manualLayout>
          <c:xMode val="edge"/>
          <c:yMode val="edge"/>
          <c:x val="0.11648234464546722"/>
          <c:y val="2.241060135930573E-2"/>
          <c:w val="0.88351770713147049"/>
          <c:h val="9.2526361196471382E-2"/>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WSS!$C$28</c:f>
              <c:strCache>
                <c:ptCount val="1"/>
                <c:pt idx="0">
                  <c:v>legacy</c:v>
                </c:pt>
              </c:strCache>
            </c:strRef>
          </c:tx>
          <c:invertIfNegative val="0"/>
          <c:cat>
            <c:numRef>
              <c:f>WSS!$D$27:$N$27</c:f>
              <c:numCache>
                <c:formatCode>General</c:formatCode>
                <c:ptCount val="11"/>
                <c:pt idx="0">
                  <c:v>2018</c:v>
                </c:pt>
                <c:pt idx="1">
                  <c:v>2019</c:v>
                </c:pt>
              </c:numCache>
            </c:numRef>
          </c:cat>
          <c:val>
            <c:numRef>
              <c:f>WSS!$D$28:$N$28</c:f>
              <c:numCache>
                <c:formatCode>_("$"* #,##0_);_("$"* \(#,##0\);_("$"* "-"??_);_(@_)</c:formatCode>
                <c:ptCount val="11"/>
                <c:pt idx="0">
                  <c:v>39.037064905910405</c:v>
                </c:pt>
                <c:pt idx="1">
                  <c:v>38.567489999999999</c:v>
                </c:pt>
              </c:numCache>
            </c:numRef>
          </c:val>
          <c:extLst>
            <c:ext xmlns:c16="http://schemas.microsoft.com/office/drawing/2014/chart" uri="{C3380CC4-5D6E-409C-BE32-E72D297353CC}">
              <c16:uniqueId val="{00000000-D047-4E2D-A5D1-A0AA8F114879}"/>
            </c:ext>
          </c:extLst>
        </c:ser>
        <c:ser>
          <c:idx val="1"/>
          <c:order val="1"/>
          <c:tx>
            <c:strRef>
              <c:f>WSS!$C$29</c:f>
              <c:strCache>
                <c:ptCount val="1"/>
                <c:pt idx="0">
                  <c:v>single 1x9</c:v>
                </c:pt>
              </c:strCache>
            </c:strRef>
          </c:tx>
          <c:invertIfNegative val="0"/>
          <c:cat>
            <c:numRef>
              <c:f>WSS!$D$27:$N$27</c:f>
              <c:numCache>
                <c:formatCode>General</c:formatCode>
                <c:ptCount val="11"/>
                <c:pt idx="0">
                  <c:v>2018</c:v>
                </c:pt>
                <c:pt idx="1">
                  <c:v>2019</c:v>
                </c:pt>
              </c:numCache>
            </c:numRef>
          </c:cat>
          <c:val>
            <c:numRef>
              <c:f>WSS!$D$29:$N$29</c:f>
              <c:numCache>
                <c:formatCode>_("$"* #,##0_);_("$"* \(#,##0\);_("$"* "-"??_);_(@_)</c:formatCode>
                <c:ptCount val="11"/>
                <c:pt idx="0">
                  <c:v>141.71897079537212</c:v>
                </c:pt>
                <c:pt idx="1">
                  <c:v>199.20160383541099</c:v>
                </c:pt>
              </c:numCache>
            </c:numRef>
          </c:val>
          <c:extLst>
            <c:ext xmlns:c16="http://schemas.microsoft.com/office/drawing/2014/chart" uri="{C3380CC4-5D6E-409C-BE32-E72D297353CC}">
              <c16:uniqueId val="{00000001-D047-4E2D-A5D1-A0AA8F114879}"/>
            </c:ext>
          </c:extLst>
        </c:ser>
        <c:ser>
          <c:idx val="2"/>
          <c:order val="2"/>
          <c:tx>
            <c:strRef>
              <c:f>WSS!$C$30</c:f>
              <c:strCache>
                <c:ptCount val="1"/>
                <c:pt idx="0">
                  <c:v>twin 1x9</c:v>
                </c:pt>
              </c:strCache>
            </c:strRef>
          </c:tx>
          <c:invertIfNegative val="0"/>
          <c:cat>
            <c:numRef>
              <c:f>WSS!$D$27:$N$27</c:f>
              <c:numCache>
                <c:formatCode>General</c:formatCode>
                <c:ptCount val="11"/>
                <c:pt idx="0">
                  <c:v>2018</c:v>
                </c:pt>
                <c:pt idx="1">
                  <c:v>2019</c:v>
                </c:pt>
              </c:numCache>
            </c:numRef>
          </c:cat>
          <c:val>
            <c:numRef>
              <c:f>WSS!$D$30:$N$30</c:f>
              <c:numCache>
                <c:formatCode>_("$"* #,##0_);_("$"* \(#,##0\);_("$"* "-"??_);_(@_)</c:formatCode>
                <c:ptCount val="11"/>
                <c:pt idx="0">
                  <c:v>27.670064759071593</c:v>
                </c:pt>
                <c:pt idx="1">
                  <c:v>36.476862887186336</c:v>
                </c:pt>
              </c:numCache>
            </c:numRef>
          </c:val>
          <c:extLst>
            <c:ext xmlns:c16="http://schemas.microsoft.com/office/drawing/2014/chart" uri="{C3380CC4-5D6E-409C-BE32-E72D297353CC}">
              <c16:uniqueId val="{00000002-D047-4E2D-A5D1-A0AA8F114879}"/>
            </c:ext>
          </c:extLst>
        </c:ser>
        <c:ser>
          <c:idx val="3"/>
          <c:order val="3"/>
          <c:tx>
            <c:strRef>
              <c:f>WSS!$C$31</c:f>
              <c:strCache>
                <c:ptCount val="1"/>
                <c:pt idx="0">
                  <c:v>twin 1x20 </c:v>
                </c:pt>
              </c:strCache>
            </c:strRef>
          </c:tx>
          <c:invertIfNegative val="0"/>
          <c:cat>
            <c:numRef>
              <c:f>WSS!$D$27:$N$27</c:f>
              <c:numCache>
                <c:formatCode>General</c:formatCode>
                <c:ptCount val="11"/>
                <c:pt idx="0">
                  <c:v>2018</c:v>
                </c:pt>
                <c:pt idx="1">
                  <c:v>2019</c:v>
                </c:pt>
              </c:numCache>
            </c:numRef>
          </c:cat>
          <c:val>
            <c:numRef>
              <c:f>WSS!$D$31:$N$31</c:f>
              <c:numCache>
                <c:formatCode>_("$"* #,##0_);_("$"* \(#,##0\);_("$"* "-"??_);_(@_)</c:formatCode>
                <c:ptCount val="11"/>
                <c:pt idx="0">
                  <c:v>156.89220112128351</c:v>
                </c:pt>
                <c:pt idx="1">
                  <c:v>244.43641545722053</c:v>
                </c:pt>
              </c:numCache>
            </c:numRef>
          </c:val>
          <c:extLst>
            <c:ext xmlns:c16="http://schemas.microsoft.com/office/drawing/2014/chart" uri="{C3380CC4-5D6E-409C-BE32-E72D297353CC}">
              <c16:uniqueId val="{00000003-D047-4E2D-A5D1-A0AA8F114879}"/>
            </c:ext>
          </c:extLst>
        </c:ser>
        <c:ser>
          <c:idx val="4"/>
          <c:order val="4"/>
          <c:tx>
            <c:strRef>
              <c:f>WSS!$C$32</c:f>
              <c:strCache>
                <c:ptCount val="1"/>
                <c:pt idx="0">
                  <c:v>L-band</c:v>
                </c:pt>
              </c:strCache>
            </c:strRef>
          </c:tx>
          <c:invertIfNegative val="0"/>
          <c:cat>
            <c:numRef>
              <c:f>WSS!$D$27:$N$27</c:f>
              <c:numCache>
                <c:formatCode>General</c:formatCode>
                <c:ptCount val="11"/>
                <c:pt idx="0">
                  <c:v>2018</c:v>
                </c:pt>
                <c:pt idx="1">
                  <c:v>2019</c:v>
                </c:pt>
              </c:numCache>
            </c:numRef>
          </c:cat>
          <c:val>
            <c:numRef>
              <c:f>WSS!$D$32:$N$32</c:f>
              <c:numCache>
                <c:formatCode>_("$"* #,##0_);_("$"* \(#,##0\);_("$"* "-"??_);_(@_)</c:formatCode>
                <c:ptCount val="11"/>
                <c:pt idx="0">
                  <c:v>0</c:v>
                </c:pt>
                <c:pt idx="1">
                  <c:v>0</c:v>
                </c:pt>
              </c:numCache>
            </c:numRef>
          </c:val>
          <c:extLst>
            <c:ext xmlns:c16="http://schemas.microsoft.com/office/drawing/2014/chart" uri="{C3380CC4-5D6E-409C-BE32-E72D297353CC}">
              <c16:uniqueId val="{00000004-D047-4E2D-A5D1-A0AA8F114879}"/>
            </c:ext>
          </c:extLst>
        </c:ser>
        <c:ser>
          <c:idx val="5"/>
          <c:order val="5"/>
          <c:tx>
            <c:strRef>
              <c:f>WSS!$C$33</c:f>
              <c:strCache>
                <c:ptCount val="1"/>
                <c:pt idx="0">
                  <c:v>Next Generation</c:v>
                </c:pt>
              </c:strCache>
            </c:strRef>
          </c:tx>
          <c:invertIfNegative val="0"/>
          <c:cat>
            <c:numRef>
              <c:f>WSS!$D$27:$N$27</c:f>
              <c:numCache>
                <c:formatCode>General</c:formatCode>
                <c:ptCount val="11"/>
                <c:pt idx="0">
                  <c:v>2018</c:v>
                </c:pt>
                <c:pt idx="1">
                  <c:v>2019</c:v>
                </c:pt>
              </c:numCache>
            </c:numRef>
          </c:cat>
          <c:val>
            <c:numRef>
              <c:f>WSS!$D$33:$N$33</c:f>
              <c:numCache>
                <c:formatCode>_("$"* #,##0_);_("$"* \(#,##0\);_("$"* "-"??_);_(@_)</c:formatCode>
                <c:ptCount val="11"/>
                <c:pt idx="0">
                  <c:v>0</c:v>
                </c:pt>
                <c:pt idx="1">
                  <c:v>0</c:v>
                </c:pt>
              </c:numCache>
            </c:numRef>
          </c:val>
          <c:extLst>
            <c:ext xmlns:c16="http://schemas.microsoft.com/office/drawing/2014/chart" uri="{C3380CC4-5D6E-409C-BE32-E72D297353CC}">
              <c16:uniqueId val="{00000005-D047-4E2D-A5D1-A0AA8F114879}"/>
            </c:ext>
          </c:extLst>
        </c:ser>
        <c:dLbls>
          <c:showLegendKey val="0"/>
          <c:showVal val="0"/>
          <c:showCatName val="0"/>
          <c:showSerName val="0"/>
          <c:showPercent val="0"/>
          <c:showBubbleSize val="0"/>
        </c:dLbls>
        <c:gapWidth val="150"/>
        <c:overlap val="100"/>
        <c:axId val="157316992"/>
        <c:axId val="157318528"/>
      </c:barChart>
      <c:catAx>
        <c:axId val="157316992"/>
        <c:scaling>
          <c:orientation val="minMax"/>
        </c:scaling>
        <c:delete val="0"/>
        <c:axPos val="b"/>
        <c:numFmt formatCode="General" sourceLinked="1"/>
        <c:majorTickMark val="out"/>
        <c:minorTickMark val="none"/>
        <c:tickLblPos val="nextTo"/>
        <c:crossAx val="157318528"/>
        <c:crosses val="autoZero"/>
        <c:auto val="1"/>
        <c:lblAlgn val="ctr"/>
        <c:lblOffset val="100"/>
        <c:noMultiLvlLbl val="0"/>
      </c:catAx>
      <c:valAx>
        <c:axId val="157318528"/>
        <c:scaling>
          <c:orientation val="minMax"/>
        </c:scaling>
        <c:delete val="0"/>
        <c:axPos val="l"/>
        <c:majorGridlines/>
        <c:numFmt formatCode="_(&quot;$&quot;* #,##0_);_(&quot;$&quot;* \(#,##0\);_(&quot;$&quot;* &quot;-&quot;??_);_(@_)" sourceLinked="1"/>
        <c:majorTickMark val="out"/>
        <c:minorTickMark val="none"/>
        <c:tickLblPos val="nextTo"/>
        <c:crossAx val="157316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Short Reach</a:t>
            </a:r>
          </a:p>
        </c:rich>
      </c:tx>
      <c:overlay val="0"/>
    </c:title>
    <c:autoTitleDeleted val="0"/>
    <c:plotArea>
      <c:layout>
        <c:manualLayout>
          <c:layoutTarget val="inner"/>
          <c:xMode val="edge"/>
          <c:yMode val="edge"/>
          <c:x val="7.4246285559133804E-2"/>
          <c:y val="0.13131368422072401"/>
          <c:w val="0.76447927503909796"/>
          <c:h val="0.75045594692850404"/>
        </c:manualLayout>
      </c:layout>
      <c:lineChart>
        <c:grouping val="standard"/>
        <c:varyColors val="0"/>
        <c:ser>
          <c:idx val="2"/>
          <c:order val="0"/>
          <c:tx>
            <c:strRef>
              <c:f>Cost_bit!$B$97</c:f>
              <c:strCache>
                <c:ptCount val="1"/>
                <c:pt idx="0">
                  <c:v>10G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Cost_bit!$C$97:$M$97</c:f>
              <c:numCache>
                <c:formatCode>_("$"* #,##0.00_);_("$"* \(#,##0.00\);_("$"* "-"??_);_(@_)</c:formatCode>
                <c:ptCount val="11"/>
                <c:pt idx="0">
                  <c:v>1.7617735113207986</c:v>
                </c:pt>
                <c:pt idx="1">
                  <c:v>1.1996543663718531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FCD-0449-8B2C-AD1FAC79F54A}"/>
            </c:ext>
          </c:extLst>
        </c:ser>
        <c:ser>
          <c:idx val="3"/>
          <c:order val="1"/>
          <c:tx>
            <c:strRef>
              <c:f>Cost_bit!$B$98</c:f>
              <c:strCache>
                <c:ptCount val="1"/>
                <c:pt idx="0">
                  <c:v>40G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Cost_bit!$C$98:$M$98</c:f>
              <c:numCache>
                <c:formatCode>_("$"* #,##0.00_);_("$"* \(#,##0.00\);_("$"* "-"??_);_(@_)</c:formatCode>
                <c:ptCount val="11"/>
                <c:pt idx="0">
                  <c:v>3.4804713590779701</c:v>
                </c:pt>
                <c:pt idx="1">
                  <c:v>3.4221545615290805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FCD-0449-8B2C-AD1FAC79F54A}"/>
            </c:ext>
          </c:extLst>
        </c:ser>
        <c:ser>
          <c:idx val="4"/>
          <c:order val="2"/>
          <c:tx>
            <c:strRef>
              <c:f>Cost_bit!$B$99</c:f>
              <c:strCache>
                <c:ptCount val="1"/>
                <c:pt idx="0">
                  <c:v>100G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Cost_bit!$C$99:$M$99</c:f>
              <c:numCache>
                <c:formatCode>_("$"* #,##0.00_);_("$"* \(#,##0.00\);_("$"* "-"??_);_(@_)</c:formatCode>
                <c:ptCount val="11"/>
                <c:pt idx="0">
                  <c:v>1.3423353126798325</c:v>
                </c:pt>
                <c:pt idx="1">
                  <c:v>1.1656028977246826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FCD-0449-8B2C-AD1FAC79F54A}"/>
            </c:ext>
          </c:extLst>
        </c:ser>
        <c:ser>
          <c:idx val="0"/>
          <c:order val="3"/>
          <c:tx>
            <c:strRef>
              <c:f>Cost_bit!$B$100</c:f>
              <c:strCache>
                <c:ptCount val="1"/>
                <c:pt idx="0">
                  <c:v>200G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Cost_bit!$C$100:$M$100</c:f>
              <c:numCache>
                <c:formatCode>_("$"* #,##0.00_);_("$"* \(#,##0.00\);_("$"* "-"??_);_(@_)</c:formatCode>
                <c:ptCount val="11"/>
                <c:pt idx="0">
                  <c:v>3.5</c:v>
                </c:pt>
                <c:pt idx="1">
                  <c:v>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E65-434C-B117-8EA25A9C9AC6}"/>
            </c:ext>
          </c:extLst>
        </c:ser>
        <c:ser>
          <c:idx val="5"/>
          <c:order val="4"/>
          <c:tx>
            <c:strRef>
              <c:f>Cost_bit!$B$101</c:f>
              <c:strCache>
                <c:ptCount val="1"/>
                <c:pt idx="0">
                  <c:v>400G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Cost_bit!$C$101:$M$101</c:f>
              <c:numCache>
                <c:formatCode>_("$"* #,##0.00_);_("$"* \(#,##0.00\);_("$"* "-"??_);_(@_)</c:formatCode>
                <c:ptCount val="11"/>
                <c:pt idx="0">
                  <c:v>1.7012</c:v>
                </c:pt>
                <c:pt idx="1">
                  <c:v>1.5421159019634199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2E65-434C-B117-8EA25A9C9AC6}"/>
            </c:ext>
          </c:extLst>
        </c:ser>
        <c:ser>
          <c:idx val="6"/>
          <c:order val="5"/>
          <c:tx>
            <c:strRef>
              <c:f>Cost_bit!$B$102</c:f>
              <c:strCache>
                <c:ptCount val="1"/>
                <c:pt idx="0">
                  <c:v>800G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Cost_bit!$C$102:$M$102</c:f>
              <c:numCache>
                <c:formatCode>_("$"* #,##0.00_);_("$"* \(#,##0.00\);_("$"*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2E65-434C-B117-8EA25A9C9AC6}"/>
            </c:ext>
          </c:extLst>
        </c:ser>
        <c:dLbls>
          <c:showLegendKey val="0"/>
          <c:showVal val="0"/>
          <c:showCatName val="0"/>
          <c:showSerName val="0"/>
          <c:showPercent val="0"/>
          <c:showBubbleSize val="0"/>
        </c:dLbls>
        <c:marker val="1"/>
        <c:smooth val="0"/>
        <c:axId val="157729152"/>
        <c:axId val="157730688"/>
      </c:lineChart>
      <c:catAx>
        <c:axId val="157729152"/>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157730688"/>
        <c:crossesAt val="0"/>
        <c:auto val="1"/>
        <c:lblAlgn val="ctr"/>
        <c:lblOffset val="100"/>
        <c:noMultiLvlLbl val="0"/>
      </c:catAx>
      <c:valAx>
        <c:axId val="157730688"/>
        <c:scaling>
          <c:orientation val="minMax"/>
          <c:min val="0"/>
        </c:scaling>
        <c:delete val="0"/>
        <c:axPos val="l"/>
        <c:majorGridlines/>
        <c:numFmt formatCode="&quot;$&quot;#,##0.0" sourceLinked="0"/>
        <c:majorTickMark val="out"/>
        <c:minorTickMark val="none"/>
        <c:tickLblPos val="nextTo"/>
        <c:txPr>
          <a:bodyPr/>
          <a:lstStyle/>
          <a:p>
            <a:pPr>
              <a:defRPr sz="1100"/>
            </a:pPr>
            <a:endParaRPr lang="en-US"/>
          </a:p>
        </c:txPr>
        <c:crossAx val="157729152"/>
        <c:crosses val="autoZero"/>
        <c:crossBetween val="between"/>
      </c:valAx>
    </c:plotArea>
    <c:legend>
      <c:legendPos val="r"/>
      <c:layout>
        <c:manualLayout>
          <c:xMode val="edge"/>
          <c:yMode val="edge"/>
          <c:x val="0.85337359816626801"/>
          <c:y val="0.28920226655366899"/>
          <c:w val="0.13978505193662499"/>
          <c:h val="0.564205199360040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Cost_bit!$B$167</c:f>
              <c:strCache>
                <c:ptCount val="1"/>
                <c:pt idx="0">
                  <c:v>Ethernet</c:v>
                </c:pt>
              </c:strCache>
            </c:strRef>
          </c:tx>
          <c:marker>
            <c:symbol val="none"/>
          </c:marker>
          <c:cat>
            <c:numRef>
              <c:f>Cost_bit!$C$166:$M$166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Cost_bit!$C$167:$M$167</c:f>
              <c:numCache>
                <c:formatCode>#,##0</c:formatCode>
                <c:ptCount val="11"/>
                <c:pt idx="0">
                  <c:v>524144566.102</c:v>
                </c:pt>
                <c:pt idx="1">
                  <c:v>555215233.11414719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472-004A-A618-FCC8B460F1E1}"/>
            </c:ext>
          </c:extLst>
        </c:ser>
        <c:ser>
          <c:idx val="2"/>
          <c:order val="1"/>
          <c:tx>
            <c:strRef>
              <c:f>Cost_bit!$B$168</c:f>
              <c:strCache>
                <c:ptCount val="1"/>
                <c:pt idx="0">
                  <c:v>Fibre Channel</c:v>
                </c:pt>
              </c:strCache>
            </c:strRef>
          </c:tx>
          <c:spPr>
            <a:ln>
              <a:solidFill>
                <a:schemeClr val="accent1"/>
              </a:solidFill>
            </a:ln>
          </c:spPr>
          <c:marker>
            <c:symbol val="none"/>
          </c:marker>
          <c:cat>
            <c:numRef>
              <c:f>Cost_bit!$C$166:$M$166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Cost_bit!$C$168:$M$168</c:f>
              <c:numCache>
                <c:formatCode>#,##0</c:formatCode>
                <c:ptCount val="11"/>
                <c:pt idx="0">
                  <c:v>128648912</c:v>
                </c:pt>
                <c:pt idx="1">
                  <c:v>154203792.25261691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472-004A-A618-FCC8B460F1E1}"/>
            </c:ext>
          </c:extLst>
        </c:ser>
        <c:dLbls>
          <c:showLegendKey val="0"/>
          <c:showVal val="0"/>
          <c:showCatName val="0"/>
          <c:showSerName val="0"/>
          <c:showPercent val="0"/>
          <c:showBubbleSize val="0"/>
        </c:dLbls>
        <c:smooth val="0"/>
        <c:axId val="157760896"/>
        <c:axId val="157766784"/>
      </c:lineChart>
      <c:catAx>
        <c:axId val="157760896"/>
        <c:scaling>
          <c:orientation val="minMax"/>
        </c:scaling>
        <c:delete val="0"/>
        <c:axPos val="b"/>
        <c:numFmt formatCode="General" sourceLinked="1"/>
        <c:majorTickMark val="out"/>
        <c:minorTickMark val="none"/>
        <c:tickLblPos val="nextTo"/>
        <c:crossAx val="157766784"/>
        <c:crosses val="autoZero"/>
        <c:auto val="1"/>
        <c:lblAlgn val="ctr"/>
        <c:lblOffset val="100"/>
        <c:noMultiLvlLbl val="0"/>
      </c:catAx>
      <c:valAx>
        <c:axId val="157766784"/>
        <c:scaling>
          <c:orientation val="minMax"/>
          <c:min val="0"/>
        </c:scaling>
        <c:delete val="0"/>
        <c:axPos val="l"/>
        <c:majorGridlines/>
        <c:title>
          <c:tx>
            <c:rich>
              <a:bodyPr rot="-5400000" vert="horz"/>
              <a:lstStyle/>
              <a:p>
                <a:pPr>
                  <a:defRPr sz="1100"/>
                </a:pPr>
                <a:r>
                  <a:rPr lang="en-US" sz="1100"/>
                  <a:t>Total Gigabits Shipped</a:t>
                </a:r>
              </a:p>
            </c:rich>
          </c:tx>
          <c:layout>
            <c:manualLayout>
              <c:xMode val="edge"/>
              <c:yMode val="edge"/>
              <c:x val="1.2371134020618556E-2"/>
              <c:y val="0.22971349855419521"/>
            </c:manualLayout>
          </c:layout>
          <c:overlay val="0"/>
        </c:title>
        <c:numFmt formatCode="#,##0" sourceLinked="1"/>
        <c:majorTickMark val="out"/>
        <c:minorTickMark val="none"/>
        <c:tickLblPos val="nextTo"/>
        <c:crossAx val="157760896"/>
        <c:crosses val="autoZero"/>
        <c:crossBetween val="between"/>
      </c:valAx>
    </c:plotArea>
    <c:legend>
      <c:legendPos val="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1305111954309"/>
          <c:y val="0.16132921909469139"/>
          <c:w val="0.81574380490260745"/>
          <c:h val="0.7071606049783512"/>
        </c:manualLayout>
      </c:layout>
      <c:lineChart>
        <c:grouping val="standard"/>
        <c:varyColors val="0"/>
        <c:ser>
          <c:idx val="1"/>
          <c:order val="0"/>
          <c:tx>
            <c:v>Ethernet modules</c:v>
          </c:tx>
          <c:marker>
            <c:symbol val="none"/>
          </c:marker>
          <c:cat>
            <c:numRef>
              <c:f>Ethernet!$E$104:$O$104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Ethernet!$E$150:$O$150</c:f>
              <c:numCache>
                <c:formatCode>_("$"* #,##0_);_("$"* \(#,##0\);_("$"* "-"??_);_(@_)</c:formatCode>
                <c:ptCount val="11"/>
                <c:pt idx="0">
                  <c:v>3383.8982428713425</c:v>
                </c:pt>
                <c:pt idx="1">
                  <c:v>2782.4703988713959</c:v>
                </c:pt>
              </c:numCache>
            </c:numRef>
          </c:val>
          <c:smooth val="0"/>
          <c:extLst>
            <c:ext xmlns:c16="http://schemas.microsoft.com/office/drawing/2014/chart" uri="{C3380CC4-5D6E-409C-BE32-E72D297353CC}">
              <c16:uniqueId val="{00000000-1160-A645-9E8B-19D66D4AAFC9}"/>
            </c:ext>
          </c:extLst>
        </c:ser>
        <c:ser>
          <c:idx val="0"/>
          <c:order val="1"/>
          <c:tx>
            <c:v>Fibre Channel Modules</c:v>
          </c:tx>
          <c:marker>
            <c:symbol val="none"/>
          </c:marker>
          <c:cat>
            <c:numRef>
              <c:f>Ethernet!$E$104:$O$104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'Fibre Channel'!$E$45:$O$45</c:f>
              <c:numCache>
                <c:formatCode>_("$"* #,##0_);_("$"* \(#,##0\);_("$"* "-"??_);_(@_)</c:formatCode>
                <c:ptCount val="11"/>
                <c:pt idx="0">
                  <c:v>218.42222666671245</c:v>
                </c:pt>
                <c:pt idx="1">
                  <c:v>271.0459505361265</c:v>
                </c:pt>
              </c:numCache>
            </c:numRef>
          </c:val>
          <c:smooth val="0"/>
          <c:extLst>
            <c:ext xmlns:c16="http://schemas.microsoft.com/office/drawing/2014/chart" uri="{C3380CC4-5D6E-409C-BE32-E72D297353CC}">
              <c16:uniqueId val="{00000001-1160-A645-9E8B-19D66D4AAFC9}"/>
            </c:ext>
          </c:extLst>
        </c:ser>
        <c:dLbls>
          <c:showLegendKey val="0"/>
          <c:showVal val="0"/>
          <c:showCatName val="0"/>
          <c:showSerName val="0"/>
          <c:showPercent val="0"/>
          <c:showBubbleSize val="0"/>
        </c:dLbls>
        <c:smooth val="0"/>
        <c:axId val="157784704"/>
        <c:axId val="157786496"/>
      </c:lineChart>
      <c:catAx>
        <c:axId val="157784704"/>
        <c:scaling>
          <c:orientation val="minMax"/>
        </c:scaling>
        <c:delete val="0"/>
        <c:axPos val="b"/>
        <c:numFmt formatCode="General" sourceLinked="1"/>
        <c:majorTickMark val="out"/>
        <c:minorTickMark val="none"/>
        <c:tickLblPos val="nextTo"/>
        <c:crossAx val="157786496"/>
        <c:crosses val="autoZero"/>
        <c:auto val="1"/>
        <c:lblAlgn val="ctr"/>
        <c:lblOffset val="100"/>
        <c:noMultiLvlLbl val="0"/>
      </c:catAx>
      <c:valAx>
        <c:axId val="157786496"/>
        <c:scaling>
          <c:orientation val="minMax"/>
        </c:scaling>
        <c:delete val="0"/>
        <c:axPos val="l"/>
        <c:majorGridlines/>
        <c:title>
          <c:tx>
            <c:rich>
              <a:bodyPr rot="-5400000" vert="horz"/>
              <a:lstStyle/>
              <a:p>
                <a:pPr>
                  <a:defRPr/>
                </a:pPr>
                <a:r>
                  <a:rPr lang="en-US"/>
                  <a:t>Sales ($M)</a:t>
                </a:r>
              </a:p>
            </c:rich>
          </c:tx>
          <c:overlay val="0"/>
        </c:title>
        <c:numFmt formatCode="_(&quot;$&quot;* #,##0_);_(&quot;$&quot;* \(#,##0\);_(&quot;$&quot;* &quot;-&quot;??_);_(@_)" sourceLinked="1"/>
        <c:majorTickMark val="out"/>
        <c:minorTickMark val="none"/>
        <c:tickLblPos val="nextTo"/>
        <c:crossAx val="1577847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2-10 km Reach only</a:t>
            </a:r>
          </a:p>
        </c:rich>
      </c:tx>
      <c:overlay val="0"/>
    </c:title>
    <c:autoTitleDeleted val="0"/>
    <c:plotArea>
      <c:layout>
        <c:manualLayout>
          <c:layoutTarget val="inner"/>
          <c:xMode val="edge"/>
          <c:yMode val="edge"/>
          <c:x val="8.1843462367285305E-2"/>
          <c:y val="0.131963149119498"/>
          <c:w val="0.731941230636453"/>
          <c:h val="0.74922172595504399"/>
        </c:manualLayout>
      </c:layout>
      <c:lineChart>
        <c:grouping val="standard"/>
        <c:varyColors val="0"/>
        <c:ser>
          <c:idx val="1"/>
          <c:order val="0"/>
          <c:tx>
            <c:strRef>
              <c:f>Cost_bit!$B$145</c:f>
              <c:strCache>
                <c:ptCount val="1"/>
                <c:pt idx="0">
                  <c:v>1G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Cost_bit!$C$145:$M$145</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350-D24B-925A-DEB439F948D2}"/>
            </c:ext>
          </c:extLst>
        </c:ser>
        <c:ser>
          <c:idx val="2"/>
          <c:order val="1"/>
          <c:tx>
            <c:v>10 G</c:v>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Cost_bit!$C$146:$M$146</c:f>
              <c:numCache>
                <c:formatCode>_("$"* #,##0.00_);_("$"* \(#,##0.00\);_("$"* "-"??_);_(@_)</c:formatCode>
                <c:ptCount val="11"/>
                <c:pt idx="0">
                  <c:v>3.5674106103984173</c:v>
                </c:pt>
                <c:pt idx="1">
                  <c:v>2.9469506223498367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350-D24B-925A-DEB439F948D2}"/>
            </c:ext>
          </c:extLst>
        </c:ser>
        <c:ser>
          <c:idx val="3"/>
          <c:order val="2"/>
          <c:tx>
            <c:strRef>
              <c:f>Cost_bit!$B$147</c:f>
              <c:strCache>
                <c:ptCount val="1"/>
                <c:pt idx="0">
                  <c:v>40G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Cost_bit!$C$147:$M$147</c:f>
              <c:numCache>
                <c:formatCode>_("$"* #,##0.00_);_("$"* \(#,##0.00\);_("$"* "-"??_);_(@_)</c:formatCode>
                <c:ptCount val="11"/>
                <c:pt idx="0">
                  <c:v>8.6601000187483361</c:v>
                </c:pt>
                <c:pt idx="1">
                  <c:v>6.3710088145666459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350-D24B-925A-DEB439F948D2}"/>
            </c:ext>
          </c:extLst>
        </c:ser>
        <c:ser>
          <c:idx val="4"/>
          <c:order val="3"/>
          <c:tx>
            <c:strRef>
              <c:f>Cost_bit!$B$148</c:f>
              <c:strCache>
                <c:ptCount val="1"/>
                <c:pt idx="0">
                  <c:v>100G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Cost_bit!$C$148:$M$148</c:f>
              <c:numCache>
                <c:formatCode>_("$"* #,##0.00_);_("$"* \(#,##0.00\);_("$"* "-"??_);_(@_)</c:formatCode>
                <c:ptCount val="11"/>
                <c:pt idx="0">
                  <c:v>4.9254290368974738</c:v>
                </c:pt>
                <c:pt idx="1">
                  <c:v>2.6584808497901724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350-D24B-925A-DEB439F948D2}"/>
            </c:ext>
          </c:extLst>
        </c:ser>
        <c:dLbls>
          <c:showLegendKey val="0"/>
          <c:showVal val="0"/>
          <c:showCatName val="0"/>
          <c:showSerName val="0"/>
          <c:showPercent val="0"/>
          <c:showBubbleSize val="0"/>
        </c:dLbls>
        <c:smooth val="0"/>
        <c:axId val="157847936"/>
        <c:axId val="157849472"/>
      </c:lineChart>
      <c:catAx>
        <c:axId val="157847936"/>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157849472"/>
        <c:crossesAt val="0"/>
        <c:auto val="1"/>
        <c:lblAlgn val="ctr"/>
        <c:lblOffset val="100"/>
        <c:noMultiLvlLbl val="0"/>
      </c:catAx>
      <c:valAx>
        <c:axId val="157849472"/>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57847936"/>
        <c:crosses val="autoZero"/>
        <c:crossBetween val="between"/>
      </c:valAx>
    </c:plotArea>
    <c:legend>
      <c:legendPos val="r"/>
      <c:layout>
        <c:manualLayout>
          <c:xMode val="edge"/>
          <c:yMode val="edge"/>
          <c:x val="0.80221906959878198"/>
          <c:y val="0.29074200658139798"/>
          <c:w val="0.18541991398064001"/>
          <c:h val="0.5007662551615890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a:t>
            </a:r>
            <a:r>
              <a:rPr lang="en-US" baseline="0"/>
              <a:t> Long Reach</a:t>
            </a:r>
            <a:endParaRPr lang="en-US"/>
          </a:p>
        </c:rich>
      </c:tx>
      <c:overlay val="0"/>
    </c:title>
    <c:autoTitleDeleted val="0"/>
    <c:plotArea>
      <c:layout>
        <c:manualLayout>
          <c:layoutTarget val="inner"/>
          <c:xMode val="edge"/>
          <c:yMode val="edge"/>
          <c:x val="8.7682000022206094E-2"/>
          <c:y val="0.12259005971850701"/>
          <c:w val="0.68258307880725799"/>
          <c:h val="0.73002909704160301"/>
        </c:manualLayout>
      </c:layout>
      <c:lineChart>
        <c:grouping val="standard"/>
        <c:varyColors val="0"/>
        <c:ser>
          <c:idx val="0"/>
          <c:order val="0"/>
          <c:tx>
            <c:strRef>
              <c:f>Cost_bit!$B$145</c:f>
              <c:strCache>
                <c:ptCount val="1"/>
                <c:pt idx="0">
                  <c:v>1G</c:v>
                </c:pt>
              </c:strCache>
            </c:strRef>
          </c:tx>
          <c:spPr>
            <a:ln>
              <a:solidFill>
                <a:srgbClr val="C00000"/>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Cost_bit!$C$145:$M$145</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224B-A84E-94A8-64740AF89448}"/>
            </c:ext>
          </c:extLst>
        </c:ser>
        <c:ser>
          <c:idx val="5"/>
          <c:order val="1"/>
          <c:tx>
            <c:strRef>
              <c:f>Cost_bit!$B$146</c:f>
              <c:strCache>
                <c:ptCount val="1"/>
                <c:pt idx="0">
                  <c:v>10G</c:v>
                </c:pt>
              </c:strCache>
            </c:strRef>
          </c:tx>
          <c:spPr>
            <a:ln>
              <a:solidFill>
                <a:schemeClr val="accent3">
                  <a:lumMod val="75000"/>
                </a:schemeClr>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Cost_bit!$C$146:$M$146</c:f>
              <c:numCache>
                <c:formatCode>_("$"* #,##0.00_);_("$"* \(#,##0.00\);_("$"* "-"??_);_(@_)</c:formatCode>
                <c:ptCount val="11"/>
                <c:pt idx="0">
                  <c:v>3.5674106103984173</c:v>
                </c:pt>
                <c:pt idx="1">
                  <c:v>2.9469506223498367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24B-A84E-94A8-64740AF89448}"/>
            </c:ext>
          </c:extLst>
        </c:ser>
        <c:ser>
          <c:idx val="6"/>
          <c:order val="2"/>
          <c:tx>
            <c:strRef>
              <c:f>Cost_bit!$B$147</c:f>
              <c:strCache>
                <c:ptCount val="1"/>
                <c:pt idx="0">
                  <c:v>40G</c:v>
                </c:pt>
              </c:strCache>
            </c:strRef>
          </c:tx>
          <c:spPr>
            <a:ln>
              <a:solidFill>
                <a:schemeClr val="accent4">
                  <a:lumMod val="75000"/>
                </a:schemeClr>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Cost_bit!$C$147:$M$147</c:f>
              <c:numCache>
                <c:formatCode>_("$"* #,##0.00_);_("$"* \(#,##0.00\);_("$"* "-"??_);_(@_)</c:formatCode>
                <c:ptCount val="11"/>
                <c:pt idx="0">
                  <c:v>8.6601000187483361</c:v>
                </c:pt>
                <c:pt idx="1">
                  <c:v>6.3710088145666459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24B-A84E-94A8-64740AF89448}"/>
            </c:ext>
          </c:extLst>
        </c:ser>
        <c:ser>
          <c:idx val="7"/>
          <c:order val="3"/>
          <c:tx>
            <c:strRef>
              <c:f>Cost_bit!$B$148</c:f>
              <c:strCache>
                <c:ptCount val="1"/>
                <c:pt idx="0">
                  <c:v>100G</c:v>
                </c:pt>
              </c:strCache>
            </c:strRef>
          </c:tx>
          <c:spPr>
            <a:ln>
              <a:solidFill>
                <a:srgbClr val="00B0F0"/>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Cost_bit!$C$148:$M$148</c:f>
              <c:numCache>
                <c:formatCode>_("$"* #,##0.00_);_("$"* \(#,##0.00\);_("$"* "-"??_);_(@_)</c:formatCode>
                <c:ptCount val="11"/>
                <c:pt idx="0">
                  <c:v>4.9254290368974738</c:v>
                </c:pt>
                <c:pt idx="1">
                  <c:v>2.6584808497901724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24B-A84E-94A8-64740AF89448}"/>
            </c:ext>
          </c:extLst>
        </c:ser>
        <c:ser>
          <c:idx val="1"/>
          <c:order val="4"/>
          <c:tx>
            <c:strRef>
              <c:f>Cost_bit!$B$149</c:f>
              <c:strCache>
                <c:ptCount val="1"/>
                <c:pt idx="0">
                  <c:v>200G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Cost_bit!$C$149:$M$149</c:f>
              <c:numCache>
                <c:formatCode>_("$"* #,##0.00_);_("$"* \(#,##0.00\);_("$"* "-"??_);_(@_)</c:formatCode>
                <c:ptCount val="11"/>
                <c:pt idx="0">
                  <c:v>7.5</c:v>
                </c:pt>
                <c:pt idx="1">
                  <c:v>2.5481719367588931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E81-5244-BC57-C99AEAA79899}"/>
            </c:ext>
          </c:extLst>
        </c:ser>
        <c:ser>
          <c:idx val="2"/>
          <c:order val="5"/>
          <c:tx>
            <c:strRef>
              <c:f>Cost_bit!$B$150</c:f>
              <c:strCache>
                <c:ptCount val="1"/>
                <c:pt idx="0">
                  <c:v>400G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Cost_bit!$C$150:$M$150</c:f>
              <c:numCache>
                <c:formatCode>_("$"* #,##0.00_);_("$"* \(#,##0.00\);_("$"* "-"??_);_(@_)</c:formatCode>
                <c:ptCount val="11"/>
                <c:pt idx="0">
                  <c:v>5.7500000000000009</c:v>
                </c:pt>
                <c:pt idx="1">
                  <c:v>3.0018704224271828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E81-5244-BC57-C99AEAA79899}"/>
            </c:ext>
          </c:extLst>
        </c:ser>
        <c:dLbls>
          <c:showLegendKey val="0"/>
          <c:showVal val="0"/>
          <c:showCatName val="0"/>
          <c:showSerName val="0"/>
          <c:showPercent val="0"/>
          <c:showBubbleSize val="0"/>
        </c:dLbls>
        <c:smooth val="0"/>
        <c:axId val="157905280"/>
        <c:axId val="157906816"/>
      </c:lineChart>
      <c:catAx>
        <c:axId val="157905280"/>
        <c:scaling>
          <c:orientation val="minMax"/>
        </c:scaling>
        <c:delete val="0"/>
        <c:axPos val="b"/>
        <c:numFmt formatCode="General" sourceLinked="1"/>
        <c:majorTickMark val="out"/>
        <c:minorTickMark val="none"/>
        <c:tickLblPos val="nextTo"/>
        <c:txPr>
          <a:bodyPr rot="-5400000" vert="horz"/>
          <a:lstStyle/>
          <a:p>
            <a:pPr>
              <a:defRPr sz="1200" b="1"/>
            </a:pPr>
            <a:endParaRPr lang="en-US"/>
          </a:p>
        </c:txPr>
        <c:crossAx val="157906816"/>
        <c:crossesAt val="0"/>
        <c:auto val="1"/>
        <c:lblAlgn val="ctr"/>
        <c:lblOffset val="100"/>
        <c:noMultiLvlLbl val="0"/>
      </c:catAx>
      <c:valAx>
        <c:axId val="157906816"/>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57905280"/>
        <c:crosses val="autoZero"/>
        <c:crossBetween val="between"/>
        <c:majorUnit val="1"/>
      </c:valAx>
    </c:plotArea>
    <c:legend>
      <c:legendPos val="r"/>
      <c:layout>
        <c:manualLayout>
          <c:xMode val="edge"/>
          <c:yMode val="edge"/>
          <c:x val="0.78928736716083236"/>
          <c:y val="0.14754285958303115"/>
          <c:w val="0.17854804517382708"/>
          <c:h val="0.50123922797692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Fibre Channel</a:t>
            </a:r>
          </a:p>
        </c:rich>
      </c:tx>
      <c:overlay val="0"/>
    </c:title>
    <c:autoTitleDeleted val="0"/>
    <c:plotArea>
      <c:layout>
        <c:manualLayout>
          <c:layoutTarget val="inner"/>
          <c:xMode val="edge"/>
          <c:yMode val="edge"/>
          <c:x val="0.11906649596414355"/>
          <c:y val="0.12248725420851606"/>
          <c:w val="0.73056816756070297"/>
          <c:h val="0.79541570848632404"/>
        </c:manualLayout>
      </c:layout>
      <c:lineChart>
        <c:grouping val="standard"/>
        <c:varyColors val="0"/>
        <c:ser>
          <c:idx val="5"/>
          <c:order val="0"/>
          <c:tx>
            <c:strRef>
              <c:f>Cost_bit!$O$97</c:f>
              <c:strCache>
                <c:ptCount val="1"/>
                <c:pt idx="0">
                  <c:v>64G long</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Cost_bit!$P$97:$Z$97</c:f>
              <c:numCache>
                <c:formatCode>_("$"* #,##0.00_);_("$"* \(#,##0.00\);_("$"*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49D-564C-90F9-271012C21324}"/>
            </c:ext>
          </c:extLst>
        </c:ser>
        <c:ser>
          <c:idx val="0"/>
          <c:order val="1"/>
          <c:tx>
            <c:strRef>
              <c:f>Cost_bit!$O$96</c:f>
              <c:strCache>
                <c:ptCount val="1"/>
                <c:pt idx="0">
                  <c:v>64G short</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Cost_bit!$P$96:$Z$96</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149D-564C-90F9-271012C21324}"/>
            </c:ext>
          </c:extLst>
        </c:ser>
        <c:ser>
          <c:idx val="4"/>
          <c:order val="2"/>
          <c:tx>
            <c:strRef>
              <c:f>Cost_bit!$O$95</c:f>
              <c:strCache>
                <c:ptCount val="1"/>
                <c:pt idx="0">
                  <c:v>32 GFC</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Cost_bit!$P$95:$Z$95</c:f>
              <c:numCache>
                <c:formatCode>_("$"* #,##0.00_);_("$"* \(#,##0.00\);_("$"* "-"??_);_(@_)</c:formatCode>
                <c:ptCount val="11"/>
                <c:pt idx="0">
                  <c:v>2.0032203317288464</c:v>
                </c:pt>
                <c:pt idx="1">
                  <c:v>1.8270945764094841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149D-564C-90F9-271012C21324}"/>
            </c:ext>
          </c:extLst>
        </c:ser>
        <c:ser>
          <c:idx val="3"/>
          <c:order val="3"/>
          <c:tx>
            <c:strRef>
              <c:f>Cost_bit!$O$94</c:f>
              <c:strCache>
                <c:ptCount val="1"/>
                <c:pt idx="0">
                  <c:v>16 GFC</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Cost_bit!$P$94:$Z$94</c:f>
              <c:numCache>
                <c:formatCode>_("$"* #,##0.00_);_("$"* \(#,##0.00\);_("$"* "-"??_);_(@_)</c:formatCode>
                <c:ptCount val="11"/>
                <c:pt idx="0">
                  <c:v>1.6073990237350844</c:v>
                </c:pt>
                <c:pt idx="1">
                  <c:v>1.6880499384445566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149D-564C-90F9-271012C21324}"/>
            </c:ext>
          </c:extLst>
        </c:ser>
        <c:ser>
          <c:idx val="2"/>
          <c:order val="4"/>
          <c:tx>
            <c:strRef>
              <c:f>Cost_bit!$O$93</c:f>
              <c:strCache>
                <c:ptCount val="1"/>
                <c:pt idx="0">
                  <c:v>8 GFC</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Cost_bit!$P$93:$R$93</c:f>
              <c:numCache>
                <c:formatCode>_("$"* #,##0.00_);_("$"* \(#,##0.00\);_("$"* "-"??_);_(@_)</c:formatCode>
                <c:ptCount val="3"/>
                <c:pt idx="0">
                  <c:v>1.6753984291172217</c:v>
                </c:pt>
                <c:pt idx="1">
                  <c:v>1.8126906930414919</c:v>
                </c:pt>
                <c:pt idx="2">
                  <c:v>0</c:v>
                </c:pt>
              </c:numCache>
            </c:numRef>
          </c:val>
          <c:smooth val="0"/>
          <c:extLst>
            <c:ext xmlns:c16="http://schemas.microsoft.com/office/drawing/2014/chart" uri="{C3380CC4-5D6E-409C-BE32-E72D297353CC}">
              <c16:uniqueId val="{00000004-149D-564C-90F9-271012C21324}"/>
            </c:ext>
          </c:extLst>
        </c:ser>
        <c:dLbls>
          <c:showLegendKey val="0"/>
          <c:showVal val="0"/>
          <c:showCatName val="0"/>
          <c:showSerName val="0"/>
          <c:showPercent val="0"/>
          <c:showBubbleSize val="0"/>
        </c:dLbls>
        <c:marker val="1"/>
        <c:smooth val="0"/>
        <c:axId val="158018560"/>
        <c:axId val="158024448"/>
      </c:lineChart>
      <c:catAx>
        <c:axId val="158018560"/>
        <c:scaling>
          <c:orientation val="minMax"/>
        </c:scaling>
        <c:delete val="0"/>
        <c:axPos val="b"/>
        <c:numFmt formatCode="General" sourceLinked="1"/>
        <c:majorTickMark val="out"/>
        <c:minorTickMark val="none"/>
        <c:tickLblPos val="nextTo"/>
        <c:crossAx val="158024448"/>
        <c:crosses val="autoZero"/>
        <c:auto val="1"/>
        <c:lblAlgn val="ctr"/>
        <c:lblOffset val="100"/>
        <c:noMultiLvlLbl val="0"/>
      </c:catAx>
      <c:valAx>
        <c:axId val="158024448"/>
        <c:scaling>
          <c:orientation val="minMax"/>
        </c:scaling>
        <c:delete val="0"/>
        <c:axPos val="l"/>
        <c:majorGridlines/>
        <c:title>
          <c:tx>
            <c:rich>
              <a:bodyPr rot="-5400000" vert="horz"/>
              <a:lstStyle/>
              <a:p>
                <a:pPr>
                  <a:defRPr/>
                </a:pPr>
                <a:r>
                  <a:rPr lang="en-US"/>
                  <a:t>Cost per Gigabit ($)</a:t>
                </a:r>
              </a:p>
            </c:rich>
          </c:tx>
          <c:layout>
            <c:manualLayout>
              <c:xMode val="edge"/>
              <c:yMode val="edge"/>
              <c:x val="1.8430147409045701E-2"/>
              <c:y val="0.37364701896027203"/>
            </c:manualLayout>
          </c:layout>
          <c:overlay val="0"/>
        </c:title>
        <c:numFmt formatCode="_(&quot;$&quot;* #,##0.00_);_(&quot;$&quot;* \(#,##0.00\);_(&quot;$&quot;* &quot;-&quot;??_);_(@_)" sourceLinked="1"/>
        <c:majorTickMark val="out"/>
        <c:minorTickMark val="none"/>
        <c:tickLblPos val="nextTo"/>
        <c:crossAx val="158018560"/>
        <c:crosses val="autoZero"/>
        <c:crossBetween val="between"/>
      </c:valAx>
    </c:plotArea>
    <c:legend>
      <c:legendPos val="r"/>
      <c:layout>
        <c:manualLayout>
          <c:xMode val="edge"/>
          <c:yMode val="edge"/>
          <c:x val="0.84955180725177304"/>
          <c:y val="0.21526820395896701"/>
          <c:w val="0.13924745000425401"/>
          <c:h val="0.67080511846923896"/>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63057020781228"/>
          <c:y val="0.118618886142882"/>
          <c:w val="0.81480841552976468"/>
          <c:h val="0.7598258913288013"/>
        </c:manualLayout>
      </c:layout>
      <c:barChart>
        <c:barDir val="col"/>
        <c:grouping val="stacked"/>
        <c:varyColors val="0"/>
        <c:ser>
          <c:idx val="0"/>
          <c:order val="0"/>
          <c:tx>
            <c:strRef>
              <c:f>Summary!$B$170</c:f>
              <c:strCache>
                <c:ptCount val="1"/>
                <c:pt idx="0">
                  <c:v>DWDM 2.5 G</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Summary!$C$170:$M$170</c:f>
              <c:numCache>
                <c:formatCode>_(* #,##0_);_(* \(#,##0\);_(* "-"??_);_(@_)</c:formatCode>
                <c:ptCount val="11"/>
                <c:pt idx="0">
                  <c:v>38304</c:v>
                </c:pt>
                <c:pt idx="1">
                  <c:v>33359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08B-4DFB-9A5A-93546379D5C9}"/>
            </c:ext>
          </c:extLst>
        </c:ser>
        <c:ser>
          <c:idx val="1"/>
          <c:order val="1"/>
          <c:tx>
            <c:strRef>
              <c:f>Summary!$B$171</c:f>
              <c:strCache>
                <c:ptCount val="1"/>
                <c:pt idx="0">
                  <c:v>CWDM up to 10G</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Summary!$C$171:$M$171</c:f>
              <c:numCache>
                <c:formatCode>_(* #,##0_);_(* \(#,##0\);_(* "-"??_);_(@_)</c:formatCode>
                <c:ptCount val="11"/>
                <c:pt idx="0">
                  <c:v>326257</c:v>
                </c:pt>
                <c:pt idx="1">
                  <c:v>376930.99999999994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08B-4DFB-9A5A-93546379D5C9}"/>
            </c:ext>
          </c:extLst>
        </c:ser>
        <c:ser>
          <c:idx val="2"/>
          <c:order val="2"/>
          <c:tx>
            <c:strRef>
              <c:f>Summary!$B$172</c:f>
              <c:strCache>
                <c:ptCount val="1"/>
                <c:pt idx="0">
                  <c:v>DWDM 10G </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Summary!$C$172:$M$172</c:f>
              <c:numCache>
                <c:formatCode>_(* #,##0_);_(* \(#,##0\);_(* "-"??_);_(@_)</c:formatCode>
                <c:ptCount val="11"/>
                <c:pt idx="0">
                  <c:v>420136</c:v>
                </c:pt>
                <c:pt idx="1">
                  <c:v>529485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08B-4DFB-9A5A-93546379D5C9}"/>
            </c:ext>
          </c:extLst>
        </c:ser>
        <c:dLbls>
          <c:showLegendKey val="0"/>
          <c:showVal val="0"/>
          <c:showCatName val="0"/>
          <c:showSerName val="0"/>
          <c:showPercent val="0"/>
          <c:showBubbleSize val="0"/>
        </c:dLbls>
        <c:gapWidth val="150"/>
        <c:overlap val="100"/>
        <c:axId val="150599552"/>
        <c:axId val="150601088"/>
      </c:barChart>
      <c:catAx>
        <c:axId val="150599552"/>
        <c:scaling>
          <c:orientation val="minMax"/>
        </c:scaling>
        <c:delete val="0"/>
        <c:axPos val="b"/>
        <c:numFmt formatCode="General" sourceLinked="1"/>
        <c:majorTickMark val="none"/>
        <c:minorTickMark val="none"/>
        <c:tickLblPos val="nextTo"/>
        <c:txPr>
          <a:bodyPr/>
          <a:lstStyle/>
          <a:p>
            <a:pPr>
              <a:defRPr sz="1200" b="0"/>
            </a:pPr>
            <a:endParaRPr lang="en-US"/>
          </a:p>
        </c:txPr>
        <c:crossAx val="150601088"/>
        <c:crosses val="autoZero"/>
        <c:auto val="1"/>
        <c:lblAlgn val="ctr"/>
        <c:lblOffset val="100"/>
        <c:noMultiLvlLbl val="0"/>
      </c:catAx>
      <c:valAx>
        <c:axId val="150601088"/>
        <c:scaling>
          <c:orientation val="minMax"/>
          <c:max val="1000000"/>
          <c:min val="0"/>
        </c:scaling>
        <c:delete val="0"/>
        <c:axPos val="l"/>
        <c:majorGridlines/>
        <c:title>
          <c:tx>
            <c:rich>
              <a:bodyPr/>
              <a:lstStyle/>
              <a:p>
                <a:pPr>
                  <a:defRPr sz="1200" b="1"/>
                </a:pPr>
                <a:r>
                  <a:rPr lang="en-US" sz="1200" b="1"/>
                  <a:t>Units</a:t>
                </a:r>
              </a:p>
            </c:rich>
          </c:tx>
          <c:layout>
            <c:manualLayout>
              <c:xMode val="edge"/>
              <c:yMode val="edge"/>
              <c:x val="6.6880242424607805E-3"/>
              <c:y val="0.38718321388201166"/>
            </c:manualLayout>
          </c:layout>
          <c:overlay val="0"/>
        </c:title>
        <c:numFmt formatCode="_(* #,##0_);_(* \(#,##0\);_(* &quot;-&quot;??_);_(@_)" sourceLinked="1"/>
        <c:majorTickMark val="none"/>
        <c:minorTickMark val="none"/>
        <c:tickLblPos val="nextTo"/>
        <c:txPr>
          <a:bodyPr/>
          <a:lstStyle/>
          <a:p>
            <a:pPr>
              <a:defRPr sz="1200" b="0"/>
            </a:pPr>
            <a:endParaRPr lang="en-US"/>
          </a:p>
        </c:txPr>
        <c:crossAx val="150599552"/>
        <c:crosses val="autoZero"/>
        <c:crossBetween val="between"/>
      </c:valAx>
    </c:plotArea>
    <c:legend>
      <c:legendPos val="t"/>
      <c:layout>
        <c:manualLayout>
          <c:xMode val="edge"/>
          <c:yMode val="edge"/>
          <c:x val="0.27043659256736086"/>
          <c:y val="2.2542264527261793E-2"/>
          <c:w val="0.52177166941914588"/>
          <c:h val="7.7032716162419079E-2"/>
        </c:manualLayout>
      </c:layout>
      <c:overlay val="0"/>
      <c:txPr>
        <a:bodyPr/>
        <a:lstStyle/>
        <a:p>
          <a:pPr>
            <a:defRPr sz="12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107931104259402"/>
          <c:y val="7.0372829315698868E-2"/>
          <c:w val="0.82536793546698706"/>
          <c:h val="0.8277848125643964"/>
        </c:manualLayout>
      </c:layout>
      <c:barChart>
        <c:barDir val="col"/>
        <c:grouping val="stacked"/>
        <c:varyColors val="0"/>
        <c:ser>
          <c:idx val="1"/>
          <c:order val="0"/>
          <c:tx>
            <c:strRef>
              <c:f>'Additional Report charts'!$B$133</c:f>
              <c:strCache>
                <c:ptCount val="1"/>
                <c:pt idx="0">
                  <c:v>Enterprise</c:v>
                </c:pt>
              </c:strCache>
            </c:strRef>
          </c:tx>
          <c:invertIfNegative val="0"/>
          <c:cat>
            <c:numRef>
              <c:f>'Additional Report charts'!$C$130:$M$130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charts'!$C$133:$M$133</c:f>
              <c:numCache>
                <c:formatCode>_(* #,##0_);_(* \(#,##0\);_(* "-"??_);_(@_)</c:formatCode>
                <c:ptCount val="11"/>
                <c:pt idx="0">
                  <c:v>4.8104253608118679</c:v>
                </c:pt>
                <c:pt idx="1">
                  <c:v>4.9272151470555592</c:v>
                </c:pt>
              </c:numCache>
            </c:numRef>
          </c:val>
          <c:extLst>
            <c:ext xmlns:c16="http://schemas.microsoft.com/office/drawing/2014/chart" uri="{C3380CC4-5D6E-409C-BE32-E72D297353CC}">
              <c16:uniqueId val="{00000000-251F-E346-BBB5-57DA8360964A}"/>
            </c:ext>
          </c:extLst>
        </c:ser>
        <c:ser>
          <c:idx val="2"/>
          <c:order val="1"/>
          <c:tx>
            <c:strRef>
              <c:f>'Additional Report charts'!$B$132</c:f>
              <c:strCache>
                <c:ptCount val="1"/>
                <c:pt idx="0">
                  <c:v>Telecom</c:v>
                </c:pt>
              </c:strCache>
            </c:strRef>
          </c:tx>
          <c:invertIfNegative val="0"/>
          <c:cat>
            <c:numRef>
              <c:f>'Additional Report charts'!$C$130:$M$130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charts'!$C$132:$M$132</c:f>
              <c:numCache>
                <c:formatCode>_(* #,##0_);_(* \(#,##0\);_(* "-"??_);_(@_)</c:formatCode>
                <c:ptCount val="11"/>
                <c:pt idx="0">
                  <c:v>47.804295142622948</c:v>
                </c:pt>
                <c:pt idx="1">
                  <c:v>69.728426538603699</c:v>
                </c:pt>
              </c:numCache>
            </c:numRef>
          </c:val>
          <c:extLst>
            <c:ext xmlns:c16="http://schemas.microsoft.com/office/drawing/2014/chart" uri="{C3380CC4-5D6E-409C-BE32-E72D297353CC}">
              <c16:uniqueId val="{00000001-251F-E346-BBB5-57DA8360964A}"/>
            </c:ext>
          </c:extLst>
        </c:ser>
        <c:ser>
          <c:idx val="0"/>
          <c:order val="2"/>
          <c:tx>
            <c:strRef>
              <c:f>'Additional Report charts'!$B$131</c:f>
              <c:strCache>
                <c:ptCount val="1"/>
                <c:pt idx="0">
                  <c:v>Cloud (DCI)</c:v>
                </c:pt>
              </c:strCache>
            </c:strRef>
          </c:tx>
          <c:invertIfNegative val="0"/>
          <c:cat>
            <c:numRef>
              <c:f>'Additional Report charts'!$C$130:$M$130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charts'!$C$131:$M$131</c:f>
              <c:numCache>
                <c:formatCode>_(* #,##0_);_(* \(#,##0\);_(* "-"??_);_(@_)</c:formatCode>
                <c:ptCount val="11"/>
                <c:pt idx="0">
                  <c:v>19.278010195619807</c:v>
                </c:pt>
                <c:pt idx="1">
                  <c:v>28.041115814340749</c:v>
                </c:pt>
              </c:numCache>
            </c:numRef>
          </c:val>
          <c:extLst>
            <c:ext xmlns:c16="http://schemas.microsoft.com/office/drawing/2014/chart" uri="{C3380CC4-5D6E-409C-BE32-E72D297353CC}">
              <c16:uniqueId val="{00000002-251F-E346-BBB5-57DA8360964A}"/>
            </c:ext>
          </c:extLst>
        </c:ser>
        <c:dLbls>
          <c:showLegendKey val="0"/>
          <c:showVal val="0"/>
          <c:showCatName val="0"/>
          <c:showSerName val="0"/>
          <c:showPercent val="0"/>
          <c:showBubbleSize val="0"/>
        </c:dLbls>
        <c:gapWidth val="150"/>
        <c:overlap val="100"/>
        <c:axId val="158278784"/>
        <c:axId val="158280320"/>
      </c:barChart>
      <c:catAx>
        <c:axId val="158278784"/>
        <c:scaling>
          <c:orientation val="minMax"/>
        </c:scaling>
        <c:delete val="0"/>
        <c:axPos val="b"/>
        <c:numFmt formatCode="General" sourceLinked="1"/>
        <c:majorTickMark val="out"/>
        <c:minorTickMark val="none"/>
        <c:tickLblPos val="nextTo"/>
        <c:txPr>
          <a:bodyPr/>
          <a:lstStyle/>
          <a:p>
            <a:pPr>
              <a:defRPr sz="1200"/>
            </a:pPr>
            <a:endParaRPr lang="en-US"/>
          </a:p>
        </c:txPr>
        <c:crossAx val="158280320"/>
        <c:crosses val="autoZero"/>
        <c:auto val="1"/>
        <c:lblAlgn val="ctr"/>
        <c:lblOffset val="100"/>
        <c:noMultiLvlLbl val="0"/>
      </c:catAx>
      <c:valAx>
        <c:axId val="158280320"/>
        <c:scaling>
          <c:orientation val="minMax"/>
        </c:scaling>
        <c:delete val="0"/>
        <c:axPos val="l"/>
        <c:majorGridlines/>
        <c:title>
          <c:tx>
            <c:rich>
              <a:bodyPr rot="-5400000" vert="horz"/>
              <a:lstStyle/>
              <a:p>
                <a:pPr>
                  <a:defRPr sz="1400" b="0"/>
                </a:pPr>
                <a:r>
                  <a:rPr lang="en-US" sz="1400" b="0"/>
                  <a:t>Annual new bandwidth (Pb)  </a:t>
                </a:r>
              </a:p>
            </c:rich>
          </c:tx>
          <c:layout>
            <c:manualLayout>
              <c:xMode val="edge"/>
              <c:yMode val="edge"/>
              <c:x val="5.0434962684788509E-3"/>
              <c:y val="0.23645569620253165"/>
            </c:manualLayout>
          </c:layout>
          <c:overlay val="0"/>
        </c:title>
        <c:numFmt formatCode="#,##0" sourceLinked="0"/>
        <c:majorTickMark val="out"/>
        <c:minorTickMark val="none"/>
        <c:tickLblPos val="nextTo"/>
        <c:txPr>
          <a:bodyPr/>
          <a:lstStyle/>
          <a:p>
            <a:pPr>
              <a:defRPr sz="1200"/>
            </a:pPr>
            <a:endParaRPr lang="en-US"/>
          </a:p>
        </c:txPr>
        <c:crossAx val="158278784"/>
        <c:crosses val="autoZero"/>
        <c:crossBetween val="between"/>
      </c:valAx>
    </c:plotArea>
    <c:legend>
      <c:legendPos val="r"/>
      <c:layout>
        <c:manualLayout>
          <c:xMode val="edge"/>
          <c:yMode val="edge"/>
          <c:x val="0.20303300381537356"/>
          <c:y val="0.12228544902459679"/>
          <c:w val="0.186927497625202"/>
          <c:h val="0.2708133694654810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78983588585184"/>
          <c:y val="8.4642174655404398E-2"/>
          <c:w val="0.77681523914363371"/>
          <c:h val="0.72934752575849404"/>
        </c:manualLayout>
      </c:layout>
      <c:barChart>
        <c:barDir val="col"/>
        <c:grouping val="clustered"/>
        <c:varyColors val="0"/>
        <c:ser>
          <c:idx val="1"/>
          <c:order val="0"/>
          <c:spPr>
            <a:solidFill>
              <a:schemeClr val="accent1"/>
            </a:solidFill>
          </c:spPr>
          <c:invertIfNegative val="0"/>
          <c:cat>
            <c:strRef>
              <c:f>'Additional Report charts'!$C$99:$P$99</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'Additional Report charts'!$C$100:$P$100</c:f>
              <c:numCache>
                <c:formatCode>_("$"* #,##0_);_("$"* \(#,##0\);_("$"* "-"??_);_(@_)</c:formatCode>
                <c:ptCount val="14"/>
                <c:pt idx="0">
                  <c:v>11.949143743650291</c:v>
                </c:pt>
                <c:pt idx="1">
                  <c:v>15.26648873523358</c:v>
                </c:pt>
                <c:pt idx="2">
                  <c:v>23.996349681767459</c:v>
                </c:pt>
                <c:pt idx="3">
                  <c:v>30.125902783179761</c:v>
                </c:pt>
                <c:pt idx="4">
                  <c:v>39.220457516815429</c:v>
                </c:pt>
                <c:pt idx="5">
                  <c:v>42.942120514974171</c:v>
                </c:pt>
                <c:pt idx="6">
                  <c:v>51.60541888384882</c:v>
                </c:pt>
                <c:pt idx="7">
                  <c:v>63.688943714347737</c:v>
                </c:pt>
                <c:pt idx="8">
                  <c:v>97.009259034306709</c:v>
                </c:pt>
              </c:numCache>
            </c:numRef>
          </c:val>
          <c:extLst>
            <c:ext xmlns:c16="http://schemas.microsoft.com/office/drawing/2014/chart" uri="{C3380CC4-5D6E-409C-BE32-E72D297353CC}">
              <c16:uniqueId val="{00000000-01F3-FD47-878F-C2FE1531FA55}"/>
            </c:ext>
          </c:extLst>
        </c:ser>
        <c:dLbls>
          <c:showLegendKey val="0"/>
          <c:showVal val="0"/>
          <c:showCatName val="0"/>
          <c:showSerName val="0"/>
          <c:showPercent val="0"/>
          <c:showBubbleSize val="0"/>
        </c:dLbls>
        <c:gapWidth val="150"/>
        <c:axId val="158288896"/>
        <c:axId val="158294784"/>
      </c:barChart>
      <c:catAx>
        <c:axId val="158288896"/>
        <c:scaling>
          <c:orientation val="minMax"/>
        </c:scaling>
        <c:delete val="0"/>
        <c:axPos val="b"/>
        <c:numFmt formatCode="General" sourceLinked="1"/>
        <c:majorTickMark val="out"/>
        <c:minorTickMark val="none"/>
        <c:tickLblPos val="nextTo"/>
        <c:txPr>
          <a:bodyPr/>
          <a:lstStyle/>
          <a:p>
            <a:pPr>
              <a:defRPr sz="1100"/>
            </a:pPr>
            <a:endParaRPr lang="en-US"/>
          </a:p>
        </c:txPr>
        <c:crossAx val="158294784"/>
        <c:crosses val="autoZero"/>
        <c:auto val="1"/>
        <c:lblAlgn val="ctr"/>
        <c:lblOffset val="100"/>
        <c:noMultiLvlLbl val="0"/>
      </c:catAx>
      <c:valAx>
        <c:axId val="158294784"/>
        <c:scaling>
          <c:orientation val="minMax"/>
        </c:scaling>
        <c:delete val="0"/>
        <c:axPos val="l"/>
        <c:majorGridlines/>
        <c:title>
          <c:tx>
            <c:rich>
              <a:bodyPr rot="-5400000" vert="horz"/>
              <a:lstStyle/>
              <a:p>
                <a:pPr>
                  <a:defRPr sz="1200"/>
                </a:pPr>
                <a:r>
                  <a:rPr lang="en-US" sz="1200"/>
                  <a:t>$ billions</a:t>
                </a:r>
              </a:p>
            </c:rich>
          </c:tx>
          <c:layout>
            <c:manualLayout>
              <c:xMode val="edge"/>
              <c:yMode val="edge"/>
              <c:x val="2.5000000000000001E-2"/>
              <c:y val="0.40260868775486103"/>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158288896"/>
        <c:crosses val="autoZero"/>
        <c:crossBetween val="between"/>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Ref>
              <c:f>'Additional Report charts'!$C$322:$M$322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charts'!$C$323:$M$323</c:f>
              <c:numCache>
                <c:formatCode>_("$"* #,##0_);_("$"* \(#,##0\);_("$"* "-"??_);_(@_)</c:formatCode>
                <c:ptCount val="11"/>
                <c:pt idx="0">
                  <c:v>365.31830158163763</c:v>
                </c:pt>
                <c:pt idx="1">
                  <c:v>518.68237217981789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CAC-424C-A7D9-5EA7494832C3}"/>
            </c:ext>
          </c:extLst>
        </c:ser>
        <c:dLbls>
          <c:showLegendKey val="0"/>
          <c:showVal val="0"/>
          <c:showCatName val="0"/>
          <c:showSerName val="0"/>
          <c:showPercent val="0"/>
          <c:showBubbleSize val="0"/>
        </c:dLbls>
        <c:gapWidth val="219"/>
        <c:overlap val="-27"/>
        <c:axId val="158332032"/>
        <c:axId val="158333568"/>
      </c:barChart>
      <c:catAx>
        <c:axId val="15833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58333568"/>
        <c:crosses val="autoZero"/>
        <c:auto val="1"/>
        <c:lblAlgn val="ctr"/>
        <c:lblOffset val="100"/>
        <c:noMultiLvlLbl val="0"/>
      </c:catAx>
      <c:valAx>
        <c:axId val="158333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58332032"/>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31662975141294"/>
          <c:y val="0.11428058309409926"/>
          <c:w val="0.80284851778186206"/>
          <c:h val="0.75263457784281418"/>
        </c:manualLayout>
      </c:layout>
      <c:barChart>
        <c:barDir val="col"/>
        <c:grouping val="stacked"/>
        <c:varyColors val="0"/>
        <c:ser>
          <c:idx val="0"/>
          <c:order val="0"/>
          <c:tx>
            <c:strRef>
              <c:f>'Additional Report charts'!$B$291</c:f>
              <c:strCache>
                <c:ptCount val="1"/>
                <c:pt idx="0">
                  <c:v>C/DWDM</c:v>
                </c:pt>
              </c:strCache>
            </c:strRef>
          </c:tx>
          <c:invertIfNegative val="0"/>
          <c:cat>
            <c:numRef>
              <c:f>'Additional Report charts'!$C$290:$M$290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charts'!$C$291:$M$291</c:f>
              <c:numCache>
                <c:formatCode>_("$"* #,##0_);_("$"* \(#,##0\);_("$"* "-"??_);_(@_)</c:formatCode>
                <c:ptCount val="11"/>
                <c:pt idx="0">
                  <c:v>80.887100000000004</c:v>
                </c:pt>
                <c:pt idx="1">
                  <c:v>314.43081093681275</c:v>
                </c:pt>
              </c:numCache>
            </c:numRef>
          </c:val>
          <c:extLst>
            <c:ext xmlns:c16="http://schemas.microsoft.com/office/drawing/2014/chart" uri="{C3380CC4-5D6E-409C-BE32-E72D297353CC}">
              <c16:uniqueId val="{00000000-D9C4-DF45-807B-0D5C65612421}"/>
            </c:ext>
          </c:extLst>
        </c:ser>
        <c:ser>
          <c:idx val="1"/>
          <c:order val="1"/>
          <c:tx>
            <c:strRef>
              <c:f>'Additional Report charts'!$B$292</c:f>
              <c:strCache>
                <c:ptCount val="1"/>
                <c:pt idx="0">
                  <c:v>Grey optics</c:v>
                </c:pt>
              </c:strCache>
            </c:strRef>
          </c:tx>
          <c:invertIfNegative val="0"/>
          <c:cat>
            <c:numRef>
              <c:f>'Additional Report charts'!$C$290:$M$290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charts'!$C$292:$M$292</c:f>
              <c:numCache>
                <c:formatCode>_("$"* #,##0_);_("$"* \(#,##0\);_("$"* "-"??_);_(@_)</c:formatCode>
                <c:ptCount val="11"/>
                <c:pt idx="0">
                  <c:v>284.90360959702161</c:v>
                </c:pt>
                <c:pt idx="1">
                  <c:v>603.65461816460333</c:v>
                </c:pt>
              </c:numCache>
            </c:numRef>
          </c:val>
          <c:extLst>
            <c:ext xmlns:c16="http://schemas.microsoft.com/office/drawing/2014/chart" uri="{C3380CC4-5D6E-409C-BE32-E72D297353CC}">
              <c16:uniqueId val="{00000001-D9C4-DF45-807B-0D5C65612421}"/>
            </c:ext>
          </c:extLst>
        </c:ser>
        <c:dLbls>
          <c:showLegendKey val="0"/>
          <c:showVal val="0"/>
          <c:showCatName val="0"/>
          <c:showSerName val="0"/>
          <c:showPercent val="0"/>
          <c:showBubbleSize val="0"/>
        </c:dLbls>
        <c:gapWidth val="150"/>
        <c:overlap val="100"/>
        <c:axId val="158359552"/>
        <c:axId val="158361088"/>
      </c:barChart>
      <c:catAx>
        <c:axId val="158359552"/>
        <c:scaling>
          <c:orientation val="minMax"/>
        </c:scaling>
        <c:delete val="0"/>
        <c:axPos val="b"/>
        <c:numFmt formatCode="General" sourceLinked="1"/>
        <c:majorTickMark val="out"/>
        <c:minorTickMark val="none"/>
        <c:tickLblPos val="nextTo"/>
        <c:txPr>
          <a:bodyPr/>
          <a:lstStyle/>
          <a:p>
            <a:pPr>
              <a:defRPr sz="1400"/>
            </a:pPr>
            <a:endParaRPr lang="en-US"/>
          </a:p>
        </c:txPr>
        <c:crossAx val="158361088"/>
        <c:crosses val="autoZero"/>
        <c:auto val="1"/>
        <c:lblAlgn val="ctr"/>
        <c:lblOffset val="100"/>
        <c:noMultiLvlLbl val="0"/>
      </c:catAx>
      <c:valAx>
        <c:axId val="158361088"/>
        <c:scaling>
          <c:orientation val="minMax"/>
        </c:scaling>
        <c:delete val="0"/>
        <c:axPos val="l"/>
        <c:majorGridlines/>
        <c:title>
          <c:tx>
            <c:rich>
              <a:bodyPr rot="-5400000" vert="horz"/>
              <a:lstStyle/>
              <a:p>
                <a:pPr>
                  <a:defRPr sz="1600"/>
                </a:pPr>
                <a:r>
                  <a:rPr lang="en-US" sz="16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58359552"/>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1380494544977696"/>
          <c:y val="0.13427957517576222"/>
          <c:w val="0.86950433319193399"/>
          <c:h val="0.74974031800083007"/>
        </c:manualLayout>
      </c:layout>
      <c:lineChart>
        <c:grouping val="standard"/>
        <c:varyColors val="0"/>
        <c:ser>
          <c:idx val="2"/>
          <c:order val="0"/>
          <c:tx>
            <c:strRef>
              <c:f>'Additional Report charts'!$B$199</c:f>
              <c:strCache>
                <c:ptCount val="1"/>
                <c:pt idx="0">
                  <c:v>Global ONU port shipments</c:v>
                </c:pt>
              </c:strCache>
            </c:strRef>
          </c:tx>
          <c:cat>
            <c:numRef>
              <c:f>'Additional Report charts'!$D$196:$X$196</c:f>
              <c:numCache>
                <c:formatCode>General</c:formatCod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numCache>
            </c:numRef>
          </c:cat>
          <c:val>
            <c:numRef>
              <c:f>'Additional Report charts'!$D$199:$X$199</c:f>
              <c:numCache>
                <c:formatCode>_(* #,##0.0_);_(* \(#,##0.0\);_(* "-"??_);_(@_)</c:formatCode>
                <c:ptCount val="21"/>
                <c:pt idx="0">
                  <c:v>8.2080601280896808</c:v>
                </c:pt>
                <c:pt idx="1">
                  <c:v>7.0048540133463595</c:v>
                </c:pt>
                <c:pt idx="2">
                  <c:v>13.555659155341536</c:v>
                </c:pt>
                <c:pt idx="3">
                  <c:v>23.273366314671335</c:v>
                </c:pt>
                <c:pt idx="4">
                  <c:v>48.630160018940536</c:v>
                </c:pt>
                <c:pt idx="5">
                  <c:v>30.49104019248205</c:v>
                </c:pt>
                <c:pt idx="6">
                  <c:v>51.012343618061941</c:v>
                </c:pt>
                <c:pt idx="7">
                  <c:v>92.644190175719586</c:v>
                </c:pt>
                <c:pt idx="8">
                  <c:v>96.220915200000022</c:v>
                </c:pt>
                <c:pt idx="9">
                  <c:v>73.699194631999987</c:v>
                </c:pt>
                <c:pt idx="10">
                  <c:v>87.139066942399992</c:v>
                </c:pt>
                <c:pt idx="11">
                  <c:v>65.601846545668096</c:v>
                </c:pt>
              </c:numCache>
            </c:numRef>
          </c:val>
          <c:smooth val="0"/>
          <c:extLst>
            <c:ext xmlns:c16="http://schemas.microsoft.com/office/drawing/2014/chart" uri="{C3380CC4-5D6E-409C-BE32-E72D297353CC}">
              <c16:uniqueId val="{00000002-DF05-8747-B173-E2528BFE25B0}"/>
            </c:ext>
          </c:extLst>
        </c:ser>
        <c:dLbls>
          <c:showLegendKey val="0"/>
          <c:showVal val="0"/>
          <c:showCatName val="0"/>
          <c:showSerName val="0"/>
          <c:showPercent val="0"/>
          <c:showBubbleSize val="0"/>
        </c:dLbls>
        <c:marker val="1"/>
        <c:smooth val="0"/>
        <c:axId val="158374528"/>
        <c:axId val="158404992"/>
      </c:lineChart>
      <c:catAx>
        <c:axId val="158374528"/>
        <c:scaling>
          <c:orientation val="minMax"/>
        </c:scaling>
        <c:delete val="0"/>
        <c:axPos val="b"/>
        <c:numFmt formatCode="General" sourceLinked="1"/>
        <c:majorTickMark val="out"/>
        <c:minorTickMark val="none"/>
        <c:tickLblPos val="nextTo"/>
        <c:txPr>
          <a:bodyPr/>
          <a:lstStyle/>
          <a:p>
            <a:pPr>
              <a:defRPr sz="1050"/>
            </a:pPr>
            <a:endParaRPr lang="en-US"/>
          </a:p>
        </c:txPr>
        <c:crossAx val="158404992"/>
        <c:crosses val="autoZero"/>
        <c:auto val="1"/>
        <c:lblAlgn val="ctr"/>
        <c:lblOffset val="100"/>
        <c:tickLblSkip val="2"/>
        <c:noMultiLvlLbl val="0"/>
      </c:catAx>
      <c:valAx>
        <c:axId val="158404992"/>
        <c:scaling>
          <c:orientation val="minMax"/>
        </c:scaling>
        <c:delete val="0"/>
        <c:axPos val="l"/>
        <c:majorGridlines/>
        <c:title>
          <c:tx>
            <c:rich>
              <a:bodyPr rot="-5400000" vert="horz"/>
              <a:lstStyle/>
              <a:p>
                <a:pPr>
                  <a:defRPr sz="1200"/>
                </a:pPr>
                <a:r>
                  <a:rPr lang="en-US" sz="1200"/>
                  <a:t>millions</a:t>
                </a:r>
              </a:p>
            </c:rich>
          </c:tx>
          <c:layout>
            <c:manualLayout>
              <c:xMode val="edge"/>
              <c:yMode val="edge"/>
              <c:x val="1.8935613816831381E-2"/>
              <c:y val="0.37106935163554544"/>
            </c:manualLayout>
          </c:layout>
          <c:overlay val="0"/>
        </c:title>
        <c:numFmt formatCode="#,##0" sourceLinked="0"/>
        <c:majorTickMark val="out"/>
        <c:minorTickMark val="none"/>
        <c:tickLblPos val="nextTo"/>
        <c:txPr>
          <a:bodyPr/>
          <a:lstStyle/>
          <a:p>
            <a:pPr>
              <a:defRPr sz="1200"/>
            </a:pPr>
            <a:endParaRPr lang="en-US"/>
          </a:p>
        </c:txPr>
        <c:crossAx val="158374528"/>
        <c:crosses val="autoZero"/>
        <c:crossBetween val="between"/>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25704638017351"/>
          <c:y val="0.11591038388589132"/>
          <c:w val="0.79407089994643665"/>
          <c:h val="0.77532354588369601"/>
        </c:manualLayout>
      </c:layout>
      <c:lineChart>
        <c:grouping val="standard"/>
        <c:varyColors val="0"/>
        <c:ser>
          <c:idx val="0"/>
          <c:order val="0"/>
          <c:tx>
            <c:strRef>
              <c:f>'Additional Report charts'!$B$208</c:f>
              <c:strCache>
                <c:ptCount val="1"/>
                <c:pt idx="0">
                  <c:v>Rest of World</c:v>
                </c:pt>
              </c:strCache>
            </c:strRef>
          </c:tx>
          <c:cat>
            <c:numRef>
              <c:f>'Additional Report charts'!$C$207:$U$207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charts'!$C$208:$U$208</c:f>
              <c:numCache>
                <c:formatCode>_(* #,##0_);_(* \(#,##0\);_(* "-"??_);_(@_)</c:formatCode>
                <c:ptCount val="19"/>
                <c:pt idx="0">
                  <c:v>12369267.23113355</c:v>
                </c:pt>
                <c:pt idx="1">
                  <c:v>16706123.229828592</c:v>
                </c:pt>
                <c:pt idx="2">
                  <c:v>21915782.254107412</c:v>
                </c:pt>
                <c:pt idx="3">
                  <c:v>22589653.369850434</c:v>
                </c:pt>
                <c:pt idx="4">
                  <c:v>27121446.893514648</c:v>
                </c:pt>
                <c:pt idx="5">
                  <c:v>29100701.521674216</c:v>
                </c:pt>
                <c:pt idx="6">
                  <c:v>32067023.855470598</c:v>
                </c:pt>
                <c:pt idx="7">
                  <c:v>27725256.357814707</c:v>
                </c:pt>
                <c:pt idx="8">
                  <c:v>25749587.389839992</c:v>
                </c:pt>
                <c:pt idx="9">
                  <c:v>21814187.485600002</c:v>
                </c:pt>
              </c:numCache>
            </c:numRef>
          </c:val>
          <c:smooth val="0"/>
          <c:extLst>
            <c:ext xmlns:c16="http://schemas.microsoft.com/office/drawing/2014/chart" uri="{C3380CC4-5D6E-409C-BE32-E72D297353CC}">
              <c16:uniqueId val="{00000000-CD24-DC4A-948D-1A8A68A31846}"/>
            </c:ext>
          </c:extLst>
        </c:ser>
        <c:ser>
          <c:idx val="1"/>
          <c:order val="1"/>
          <c:tx>
            <c:strRef>
              <c:f>'Additional Report charts'!$B$209</c:f>
              <c:strCache>
                <c:ptCount val="1"/>
                <c:pt idx="0">
                  <c:v>China</c:v>
                </c:pt>
              </c:strCache>
            </c:strRef>
          </c:tx>
          <c:cat>
            <c:numRef>
              <c:f>'Additional Report charts'!$C$207:$U$207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charts'!$C$209:$U$209</c:f>
              <c:numCache>
                <c:formatCode>_(* #,##0_);_(* \(#,##0\);_(* "-"??_);_(@_)</c:formatCode>
                <c:ptCount val="19"/>
                <c:pt idx="0">
                  <c:v>2315701.9833646622</c:v>
                </c:pt>
                <c:pt idx="1">
                  <c:v>9815216.2041024007</c:v>
                </c:pt>
                <c:pt idx="2">
                  <c:v>30515737.48593707</c:v>
                </c:pt>
                <c:pt idx="3">
                  <c:v>11554037.663990624</c:v>
                </c:pt>
                <c:pt idx="4">
                  <c:v>28445961.28442914</c:v>
                </c:pt>
                <c:pt idx="5">
                  <c:v>69215801.514222041</c:v>
                </c:pt>
                <c:pt idx="6">
                  <c:v>70132891.609235302</c:v>
                </c:pt>
                <c:pt idx="7">
                  <c:v>50127314.850361757</c:v>
                </c:pt>
                <c:pt idx="8">
                  <c:v>66114397.552560002</c:v>
                </c:pt>
                <c:pt idx="9">
                  <c:v>50116894.485600002</c:v>
                </c:pt>
              </c:numCache>
            </c:numRef>
          </c:val>
          <c:smooth val="0"/>
          <c:extLst>
            <c:ext xmlns:c16="http://schemas.microsoft.com/office/drawing/2014/chart" uri="{C3380CC4-5D6E-409C-BE32-E72D297353CC}">
              <c16:uniqueId val="{00000001-CD24-DC4A-948D-1A8A68A31846}"/>
            </c:ext>
          </c:extLst>
        </c:ser>
        <c:ser>
          <c:idx val="2"/>
          <c:order val="2"/>
          <c:tx>
            <c:strRef>
              <c:f>'Additional Report charts'!$B$210</c:f>
              <c:strCache>
                <c:ptCount val="1"/>
                <c:pt idx="0">
                  <c:v>World Total</c:v>
                </c:pt>
              </c:strCache>
            </c:strRef>
          </c:tx>
          <c:cat>
            <c:numRef>
              <c:f>'Additional Report charts'!$C$207:$U$207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charts'!$C$210:$U$210</c:f>
              <c:numCache>
                <c:formatCode>_(* #,##0_);_(* \(#,##0\);_(* "-"??_);_(@_)</c:formatCode>
                <c:ptCount val="19"/>
                <c:pt idx="0">
                  <c:v>14684969.214498213</c:v>
                </c:pt>
                <c:pt idx="1">
                  <c:v>26521339.433930993</c:v>
                </c:pt>
                <c:pt idx="2">
                  <c:v>52431519.740044482</c:v>
                </c:pt>
                <c:pt idx="3">
                  <c:v>34143691.033841059</c:v>
                </c:pt>
                <c:pt idx="4">
                  <c:v>55567408.177943788</c:v>
                </c:pt>
                <c:pt idx="5">
                  <c:v>98316503.035896257</c:v>
                </c:pt>
                <c:pt idx="6">
                  <c:v>102199915.4647059</c:v>
                </c:pt>
                <c:pt idx="7">
                  <c:v>77852571.208176464</c:v>
                </c:pt>
                <c:pt idx="8">
                  <c:v>91863984.942399994</c:v>
                </c:pt>
                <c:pt idx="9">
                  <c:v>71931081.971200004</c:v>
                </c:pt>
              </c:numCache>
            </c:numRef>
          </c:val>
          <c:smooth val="0"/>
          <c:extLst>
            <c:ext xmlns:c16="http://schemas.microsoft.com/office/drawing/2014/chart" uri="{C3380CC4-5D6E-409C-BE32-E72D297353CC}">
              <c16:uniqueId val="{00000002-CD24-DC4A-948D-1A8A68A31846}"/>
            </c:ext>
          </c:extLst>
        </c:ser>
        <c:dLbls>
          <c:showLegendKey val="0"/>
          <c:showVal val="0"/>
          <c:showCatName val="0"/>
          <c:showSerName val="0"/>
          <c:showPercent val="0"/>
          <c:showBubbleSize val="0"/>
        </c:dLbls>
        <c:marker val="1"/>
        <c:smooth val="0"/>
        <c:axId val="158435584"/>
        <c:axId val="158445568"/>
      </c:lineChart>
      <c:catAx>
        <c:axId val="158435584"/>
        <c:scaling>
          <c:orientation val="minMax"/>
        </c:scaling>
        <c:delete val="0"/>
        <c:axPos val="b"/>
        <c:numFmt formatCode="General" sourceLinked="1"/>
        <c:majorTickMark val="out"/>
        <c:minorTickMark val="none"/>
        <c:tickLblPos val="nextTo"/>
        <c:txPr>
          <a:bodyPr/>
          <a:lstStyle/>
          <a:p>
            <a:pPr>
              <a:defRPr sz="1050"/>
            </a:pPr>
            <a:endParaRPr lang="en-US"/>
          </a:p>
        </c:txPr>
        <c:crossAx val="158445568"/>
        <c:crosses val="autoZero"/>
        <c:auto val="1"/>
        <c:lblAlgn val="ctr"/>
        <c:lblOffset val="100"/>
        <c:tickLblSkip val="2"/>
        <c:noMultiLvlLbl val="0"/>
      </c:catAx>
      <c:valAx>
        <c:axId val="158445568"/>
        <c:scaling>
          <c:orientation val="minMax"/>
        </c:scaling>
        <c:delete val="0"/>
        <c:axPos val="l"/>
        <c:majorGridlines/>
        <c:title>
          <c:tx>
            <c:rich>
              <a:bodyPr rot="-5400000" vert="horz"/>
              <a:lstStyle/>
              <a:p>
                <a:pPr>
                  <a:defRPr sz="1200"/>
                </a:pPr>
                <a:r>
                  <a:rPr lang="en-US" sz="1200"/>
                  <a:t>Annual shipments</a:t>
                </a:r>
              </a:p>
            </c:rich>
          </c:tx>
          <c:overlay val="0"/>
        </c:title>
        <c:numFmt formatCode="_(* #,##0_);_(* \(#,##0\);_(* &quot;-&quot;??_);_(@_)" sourceLinked="1"/>
        <c:majorTickMark val="out"/>
        <c:minorTickMark val="none"/>
        <c:tickLblPos val="nextTo"/>
        <c:txPr>
          <a:bodyPr/>
          <a:lstStyle/>
          <a:p>
            <a:pPr>
              <a:defRPr sz="1200"/>
            </a:pPr>
            <a:endParaRPr lang="en-US"/>
          </a:p>
        </c:txPr>
        <c:crossAx val="158435584"/>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Report charts'!$B$234</c:f>
              <c:strCache>
                <c:ptCount val="1"/>
                <c:pt idx="0">
                  <c:v>All other</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charts'!$C$234:$M$234</c:f>
              <c:numCache>
                <c:formatCode>_("$"* #,##0_);_("$"* \(#,##0\);_("$"* "-"??_);_(@_)</c:formatCode>
                <c:ptCount val="11"/>
                <c:pt idx="0">
                  <c:v>464.70328129693621</c:v>
                </c:pt>
                <c:pt idx="1">
                  <c:v>340.91913960044269</c:v>
                </c:pt>
                <c:pt idx="2">
                  <c:v>265.28878357054845</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5CF-C24C-95A0-33C17F1108D7}"/>
            </c:ext>
          </c:extLst>
        </c:ser>
        <c:ser>
          <c:idx val="1"/>
          <c:order val="1"/>
          <c:tx>
            <c:strRef>
              <c:f>'Additional Report charts'!$B$235</c:f>
              <c:strCache>
                <c:ptCount val="1"/>
                <c:pt idx="0">
                  <c:v>10G PON</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charts'!$C$235:$M$235</c:f>
              <c:numCache>
                <c:formatCode>_("$"* #,##0_);_("$"* \(#,##0\);_("$"* "-"??_);_(@_)</c:formatCode>
                <c:ptCount val="11"/>
                <c:pt idx="0">
                  <c:v>177.16118277626254</c:v>
                </c:pt>
                <c:pt idx="1">
                  <c:v>240.88624230991547</c:v>
                </c:pt>
                <c:pt idx="2">
                  <c:v>337.29472763209816</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5CF-C24C-95A0-33C17F1108D7}"/>
            </c:ext>
          </c:extLst>
        </c:ser>
        <c:ser>
          <c:idx val="2"/>
          <c:order val="2"/>
          <c:tx>
            <c:strRef>
              <c:f>'Additional Report charts'!$B$236</c:f>
              <c:strCache>
                <c:ptCount val="1"/>
                <c:pt idx="0">
                  <c:v>25G PON</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charts'!$C$236:$M$236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5CF-C24C-95A0-33C17F1108D7}"/>
            </c:ext>
          </c:extLst>
        </c:ser>
        <c:ser>
          <c:idx val="3"/>
          <c:order val="3"/>
          <c:tx>
            <c:strRef>
              <c:f>'Additional Report charts'!$B$237</c:f>
              <c:strCache>
                <c:ptCount val="1"/>
                <c:pt idx="0">
                  <c:v>50G PON</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charts'!$C$237:$M$237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835-4D36-B01E-02A9B7472ECB}"/>
            </c:ext>
          </c:extLst>
        </c:ser>
        <c:dLbls>
          <c:showLegendKey val="0"/>
          <c:showVal val="0"/>
          <c:showCatName val="0"/>
          <c:showSerName val="0"/>
          <c:showPercent val="0"/>
          <c:showBubbleSize val="0"/>
        </c:dLbls>
        <c:gapWidth val="150"/>
        <c:overlap val="100"/>
        <c:axId val="158485888"/>
        <c:axId val="158491776"/>
      </c:barChart>
      <c:catAx>
        <c:axId val="158485888"/>
        <c:scaling>
          <c:orientation val="minMax"/>
        </c:scaling>
        <c:delete val="0"/>
        <c:axPos val="b"/>
        <c:numFmt formatCode="General" sourceLinked="1"/>
        <c:majorTickMark val="out"/>
        <c:minorTickMark val="none"/>
        <c:tickLblPos val="nextTo"/>
        <c:txPr>
          <a:bodyPr/>
          <a:lstStyle/>
          <a:p>
            <a:pPr>
              <a:defRPr sz="1200"/>
            </a:pPr>
            <a:endParaRPr lang="en-US"/>
          </a:p>
        </c:txPr>
        <c:crossAx val="158491776"/>
        <c:crosses val="autoZero"/>
        <c:auto val="1"/>
        <c:lblAlgn val="ctr"/>
        <c:lblOffset val="100"/>
        <c:noMultiLvlLbl val="0"/>
      </c:catAx>
      <c:valAx>
        <c:axId val="158491776"/>
        <c:scaling>
          <c:orientation val="minMax"/>
          <c:max val="1200"/>
        </c:scaling>
        <c:delete val="0"/>
        <c:axPos val="l"/>
        <c:majorGridlines/>
        <c:title>
          <c:tx>
            <c:rich>
              <a:bodyPr rot="-5400000" vert="horz"/>
              <a:lstStyle/>
              <a:p>
                <a:pPr>
                  <a:defRPr sz="1200"/>
                </a:pPr>
                <a:r>
                  <a:rPr lang="en-US" sz="1200"/>
                  <a:t>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158485888"/>
        <c:crosses val="autoZero"/>
        <c:crossBetween val="between"/>
      </c:valAx>
    </c:plotArea>
    <c:legend>
      <c:legendPos val="t"/>
      <c:layout>
        <c:manualLayout>
          <c:xMode val="edge"/>
          <c:yMode val="edge"/>
          <c:x val="0.19394197493466148"/>
          <c:y val="2.4333712922223451E-2"/>
          <c:w val="0.66324779883898954"/>
          <c:h val="9.1780781314837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72900912138459"/>
          <c:y val="0.18146333588310939"/>
          <c:w val="0.8361920948000312"/>
          <c:h val="0.70831566504811316"/>
        </c:manualLayout>
      </c:layout>
      <c:lineChart>
        <c:grouping val="standard"/>
        <c:varyColors val="0"/>
        <c:ser>
          <c:idx val="0"/>
          <c:order val="0"/>
          <c:tx>
            <c:strRef>
              <c:f>'Additional Report charts'!$B$261</c:f>
              <c:strCache>
                <c:ptCount val="1"/>
                <c:pt idx="0">
                  <c:v>5G</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charts'!$C$261:$S$261</c:f>
              <c:numCache>
                <c:formatCode>_(* #,##0_);_(* \(#,##0\);_(* "-"??_);_(@_)</c:formatCode>
                <c:ptCount val="17"/>
                <c:pt idx="4">
                  <c:v>0</c:v>
                </c:pt>
                <c:pt idx="5">
                  <c:v>0</c:v>
                </c:pt>
                <c:pt idx="6">
                  <c:v>0.19</c:v>
                </c:pt>
                <c:pt idx="7">
                  <c:v>12.717000000000001</c:v>
                </c:pt>
              </c:numCache>
            </c:numRef>
          </c:val>
          <c:smooth val="0"/>
          <c:extLst>
            <c:ext xmlns:c16="http://schemas.microsoft.com/office/drawing/2014/chart" uri="{C3380CC4-5D6E-409C-BE32-E72D297353CC}">
              <c16:uniqueId val="{00000000-C4CE-0041-8B21-C0674A551100}"/>
            </c:ext>
          </c:extLst>
        </c:ser>
        <c:ser>
          <c:idx val="1"/>
          <c:order val="1"/>
          <c:tx>
            <c:strRef>
              <c:f>'Additional Report charts'!$B$262</c:f>
              <c:strCache>
                <c:ptCount val="1"/>
                <c:pt idx="0">
                  <c:v>LTE</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charts'!$C$262:$S$262</c:f>
              <c:numCache>
                <c:formatCode>_(* #,##0_);_(* \(#,##0\);_(* "-"??_);_(@_)</c:formatCode>
                <c:ptCount val="17"/>
                <c:pt idx="0">
                  <c:v>71.798000000000002</c:v>
                </c:pt>
                <c:pt idx="1">
                  <c:v>195.976</c:v>
                </c:pt>
                <c:pt idx="2">
                  <c:v>518.22699999999998</c:v>
                </c:pt>
                <c:pt idx="3">
                  <c:v>1131.857</c:v>
                </c:pt>
                <c:pt idx="4">
                  <c:v>1962.6990000000001</c:v>
                </c:pt>
                <c:pt idx="5">
                  <c:v>2770.85</c:v>
                </c:pt>
                <c:pt idx="6">
                  <c:v>3566.0250000000001</c:v>
                </c:pt>
                <c:pt idx="7">
                  <c:v>4323.2420000000002</c:v>
                </c:pt>
              </c:numCache>
            </c:numRef>
          </c:val>
          <c:smooth val="0"/>
          <c:extLst>
            <c:ext xmlns:c16="http://schemas.microsoft.com/office/drawing/2014/chart" uri="{C3380CC4-5D6E-409C-BE32-E72D297353CC}">
              <c16:uniqueId val="{00000001-C4CE-0041-8B21-C0674A551100}"/>
            </c:ext>
          </c:extLst>
        </c:ser>
        <c:ser>
          <c:idx val="2"/>
          <c:order val="2"/>
          <c:tx>
            <c:strRef>
              <c:f>'Additional Report charts'!$B$263</c:f>
              <c:strCache>
                <c:ptCount val="1"/>
                <c:pt idx="0">
                  <c:v>Mobile broadband total</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charts'!$C$263:$S$263</c:f>
              <c:numCache>
                <c:formatCode>_(* #,##0_);_(* \(#,##0\);_(* "-"??_);_(@_)</c:formatCode>
                <c:ptCount val="17"/>
                <c:pt idx="0">
                  <c:v>1315.213</c:v>
                </c:pt>
                <c:pt idx="1">
                  <c:v>1759.2890000000002</c:v>
                </c:pt>
                <c:pt idx="2">
                  <c:v>2363.0050000000001</c:v>
                </c:pt>
                <c:pt idx="3">
                  <c:v>3201.634</c:v>
                </c:pt>
                <c:pt idx="4">
                  <c:v>4135.7569999999996</c:v>
                </c:pt>
                <c:pt idx="5">
                  <c:v>4924.0509999999995</c:v>
                </c:pt>
                <c:pt idx="6">
                  <c:v>5511.1450000000004</c:v>
                </c:pt>
                <c:pt idx="7">
                  <c:v>6122.2829999999994</c:v>
                </c:pt>
              </c:numCache>
            </c:numRef>
          </c:val>
          <c:smooth val="0"/>
          <c:extLst>
            <c:ext xmlns:c16="http://schemas.microsoft.com/office/drawing/2014/chart" uri="{C3380CC4-5D6E-409C-BE32-E72D297353CC}">
              <c16:uniqueId val="{00000000-E111-4CB0-9656-D452EACB43D7}"/>
            </c:ext>
          </c:extLst>
        </c:ser>
        <c:ser>
          <c:idx val="3"/>
          <c:order val="3"/>
          <c:tx>
            <c:strRef>
              <c:f>'Additional Report charts'!$B$264</c:f>
              <c:strCache>
                <c:ptCount val="1"/>
                <c:pt idx="0">
                  <c:v>Total mobile connections</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charts'!$C$264:$S$264</c:f>
              <c:numCache>
                <c:formatCode>_(* #,##0_);_(* \(#,##0\);_(* "-"??_);_(@_)</c:formatCode>
                <c:ptCount val="17"/>
                <c:pt idx="0">
                  <c:v>6297.7549999999992</c:v>
                </c:pt>
                <c:pt idx="1">
                  <c:v>6621.3940000000011</c:v>
                </c:pt>
                <c:pt idx="2">
                  <c:v>7021.4089999999997</c:v>
                </c:pt>
                <c:pt idx="3">
                  <c:v>7238.3910000000005</c:v>
                </c:pt>
                <c:pt idx="4">
                  <c:v>7361.5069999999996</c:v>
                </c:pt>
                <c:pt idx="5">
                  <c:v>7579.1399999999994</c:v>
                </c:pt>
                <c:pt idx="6">
                  <c:v>7656.3149999999996</c:v>
                </c:pt>
                <c:pt idx="7">
                  <c:v>7911.1839999999993</c:v>
                </c:pt>
              </c:numCache>
            </c:numRef>
          </c:val>
          <c:smooth val="0"/>
          <c:extLst>
            <c:ext xmlns:c16="http://schemas.microsoft.com/office/drawing/2014/chart" uri="{C3380CC4-5D6E-409C-BE32-E72D297353CC}">
              <c16:uniqueId val="{00000001-E111-4CB0-9656-D452EACB43D7}"/>
            </c:ext>
          </c:extLst>
        </c:ser>
        <c:dLbls>
          <c:showLegendKey val="0"/>
          <c:showVal val="0"/>
          <c:showCatName val="0"/>
          <c:showSerName val="0"/>
          <c:showPercent val="0"/>
          <c:showBubbleSize val="0"/>
        </c:dLbls>
        <c:marker val="1"/>
        <c:smooth val="0"/>
        <c:axId val="158527872"/>
        <c:axId val="158529408"/>
      </c:lineChart>
      <c:catAx>
        <c:axId val="158527872"/>
        <c:scaling>
          <c:orientation val="minMax"/>
        </c:scaling>
        <c:delete val="0"/>
        <c:axPos val="b"/>
        <c:numFmt formatCode="General" sourceLinked="1"/>
        <c:majorTickMark val="out"/>
        <c:minorTickMark val="none"/>
        <c:tickLblPos val="nextTo"/>
        <c:txPr>
          <a:bodyPr/>
          <a:lstStyle/>
          <a:p>
            <a:pPr>
              <a:defRPr sz="1100"/>
            </a:pPr>
            <a:endParaRPr lang="en-US"/>
          </a:p>
        </c:txPr>
        <c:crossAx val="158529408"/>
        <c:crosses val="autoZero"/>
        <c:auto val="1"/>
        <c:lblAlgn val="ctr"/>
        <c:lblOffset val="100"/>
        <c:noMultiLvlLbl val="0"/>
      </c:catAx>
      <c:valAx>
        <c:axId val="158529408"/>
        <c:scaling>
          <c:orientation val="minMax"/>
        </c:scaling>
        <c:delete val="0"/>
        <c:axPos val="l"/>
        <c:majorGridlines/>
        <c:title>
          <c:tx>
            <c:rich>
              <a:bodyPr rot="-5400000" vert="horz"/>
              <a:lstStyle/>
              <a:p>
                <a:pPr>
                  <a:defRPr sz="1200"/>
                </a:pPr>
                <a:r>
                  <a:rPr lang="en-US" sz="1200"/>
                  <a:t>mobile connections, millions</a:t>
                </a:r>
              </a:p>
            </c:rich>
          </c:tx>
          <c:layout>
            <c:manualLayout>
              <c:xMode val="edge"/>
              <c:yMode val="edge"/>
              <c:x val="1.3278085288843847E-2"/>
              <c:y val="0.17956903928318635"/>
            </c:manualLayout>
          </c:layout>
          <c:overlay val="0"/>
        </c:title>
        <c:numFmt formatCode="_(* #,##0_);_(* \(#,##0\);_(* &quot;-&quot;??_);_(@_)" sourceLinked="1"/>
        <c:majorTickMark val="out"/>
        <c:minorTickMark val="none"/>
        <c:tickLblPos val="nextTo"/>
        <c:txPr>
          <a:bodyPr/>
          <a:lstStyle/>
          <a:p>
            <a:pPr>
              <a:defRPr sz="1200"/>
            </a:pPr>
            <a:endParaRPr lang="en-US"/>
          </a:p>
        </c:txPr>
        <c:crossAx val="158527872"/>
        <c:crosses val="autoZero"/>
        <c:crossBetween val="between"/>
      </c:valAx>
    </c:plotArea>
    <c:legend>
      <c:legendPos val="t"/>
      <c:layout>
        <c:manualLayout>
          <c:xMode val="edge"/>
          <c:yMode val="edge"/>
          <c:x val="9.5350284771715792E-3"/>
          <c:y val="2.7559059389772985E-2"/>
          <c:w val="0.97895365846067661"/>
          <c:h val="9.4176394616797068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0856691033437"/>
          <c:y val="0.1334850222629512"/>
          <c:w val="0.87732907508421798"/>
          <c:h val="0.73788294517392272"/>
        </c:manualLayout>
      </c:layout>
      <c:lineChart>
        <c:grouping val="standard"/>
        <c:varyColors val="0"/>
        <c:ser>
          <c:idx val="0"/>
          <c:order val="0"/>
          <c:tx>
            <c:strRef>
              <c:f>'Additional Report charts'!$B$373</c:f>
              <c:strCache>
                <c:ptCount val="1"/>
                <c:pt idx="0">
                  <c:v>Global mobile traffic</c:v>
                </c:pt>
              </c:strCache>
            </c:strRef>
          </c:tx>
          <c:cat>
            <c:numRef>
              <c:f>'Additional Report charts'!$C$372:$T$372</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'Additional Report charts'!$C$373:$T$373</c:f>
              <c:numCache>
                <c:formatCode>0%</c:formatCode>
                <c:ptCount val="18"/>
                <c:pt idx="1">
                  <c:v>1.6523605150214595</c:v>
                </c:pt>
                <c:pt idx="2">
                  <c:v>1.3106796116504853</c:v>
                </c:pt>
                <c:pt idx="3">
                  <c:v>0.75280112044817948</c:v>
                </c:pt>
                <c:pt idx="4">
                  <c:v>0.68118258090291639</c:v>
                </c:pt>
                <c:pt idx="5">
                  <c:v>0.62024714828897354</c:v>
                </c:pt>
                <c:pt idx="6">
                  <c:v>0.58668231152830752</c:v>
                </c:pt>
                <c:pt idx="7">
                  <c:v>1.057589203179885</c:v>
                </c:pt>
                <c:pt idx="8">
                  <c:v>0.50712071521631685</c:v>
                </c:pt>
              </c:numCache>
            </c:numRef>
          </c:val>
          <c:smooth val="0"/>
          <c:extLst>
            <c:ext xmlns:c16="http://schemas.microsoft.com/office/drawing/2014/chart" uri="{C3380CC4-5D6E-409C-BE32-E72D297353CC}">
              <c16:uniqueId val="{00000000-3ED8-CC40-833C-FAB0CA8B7F44}"/>
            </c:ext>
          </c:extLst>
        </c:ser>
        <c:ser>
          <c:idx val="1"/>
          <c:order val="1"/>
          <c:tx>
            <c:strRef>
              <c:f>'Additional Report charts'!$B$374</c:f>
              <c:strCache>
                <c:ptCount val="1"/>
                <c:pt idx="0">
                  <c:v>Internet traffic (all)</c:v>
                </c:pt>
              </c:strCache>
            </c:strRef>
          </c:tx>
          <c:cat>
            <c:numRef>
              <c:f>'Additional Report charts'!$C$372:$T$372</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'Additional Report charts'!$C$374:$T$374</c:f>
              <c:numCache>
                <c:formatCode>0%</c:formatCode>
                <c:ptCount val="18"/>
                <c:pt idx="0">
                  <c:v>0.38</c:v>
                </c:pt>
                <c:pt idx="1">
                  <c:v>0.37</c:v>
                </c:pt>
                <c:pt idx="2">
                  <c:v>0.36</c:v>
                </c:pt>
                <c:pt idx="3">
                  <c:v>0.35</c:v>
                </c:pt>
                <c:pt idx="4">
                  <c:v>0.33</c:v>
                </c:pt>
                <c:pt idx="5">
                  <c:v>0.31</c:v>
                </c:pt>
                <c:pt idx="6">
                  <c:v>0.3</c:v>
                </c:pt>
                <c:pt idx="7">
                  <c:v>0.28999999999999998</c:v>
                </c:pt>
                <c:pt idx="8">
                  <c:v>0.28999999999999998</c:v>
                </c:pt>
              </c:numCache>
            </c:numRef>
          </c:val>
          <c:smooth val="0"/>
          <c:extLst>
            <c:ext xmlns:c16="http://schemas.microsoft.com/office/drawing/2014/chart" uri="{C3380CC4-5D6E-409C-BE32-E72D297353CC}">
              <c16:uniqueId val="{00000001-3ED8-CC40-833C-FAB0CA8B7F44}"/>
            </c:ext>
          </c:extLst>
        </c:ser>
        <c:ser>
          <c:idx val="2"/>
          <c:order val="2"/>
          <c:tx>
            <c:strRef>
              <c:f>'Additional Report charts'!$B$375</c:f>
              <c:strCache>
                <c:ptCount val="1"/>
                <c:pt idx="0">
                  <c:v>China mobile data</c:v>
                </c:pt>
              </c:strCache>
            </c:strRef>
          </c:tx>
          <c:cat>
            <c:numRef>
              <c:f>'Additional Report charts'!$C$372:$T$372</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'Additional Report charts'!$C$375:$R$375</c:f>
              <c:numCache>
                <c:formatCode>0%</c:formatCode>
                <c:ptCount val="16"/>
                <c:pt idx="0">
                  <c:v>0.35424178685897445</c:v>
                </c:pt>
                <c:pt idx="1">
                  <c:v>0.62576040530296018</c:v>
                </c:pt>
                <c:pt idx="2">
                  <c:v>0.50283192684757627</c:v>
                </c:pt>
                <c:pt idx="3">
                  <c:v>0.56072439419394882</c:v>
                </c:pt>
                <c:pt idx="4">
                  <c:v>1.0301506563028835</c:v>
                </c:pt>
                <c:pt idx="5">
                  <c:v>1.2358889844272474</c:v>
                </c:pt>
                <c:pt idx="6">
                  <c:v>1.4714063104828412</c:v>
                </c:pt>
                <c:pt idx="7">
                  <c:v>0.91913871694967275</c:v>
                </c:pt>
                <c:pt idx="8">
                  <c:v>0.5</c:v>
                </c:pt>
              </c:numCache>
            </c:numRef>
          </c:val>
          <c:smooth val="0"/>
          <c:extLst>
            <c:ext xmlns:c16="http://schemas.microsoft.com/office/drawing/2014/chart" uri="{C3380CC4-5D6E-409C-BE32-E72D297353CC}">
              <c16:uniqueId val="{00000002-3ED8-CC40-833C-FAB0CA8B7F44}"/>
            </c:ext>
          </c:extLst>
        </c:ser>
        <c:dLbls>
          <c:showLegendKey val="0"/>
          <c:showVal val="0"/>
          <c:showCatName val="0"/>
          <c:showSerName val="0"/>
          <c:showPercent val="0"/>
          <c:showBubbleSize val="0"/>
        </c:dLbls>
        <c:marker val="1"/>
        <c:smooth val="0"/>
        <c:axId val="158561024"/>
        <c:axId val="158562560"/>
      </c:lineChart>
      <c:catAx>
        <c:axId val="158561024"/>
        <c:scaling>
          <c:orientation val="minMax"/>
        </c:scaling>
        <c:delete val="0"/>
        <c:axPos val="b"/>
        <c:numFmt formatCode="General" sourceLinked="1"/>
        <c:majorTickMark val="out"/>
        <c:minorTickMark val="none"/>
        <c:tickLblPos val="nextTo"/>
        <c:txPr>
          <a:bodyPr/>
          <a:lstStyle/>
          <a:p>
            <a:pPr>
              <a:defRPr sz="1100" b="0"/>
            </a:pPr>
            <a:endParaRPr lang="en-US"/>
          </a:p>
        </c:txPr>
        <c:crossAx val="158562560"/>
        <c:crosses val="autoZero"/>
        <c:auto val="1"/>
        <c:lblAlgn val="ctr"/>
        <c:lblOffset val="100"/>
        <c:noMultiLvlLbl val="0"/>
      </c:catAx>
      <c:valAx>
        <c:axId val="158562560"/>
        <c:scaling>
          <c:orientation val="minMax"/>
        </c:scaling>
        <c:delete val="0"/>
        <c:axPos val="l"/>
        <c:majorGridlines/>
        <c:numFmt formatCode="0%" sourceLinked="1"/>
        <c:majorTickMark val="out"/>
        <c:minorTickMark val="none"/>
        <c:tickLblPos val="nextTo"/>
        <c:txPr>
          <a:bodyPr/>
          <a:lstStyle/>
          <a:p>
            <a:pPr>
              <a:defRPr sz="1200"/>
            </a:pPr>
            <a:endParaRPr lang="en-US"/>
          </a:p>
        </c:txPr>
        <c:crossAx val="158561024"/>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rendline>
            <c:trendlineType val="linear"/>
            <c:dispRSqr val="0"/>
            <c:dispEq val="0"/>
          </c:trendline>
          <c:cat>
            <c:strRef>
              <c:f>'Additional Report charts'!$D$99:$P$99</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2023E</c:v>
                </c:pt>
              </c:strCache>
            </c:strRef>
          </c:cat>
          <c:val>
            <c:numRef>
              <c:f>'Additional Report charts'!$D$101:$P$101</c:f>
              <c:numCache>
                <c:formatCode>0%</c:formatCode>
                <c:ptCount val="13"/>
                <c:pt idx="0">
                  <c:v>0.27762198386358072</c:v>
                </c:pt>
                <c:pt idx="1">
                  <c:v>0.57183161746854094</c:v>
                </c:pt>
                <c:pt idx="2">
                  <c:v>0.25543689697394134</c:v>
                </c:pt>
                <c:pt idx="3">
                  <c:v>0.30188488620873599</c:v>
                </c:pt>
                <c:pt idx="4">
                  <c:v>9.4890861397093795E-2</c:v>
                </c:pt>
                <c:pt idx="5">
                  <c:v>0.20174360895507482</c:v>
                </c:pt>
                <c:pt idx="6">
                  <c:v>0.23415224780358779</c:v>
                </c:pt>
                <c:pt idx="7">
                  <c:v>0.52317267922364086</c:v>
                </c:pt>
              </c:numCache>
            </c:numRef>
          </c:val>
          <c:smooth val="0"/>
          <c:extLst>
            <c:ext xmlns:c16="http://schemas.microsoft.com/office/drawing/2014/chart" uri="{C3380CC4-5D6E-409C-BE32-E72D297353CC}">
              <c16:uniqueId val="{00000001-5145-A74C-8ACA-ED900D7FE7F0}"/>
            </c:ext>
          </c:extLst>
        </c:ser>
        <c:dLbls>
          <c:showLegendKey val="0"/>
          <c:showVal val="0"/>
          <c:showCatName val="0"/>
          <c:showSerName val="0"/>
          <c:showPercent val="0"/>
          <c:showBubbleSize val="0"/>
        </c:dLbls>
        <c:marker val="1"/>
        <c:smooth val="0"/>
        <c:axId val="158608384"/>
        <c:axId val="158610176"/>
      </c:lineChart>
      <c:catAx>
        <c:axId val="158608384"/>
        <c:scaling>
          <c:orientation val="minMax"/>
        </c:scaling>
        <c:delete val="0"/>
        <c:axPos val="b"/>
        <c:numFmt formatCode="General" sourceLinked="0"/>
        <c:majorTickMark val="out"/>
        <c:minorTickMark val="none"/>
        <c:tickLblPos val="nextTo"/>
        <c:crossAx val="158610176"/>
        <c:crosses val="autoZero"/>
        <c:auto val="1"/>
        <c:lblAlgn val="ctr"/>
        <c:lblOffset val="100"/>
        <c:noMultiLvlLbl val="0"/>
      </c:catAx>
      <c:valAx>
        <c:axId val="158610176"/>
        <c:scaling>
          <c:orientation val="minMax"/>
        </c:scaling>
        <c:delete val="0"/>
        <c:axPos val="l"/>
        <c:majorGridlines/>
        <c:numFmt formatCode="0%" sourceLinked="1"/>
        <c:majorTickMark val="out"/>
        <c:minorTickMark val="none"/>
        <c:tickLblPos val="nextTo"/>
        <c:crossAx val="15860838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84691211433428"/>
          <c:y val="0.13335173844010201"/>
          <c:w val="0.73403145593501518"/>
          <c:h val="0.74691111759178297"/>
        </c:manualLayout>
      </c:layout>
      <c:lineChart>
        <c:grouping val="standard"/>
        <c:varyColors val="0"/>
        <c:ser>
          <c:idx val="0"/>
          <c:order val="0"/>
          <c:tx>
            <c:strRef>
              <c:f>Summary!$B$61</c:f>
              <c:strCache>
                <c:ptCount val="1"/>
                <c:pt idx="0">
                  <c:v>CWDM / DWDM</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Summary!$C$61:$M$61</c:f>
              <c:numCache>
                <c:formatCode>_(* #,##0_);_(* \(#,##0\);_(* "-"??_);_(@_)</c:formatCode>
                <c:ptCount val="11"/>
                <c:pt idx="0">
                  <c:v>1281197</c:v>
                </c:pt>
                <c:pt idx="1">
                  <c:v>1540857</c:v>
                </c:pt>
              </c:numCache>
            </c:numRef>
          </c:val>
          <c:smooth val="1"/>
          <c:extLst>
            <c:ext xmlns:c16="http://schemas.microsoft.com/office/drawing/2014/chart" uri="{C3380CC4-5D6E-409C-BE32-E72D297353CC}">
              <c16:uniqueId val="{00000000-39E6-7E44-B16E-1E17CA747810}"/>
            </c:ext>
          </c:extLst>
        </c:ser>
        <c:ser>
          <c:idx val="5"/>
          <c:order val="1"/>
          <c:tx>
            <c:strRef>
              <c:f>Summary!$B$62</c:f>
              <c:strCache>
                <c:ptCount val="1"/>
                <c:pt idx="0">
                  <c:v>Wireless Fronthaul</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Summary!$C$62:$M$62</c:f>
              <c:numCache>
                <c:formatCode>_(* #,##0_);_(* \(#,##0\);_(* "-"??_);_(@_)</c:formatCode>
                <c:ptCount val="11"/>
                <c:pt idx="0">
                  <c:v>16464669.061662231</c:v>
                </c:pt>
                <c:pt idx="1">
                  <c:v>32336900.96652998</c:v>
                </c:pt>
              </c:numCache>
            </c:numRef>
          </c:val>
          <c:smooth val="1"/>
          <c:extLst>
            <c:ext xmlns:c16="http://schemas.microsoft.com/office/drawing/2014/chart" uri="{C3380CC4-5D6E-409C-BE32-E72D297353CC}">
              <c16:uniqueId val="{00000001-39E6-7E44-B16E-1E17CA747810}"/>
            </c:ext>
          </c:extLst>
        </c:ser>
        <c:ser>
          <c:idx val="1"/>
          <c:order val="2"/>
          <c:tx>
            <c:strRef>
              <c:f>Summary!$B$63</c:f>
              <c:strCache>
                <c:ptCount val="1"/>
                <c:pt idx="0">
                  <c:v>Wireless Backhaul</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Summary!$C$63:$M$63</c:f>
              <c:numCache>
                <c:formatCode>_(* #,##0_);_(* \(#,##0\);_(* "-"??_);_(@_)</c:formatCode>
                <c:ptCount val="11"/>
                <c:pt idx="0">
                  <c:v>1389737.6923076923</c:v>
                </c:pt>
                <c:pt idx="1">
                  <c:v>2286250.3877272741</c:v>
                </c:pt>
              </c:numCache>
            </c:numRef>
          </c:val>
          <c:smooth val="0"/>
          <c:extLst>
            <c:ext xmlns:c16="http://schemas.microsoft.com/office/drawing/2014/chart" uri="{C3380CC4-5D6E-409C-BE32-E72D297353CC}">
              <c16:uniqueId val="{00000000-87D8-E44C-9CA6-5BA2CFA8A922}"/>
            </c:ext>
          </c:extLst>
        </c:ser>
        <c:ser>
          <c:idx val="4"/>
          <c:order val="3"/>
          <c:tx>
            <c:strRef>
              <c:f>Summary!$B$64</c:f>
              <c:strCache>
                <c:ptCount val="1"/>
                <c:pt idx="0">
                  <c:v>FTTx</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Summary!$C$64:$M$64</c:f>
              <c:numCache>
                <c:formatCode>_(* #,##0_);_(* \(#,##0\);_(* "-"??_);_(@_)</c:formatCode>
                <c:ptCount val="11"/>
                <c:pt idx="0">
                  <c:v>92056484.942399994</c:v>
                </c:pt>
                <c:pt idx="1">
                  <c:v>72316081.971200004</c:v>
                </c:pt>
              </c:numCache>
            </c:numRef>
          </c:val>
          <c:smooth val="1"/>
          <c:extLst>
            <c:ext xmlns:c16="http://schemas.microsoft.com/office/drawing/2014/chart" uri="{C3380CC4-5D6E-409C-BE32-E72D297353CC}">
              <c16:uniqueId val="{00000002-39E6-7E44-B16E-1E17CA747810}"/>
            </c:ext>
          </c:extLst>
        </c:ser>
        <c:dLbls>
          <c:showLegendKey val="0"/>
          <c:showVal val="0"/>
          <c:showCatName val="0"/>
          <c:showSerName val="0"/>
          <c:showPercent val="0"/>
          <c:showBubbleSize val="0"/>
        </c:dLbls>
        <c:marker val="1"/>
        <c:smooth val="0"/>
        <c:axId val="150678528"/>
        <c:axId val="150704896"/>
      </c:lineChart>
      <c:catAx>
        <c:axId val="150678528"/>
        <c:scaling>
          <c:orientation val="minMax"/>
        </c:scaling>
        <c:delete val="0"/>
        <c:axPos val="b"/>
        <c:numFmt formatCode="General" sourceLinked="1"/>
        <c:majorTickMark val="out"/>
        <c:minorTickMark val="none"/>
        <c:tickLblPos val="nextTo"/>
        <c:txPr>
          <a:bodyPr/>
          <a:lstStyle/>
          <a:p>
            <a:pPr>
              <a:defRPr sz="1200" b="0"/>
            </a:pPr>
            <a:endParaRPr lang="en-US"/>
          </a:p>
        </c:txPr>
        <c:crossAx val="150704896"/>
        <c:crosses val="autoZero"/>
        <c:auto val="1"/>
        <c:lblAlgn val="ctr"/>
        <c:lblOffset val="100"/>
        <c:noMultiLvlLbl val="1"/>
      </c:catAx>
      <c:valAx>
        <c:axId val="150704896"/>
        <c:scaling>
          <c:orientation val="minMax"/>
          <c:min val="0"/>
        </c:scaling>
        <c:delete val="0"/>
        <c:axPos val="l"/>
        <c:majorGridlines/>
        <c:title>
          <c:tx>
            <c:rich>
              <a:bodyPr rot="-5400000" vert="horz"/>
              <a:lstStyle/>
              <a:p>
                <a:pPr>
                  <a:defRPr sz="1400"/>
                </a:pPr>
                <a:r>
                  <a:rPr lang="en-US" sz="1400"/>
                  <a:t>Shipments</a:t>
                </a:r>
              </a:p>
            </c:rich>
          </c:tx>
          <c:layout>
            <c:manualLayout>
              <c:xMode val="edge"/>
              <c:yMode val="edge"/>
              <c:x val="7.8325644186591093E-3"/>
              <c:y val="0.34710990293001093"/>
            </c:manualLayout>
          </c:layout>
          <c:overlay val="0"/>
        </c:title>
        <c:numFmt formatCode="#,##0" sourceLinked="0"/>
        <c:majorTickMark val="out"/>
        <c:minorTickMark val="none"/>
        <c:tickLblPos val="nextTo"/>
        <c:txPr>
          <a:bodyPr/>
          <a:lstStyle/>
          <a:p>
            <a:pPr>
              <a:defRPr sz="1200" b="0"/>
            </a:pPr>
            <a:endParaRPr lang="en-US"/>
          </a:p>
        </c:txPr>
        <c:crossAx val="150678528"/>
        <c:crosses val="autoZero"/>
        <c:crossBetween val="between"/>
      </c:valAx>
    </c:plotArea>
    <c:legend>
      <c:legendPos val="t"/>
      <c:layout>
        <c:manualLayout>
          <c:xMode val="edge"/>
          <c:yMode val="edge"/>
          <c:x val="9.8160577446019276E-2"/>
          <c:y val="0"/>
          <c:w val="0.89999990519580697"/>
          <c:h val="0.13901468501091774"/>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29483814523"/>
          <c:y val="5.1400554097404488E-2"/>
          <c:w val="0.84762357830271218"/>
          <c:h val="0.8326195683872849"/>
        </c:manualLayout>
      </c:layout>
      <c:lineChart>
        <c:grouping val="standard"/>
        <c:varyColors val="0"/>
        <c:ser>
          <c:idx val="1"/>
          <c:order val="0"/>
          <c:tx>
            <c:strRef>
              <c:f>'Additional Report charts'!$B$203</c:f>
              <c:strCache>
                <c:ptCount val="1"/>
                <c:pt idx="0">
                  <c:v>Global ONUs shipped</c:v>
                </c:pt>
              </c:strCache>
            </c:strRef>
          </c:tx>
          <c:marker>
            <c:symbol val="none"/>
          </c:marker>
          <c:cat>
            <c:numRef>
              <c:f>'Additional Report charts'!$C$202:$U$202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charts'!$C$203:$U$203</c:f>
              <c:numCache>
                <c:formatCode>_(* #,##0_);_(* \(#,##0\);_(* "-"??_);_(@_)</c:formatCode>
                <c:ptCount val="19"/>
                <c:pt idx="0">
                  <c:v>36.881988596777575</c:v>
                </c:pt>
                <c:pt idx="1">
                  <c:v>60.15535491144891</c:v>
                </c:pt>
                <c:pt idx="2">
                  <c:v>108.78551493038944</c:v>
                </c:pt>
                <c:pt idx="3">
                  <c:v>139.27655512287149</c:v>
                </c:pt>
                <c:pt idx="4">
                  <c:v>190.28889874093343</c:v>
                </c:pt>
                <c:pt idx="5">
                  <c:v>282.93308891665299</c:v>
                </c:pt>
                <c:pt idx="6">
                  <c:v>379.15400411665303</c:v>
                </c:pt>
                <c:pt idx="7">
                  <c:v>452.85319874865303</c:v>
                </c:pt>
                <c:pt idx="8">
                  <c:v>539.99226569105303</c:v>
                </c:pt>
                <c:pt idx="9">
                  <c:v>605.59411223672112</c:v>
                </c:pt>
              </c:numCache>
            </c:numRef>
          </c:val>
          <c:smooth val="0"/>
          <c:extLst>
            <c:ext xmlns:c16="http://schemas.microsoft.com/office/drawing/2014/chart" uri="{C3380CC4-5D6E-409C-BE32-E72D297353CC}">
              <c16:uniqueId val="{00000000-2B21-674D-8718-B6E0CBE6C979}"/>
            </c:ext>
          </c:extLst>
        </c:ser>
        <c:ser>
          <c:idx val="2"/>
          <c:order val="1"/>
          <c:tx>
            <c:strRef>
              <c:f>'Additional Report charts'!$B$204</c:f>
              <c:strCache>
                <c:ptCount val="1"/>
                <c:pt idx="0">
                  <c:v>Global FTTx subscribers</c:v>
                </c:pt>
              </c:strCache>
            </c:strRef>
          </c:tx>
          <c:marker>
            <c:symbol val="none"/>
          </c:marker>
          <c:cat>
            <c:numRef>
              <c:f>'Additional Report charts'!$C$202:$U$202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charts'!$C$204:$U$204</c:f>
              <c:numCache>
                <c:formatCode>_(* #,##0_);_(* \(#,##0\);_(* "-"??_);_(@_)</c:formatCode>
                <c:ptCount val="19"/>
                <c:pt idx="0">
                  <c:v>18.143250000000002</c:v>
                </c:pt>
                <c:pt idx="1">
                  <c:v>31.09695</c:v>
                </c:pt>
                <c:pt idx="2">
                  <c:v>53.210049999999995</c:v>
                </c:pt>
                <c:pt idx="3">
                  <c:v>88.275149999999996</c:v>
                </c:pt>
                <c:pt idx="4">
                  <c:v>132.74074999999999</c:v>
                </c:pt>
                <c:pt idx="5">
                  <c:v>195.31145588235293</c:v>
                </c:pt>
                <c:pt idx="6">
                  <c:v>322.2768323529412</c:v>
                </c:pt>
                <c:pt idx="7">
                  <c:v>395.52999270588236</c:v>
                </c:pt>
                <c:pt idx="8">
                  <c:v>472.42740588705885</c:v>
                </c:pt>
                <c:pt idx="9">
                  <c:v>531.52163799091772</c:v>
                </c:pt>
              </c:numCache>
            </c:numRef>
          </c:val>
          <c:smooth val="0"/>
          <c:extLst>
            <c:ext xmlns:c16="http://schemas.microsoft.com/office/drawing/2014/chart" uri="{C3380CC4-5D6E-409C-BE32-E72D297353CC}">
              <c16:uniqueId val="{00000001-2B21-674D-8718-B6E0CBE6C979}"/>
            </c:ext>
          </c:extLst>
        </c:ser>
        <c:dLbls>
          <c:showLegendKey val="0"/>
          <c:showVal val="0"/>
          <c:showCatName val="0"/>
          <c:showSerName val="0"/>
          <c:showPercent val="0"/>
          <c:showBubbleSize val="0"/>
        </c:dLbls>
        <c:smooth val="0"/>
        <c:axId val="158647808"/>
        <c:axId val="158649344"/>
      </c:lineChart>
      <c:catAx>
        <c:axId val="158647808"/>
        <c:scaling>
          <c:orientation val="minMax"/>
        </c:scaling>
        <c:delete val="0"/>
        <c:axPos val="b"/>
        <c:numFmt formatCode="General" sourceLinked="1"/>
        <c:majorTickMark val="out"/>
        <c:minorTickMark val="none"/>
        <c:tickLblPos val="nextTo"/>
        <c:txPr>
          <a:bodyPr/>
          <a:lstStyle/>
          <a:p>
            <a:pPr>
              <a:defRPr sz="1100"/>
            </a:pPr>
            <a:endParaRPr lang="en-US"/>
          </a:p>
        </c:txPr>
        <c:crossAx val="158649344"/>
        <c:crosses val="autoZero"/>
        <c:auto val="1"/>
        <c:lblAlgn val="ctr"/>
        <c:lblOffset val="100"/>
        <c:tickLblSkip val="2"/>
        <c:noMultiLvlLbl val="0"/>
      </c:catAx>
      <c:valAx>
        <c:axId val="15864934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58647808"/>
        <c:crosses val="autoZero"/>
        <c:crossBetween val="between"/>
      </c:valAx>
    </c:plotArea>
    <c:legend>
      <c:legendPos val="r"/>
      <c:layout>
        <c:manualLayout>
          <c:xMode val="edge"/>
          <c:yMode val="edge"/>
          <c:x val="0.13238757655293085"/>
          <c:y val="8.7195246427529904E-2"/>
          <c:w val="0.76548397406399282"/>
          <c:h val="9.9301568402711024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'Additional Report charts'!$B$238</c:f>
              <c:strCache>
                <c:ptCount val="1"/>
                <c:pt idx="0">
                  <c:v>25G PON ports</c:v>
                </c:pt>
              </c:strCache>
            </c:strRef>
          </c:tx>
          <c:cat>
            <c:numRef>
              <c:f>'Additional Report charts'!$H$233:$M$233</c:f>
              <c:numCache>
                <c:formatCode>General</c:formatCode>
                <c:ptCount val="6"/>
                <c:pt idx="0">
                  <c:v>2023</c:v>
                </c:pt>
                <c:pt idx="1">
                  <c:v>2024</c:v>
                </c:pt>
                <c:pt idx="2">
                  <c:v>2025</c:v>
                </c:pt>
                <c:pt idx="3">
                  <c:v>2026</c:v>
                </c:pt>
                <c:pt idx="4">
                  <c:v>2027</c:v>
                </c:pt>
                <c:pt idx="5">
                  <c:v>2028</c:v>
                </c:pt>
              </c:numCache>
            </c:numRef>
          </c:cat>
          <c:val>
            <c:numRef>
              <c:f>'Additional Report charts'!$H$238:$M$238</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25CF-C24C-95A0-33C17F1108D7}"/>
            </c:ext>
          </c:extLst>
        </c:ser>
        <c:ser>
          <c:idx val="1"/>
          <c:order val="1"/>
          <c:tx>
            <c:strRef>
              <c:f>'Additional Report charts'!$B$239</c:f>
              <c:strCache>
                <c:ptCount val="1"/>
                <c:pt idx="0">
                  <c:v>50G PON ports</c:v>
                </c:pt>
              </c:strCache>
            </c:strRef>
          </c:tx>
          <c:cat>
            <c:numRef>
              <c:f>'Additional Report charts'!$H$233:$M$233</c:f>
              <c:numCache>
                <c:formatCode>General</c:formatCode>
                <c:ptCount val="6"/>
                <c:pt idx="0">
                  <c:v>2023</c:v>
                </c:pt>
                <c:pt idx="1">
                  <c:v>2024</c:v>
                </c:pt>
                <c:pt idx="2">
                  <c:v>2025</c:v>
                </c:pt>
                <c:pt idx="3">
                  <c:v>2026</c:v>
                </c:pt>
                <c:pt idx="4">
                  <c:v>2027</c:v>
                </c:pt>
                <c:pt idx="5">
                  <c:v>2028</c:v>
                </c:pt>
              </c:numCache>
            </c:numRef>
          </c:cat>
          <c:val>
            <c:numRef>
              <c:f>'Additional Report charts'!$H$239:$M$239</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25CF-C24C-95A0-33C17F1108D7}"/>
            </c:ext>
          </c:extLst>
        </c:ser>
        <c:dLbls>
          <c:showLegendKey val="0"/>
          <c:showVal val="0"/>
          <c:showCatName val="0"/>
          <c:showSerName val="0"/>
          <c:showPercent val="0"/>
          <c:showBubbleSize val="0"/>
        </c:dLbls>
        <c:marker val="1"/>
        <c:smooth val="0"/>
        <c:axId val="158679424"/>
        <c:axId val="158680960"/>
      </c:lineChart>
      <c:catAx>
        <c:axId val="158679424"/>
        <c:scaling>
          <c:orientation val="minMax"/>
        </c:scaling>
        <c:delete val="0"/>
        <c:axPos val="b"/>
        <c:numFmt formatCode="General" sourceLinked="1"/>
        <c:majorTickMark val="out"/>
        <c:minorTickMark val="none"/>
        <c:tickLblPos val="nextTo"/>
        <c:txPr>
          <a:bodyPr/>
          <a:lstStyle/>
          <a:p>
            <a:pPr>
              <a:defRPr sz="1200"/>
            </a:pPr>
            <a:endParaRPr lang="en-US"/>
          </a:p>
        </c:txPr>
        <c:crossAx val="158680960"/>
        <c:crosses val="autoZero"/>
        <c:auto val="1"/>
        <c:lblAlgn val="ctr"/>
        <c:lblOffset val="100"/>
        <c:noMultiLvlLbl val="0"/>
      </c:catAx>
      <c:valAx>
        <c:axId val="158680960"/>
        <c:scaling>
          <c:orientation val="minMax"/>
        </c:scaling>
        <c:delete val="0"/>
        <c:axPos val="l"/>
        <c:majorGridlines/>
        <c:title>
          <c:tx>
            <c:rich>
              <a:bodyPr rot="-5400000" vert="horz"/>
              <a:lstStyle/>
              <a:p>
                <a:pPr>
                  <a:defRPr sz="1200"/>
                </a:pPr>
                <a:r>
                  <a:rPr lang="en-US" sz="1200"/>
                  <a:t>Annual shipments ONU &amp; OLT ports</a:t>
                </a:r>
              </a:p>
            </c:rich>
          </c:tx>
          <c:overlay val="0"/>
        </c:title>
        <c:numFmt formatCode="_(* #,##0_);_(* \(#,##0\);_(* &quot;-&quot;??_);_(@_)" sourceLinked="1"/>
        <c:majorTickMark val="out"/>
        <c:minorTickMark val="none"/>
        <c:tickLblPos val="nextTo"/>
        <c:txPr>
          <a:bodyPr/>
          <a:lstStyle/>
          <a:p>
            <a:pPr>
              <a:defRPr sz="1200"/>
            </a:pPr>
            <a:endParaRPr lang="en-US"/>
          </a:p>
        </c:txPr>
        <c:crossAx val="158679424"/>
        <c:crosses val="autoZero"/>
        <c:crossBetween val="between"/>
      </c:valAx>
    </c:plotArea>
    <c:legend>
      <c:legendPos val="t"/>
      <c:layout>
        <c:manualLayout>
          <c:xMode val="edge"/>
          <c:yMode val="edge"/>
          <c:x val="0.19394197493466148"/>
          <c:y val="2.4333712922223451E-2"/>
          <c:w val="0.54262474883952183"/>
          <c:h val="9.1780781314837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2023 $</a:t>
            </a:r>
            <a:r>
              <a:rPr lang="en-US" sz="1600" b="0">
                <a:solidFill>
                  <a:srgbClr val="FF0000"/>
                </a:solidFill>
              </a:rPr>
              <a:t>5.2</a:t>
            </a:r>
            <a:r>
              <a:rPr lang="en-US" sz="1600" b="0"/>
              <a:t> billion</a:t>
            </a:r>
          </a:p>
        </c:rich>
      </c:tx>
      <c:layout>
        <c:manualLayout>
          <c:xMode val="edge"/>
          <c:yMode val="edge"/>
          <c:x val="0.16463414634146342"/>
          <c:y val="0.15102040816326531"/>
        </c:manualLayout>
      </c:layout>
      <c:overlay val="1"/>
    </c:title>
    <c:autoTitleDeleted val="0"/>
    <c:plotArea>
      <c:layout>
        <c:manualLayout>
          <c:layoutTarget val="inner"/>
          <c:xMode val="edge"/>
          <c:yMode val="edge"/>
          <c:x val="0.10039754177069329"/>
          <c:y val="0.28796689699501848"/>
          <c:w val="0.45758807588075878"/>
          <c:h val="0.6891836734693878"/>
        </c:manualLayout>
      </c:layout>
      <c:doughnutChart>
        <c:varyColors val="1"/>
        <c:ser>
          <c:idx val="0"/>
          <c:order val="0"/>
          <c:cat>
            <c:strRef>
              <c:f>'Additional Report charts'!$B$164:$B$167</c:f>
              <c:strCache>
                <c:ptCount val="4"/>
                <c:pt idx="0">
                  <c:v>200G and below</c:v>
                </c:pt>
                <c:pt idx="1">
                  <c:v>400G</c:v>
                </c:pt>
                <c:pt idx="2">
                  <c:v>600G</c:v>
                </c:pt>
                <c:pt idx="3">
                  <c:v>800G &amp; above</c:v>
                </c:pt>
              </c:strCache>
            </c:strRef>
          </c:cat>
          <c:val>
            <c:numRef>
              <c:f>'Additional Report charts'!$H$164:$H$167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574B-4C76-A5C6-F5E680E75C58}"/>
            </c:ext>
          </c:extLst>
        </c:ser>
        <c:dLbls>
          <c:showLegendKey val="0"/>
          <c:showVal val="0"/>
          <c:showCatName val="0"/>
          <c:showSerName val="0"/>
          <c:showPercent val="0"/>
          <c:showBubbleSize val="0"/>
          <c:showLeaderLines val="1"/>
        </c:dLbls>
        <c:firstSliceAng val="0"/>
        <c:holeSize val="61"/>
      </c:doughnutChart>
    </c:plotArea>
    <c:legend>
      <c:legendPos val="r"/>
      <c:layout>
        <c:manualLayout>
          <c:xMode val="edge"/>
          <c:yMode val="edge"/>
          <c:x val="0.57969592215607191"/>
          <c:y val="0.2387594407841877"/>
          <c:w val="0.2604124789279389"/>
          <c:h val="0.68166479190101237"/>
        </c:manualLayout>
      </c:layout>
      <c:overlay val="0"/>
      <c:txPr>
        <a:bodyPr/>
        <a:lstStyle/>
        <a:p>
          <a:pPr rtl="0">
            <a:defRPr sz="1600"/>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2028 $</a:t>
            </a:r>
            <a:r>
              <a:rPr lang="en-US" sz="1600" b="0">
                <a:solidFill>
                  <a:srgbClr val="FF0000"/>
                </a:solidFill>
              </a:rPr>
              <a:t>8.7</a:t>
            </a:r>
            <a:r>
              <a:rPr lang="en-US" sz="1600" b="0"/>
              <a:t> billion</a:t>
            </a:r>
          </a:p>
        </c:rich>
      </c:tx>
      <c:layout>
        <c:manualLayout>
          <c:xMode val="edge"/>
          <c:yMode val="edge"/>
          <c:x val="0.27312569262175562"/>
          <c:y val="4.0816326530612242E-2"/>
        </c:manualLayout>
      </c:layout>
      <c:overlay val="1"/>
    </c:title>
    <c:autoTitleDeleted val="0"/>
    <c:plotArea>
      <c:layout>
        <c:manualLayout>
          <c:layoutTarget val="inner"/>
          <c:xMode val="edge"/>
          <c:yMode val="edge"/>
          <c:x val="0.10464333624963544"/>
          <c:y val="0.1609082436124056"/>
          <c:w val="0.73075882181393992"/>
          <c:h val="0.80532604852964806"/>
        </c:manualLayout>
      </c:layout>
      <c:doughnutChart>
        <c:varyColors val="1"/>
        <c:ser>
          <c:idx val="0"/>
          <c:order val="0"/>
          <c:cat>
            <c:strRef>
              <c:f>'Additional Report charts'!$B$164:$B$167</c:f>
              <c:strCache>
                <c:ptCount val="4"/>
                <c:pt idx="0">
                  <c:v>200G and below</c:v>
                </c:pt>
                <c:pt idx="1">
                  <c:v>400G</c:v>
                </c:pt>
                <c:pt idx="2">
                  <c:v>600G</c:v>
                </c:pt>
                <c:pt idx="3">
                  <c:v>800G &amp; above</c:v>
                </c:pt>
              </c:strCache>
            </c:strRef>
          </c:cat>
          <c:val>
            <c:numRef>
              <c:f>'Additional Report charts'!$M$164:$M$167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F733-4D52-B5DB-0E668230CF40}"/>
            </c:ext>
          </c:extLst>
        </c:ser>
        <c:dLbls>
          <c:showLegendKey val="0"/>
          <c:showVal val="0"/>
          <c:showCatName val="0"/>
          <c:showSerName val="0"/>
          <c:showPercent val="0"/>
          <c:showBubbleSize val="0"/>
          <c:showLeaderLines val="1"/>
        </c:dLbls>
        <c:firstSliceAng val="0"/>
        <c:holeSize val="61"/>
      </c:doughnutChart>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82174103237095"/>
          <c:y val="0.13010425780110821"/>
          <c:w val="0.80951137357830272"/>
          <c:h val="0.75391586468358118"/>
        </c:manualLayout>
      </c:layout>
      <c:lineChart>
        <c:grouping val="standard"/>
        <c:varyColors val="0"/>
        <c:ser>
          <c:idx val="0"/>
          <c:order val="0"/>
          <c:tx>
            <c:strRef>
              <c:f>'Additional Report charts'!$B$72</c:f>
              <c:strCache>
                <c:ptCount val="1"/>
                <c:pt idx="0">
                  <c:v>CSPs</c:v>
                </c:pt>
              </c:strCache>
            </c:strRef>
          </c:tx>
          <c:cat>
            <c:strRef>
              <c:f>'Additional Report charts'!$C$71:$J$71</c:f>
              <c:strCache>
                <c:ptCount val="8"/>
                <c:pt idx="0">
                  <c:v>2016</c:v>
                </c:pt>
                <c:pt idx="1">
                  <c:v>2017</c:v>
                </c:pt>
                <c:pt idx="2">
                  <c:v>2018</c:v>
                </c:pt>
                <c:pt idx="3">
                  <c:v>2019</c:v>
                </c:pt>
                <c:pt idx="4">
                  <c:v>2020</c:v>
                </c:pt>
                <c:pt idx="5">
                  <c:v>2021</c:v>
                </c:pt>
                <c:pt idx="6">
                  <c:v>2022</c:v>
                </c:pt>
                <c:pt idx="7">
                  <c:v>2023E</c:v>
                </c:pt>
              </c:strCache>
            </c:strRef>
          </c:cat>
          <c:val>
            <c:numRef>
              <c:f>'Additional Report charts'!$C$72:$J$72</c:f>
              <c:numCache>
                <c:formatCode>_("$"* #,##0_);_("$"* \(#,##0\);_("$"* "-"??_);_(@_)</c:formatCode>
                <c:ptCount val="8"/>
                <c:pt idx="0">
                  <c:v>176.69215136806716</c:v>
                </c:pt>
                <c:pt idx="1">
                  <c:v>171.85648568711298</c:v>
                </c:pt>
                <c:pt idx="2">
                  <c:v>171.96407556088107</c:v>
                </c:pt>
              </c:numCache>
            </c:numRef>
          </c:val>
          <c:smooth val="0"/>
          <c:extLst>
            <c:ext xmlns:c16="http://schemas.microsoft.com/office/drawing/2014/chart" uri="{C3380CC4-5D6E-409C-BE32-E72D297353CC}">
              <c16:uniqueId val="{00000000-3DEA-3141-8792-D30E10847AE2}"/>
            </c:ext>
          </c:extLst>
        </c:ser>
        <c:ser>
          <c:idx val="1"/>
          <c:order val="1"/>
          <c:tx>
            <c:strRef>
              <c:f>'Additional Report charts'!$B$73</c:f>
              <c:strCache>
                <c:ptCount val="1"/>
                <c:pt idx="0">
                  <c:v>ICPs</c:v>
                </c:pt>
              </c:strCache>
            </c:strRef>
          </c:tx>
          <c:cat>
            <c:strRef>
              <c:f>'Additional Report charts'!$C$71:$J$71</c:f>
              <c:strCache>
                <c:ptCount val="8"/>
                <c:pt idx="0">
                  <c:v>2016</c:v>
                </c:pt>
                <c:pt idx="1">
                  <c:v>2017</c:v>
                </c:pt>
                <c:pt idx="2">
                  <c:v>2018</c:v>
                </c:pt>
                <c:pt idx="3">
                  <c:v>2019</c:v>
                </c:pt>
                <c:pt idx="4">
                  <c:v>2020</c:v>
                </c:pt>
                <c:pt idx="5">
                  <c:v>2021</c:v>
                </c:pt>
                <c:pt idx="6">
                  <c:v>2022</c:v>
                </c:pt>
                <c:pt idx="7">
                  <c:v>2023E</c:v>
                </c:pt>
              </c:strCache>
            </c:strRef>
          </c:cat>
          <c:val>
            <c:numRef>
              <c:f>'Additional Report charts'!$C$73:$J$73</c:f>
              <c:numCache>
                <c:formatCode>_("$"* #,##0_);_("$"* \(#,##0\);_("$"* "-"??_);_(@_)</c:formatCode>
                <c:ptCount val="8"/>
                <c:pt idx="0">
                  <c:v>51.60541888384882</c:v>
                </c:pt>
                <c:pt idx="1">
                  <c:v>63.688943714347737</c:v>
                </c:pt>
                <c:pt idx="2">
                  <c:v>97.009259034306709</c:v>
                </c:pt>
              </c:numCache>
            </c:numRef>
          </c:val>
          <c:smooth val="0"/>
          <c:extLst>
            <c:ext xmlns:c16="http://schemas.microsoft.com/office/drawing/2014/chart" uri="{C3380CC4-5D6E-409C-BE32-E72D297353CC}">
              <c16:uniqueId val="{00000001-3DEA-3141-8792-D30E10847AE2}"/>
            </c:ext>
          </c:extLst>
        </c:ser>
        <c:dLbls>
          <c:showLegendKey val="0"/>
          <c:showVal val="0"/>
          <c:showCatName val="0"/>
          <c:showSerName val="0"/>
          <c:showPercent val="0"/>
          <c:showBubbleSize val="0"/>
        </c:dLbls>
        <c:marker val="1"/>
        <c:smooth val="0"/>
        <c:axId val="158897664"/>
        <c:axId val="158899200"/>
      </c:lineChart>
      <c:catAx>
        <c:axId val="158897664"/>
        <c:scaling>
          <c:orientation val="minMax"/>
        </c:scaling>
        <c:delete val="0"/>
        <c:axPos val="b"/>
        <c:numFmt formatCode="General" sourceLinked="0"/>
        <c:majorTickMark val="out"/>
        <c:minorTickMark val="none"/>
        <c:tickLblPos val="nextTo"/>
        <c:txPr>
          <a:bodyPr/>
          <a:lstStyle/>
          <a:p>
            <a:pPr>
              <a:defRPr sz="1200"/>
            </a:pPr>
            <a:endParaRPr lang="en-US"/>
          </a:p>
        </c:txPr>
        <c:crossAx val="158899200"/>
        <c:crosses val="autoZero"/>
        <c:auto val="1"/>
        <c:lblAlgn val="ctr"/>
        <c:lblOffset val="100"/>
        <c:noMultiLvlLbl val="0"/>
      </c:catAx>
      <c:valAx>
        <c:axId val="158899200"/>
        <c:scaling>
          <c:orientation val="minMax"/>
        </c:scaling>
        <c:delete val="0"/>
        <c:axPos val="l"/>
        <c:majorGridlines/>
        <c:title>
          <c:tx>
            <c:rich>
              <a:bodyPr rot="-5400000" vert="horz"/>
              <a:lstStyle/>
              <a:p>
                <a:pPr>
                  <a:defRPr sz="1200"/>
                </a:pPr>
                <a:r>
                  <a:rPr lang="en-US" sz="1200"/>
                  <a:t>Capex ($ billions)</a:t>
                </a:r>
              </a:p>
            </c:rich>
          </c:tx>
          <c:layout>
            <c:manualLayout>
              <c:xMode val="edge"/>
              <c:yMode val="edge"/>
              <c:x val="1.5972943869994115E-2"/>
              <c:y val="0.3230677376656708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58897664"/>
        <c:crosses val="autoZero"/>
        <c:crossBetween val="between"/>
      </c:valAx>
    </c:plotArea>
    <c:legend>
      <c:legendPos val="r"/>
      <c:layout>
        <c:manualLayout>
          <c:xMode val="edge"/>
          <c:yMode val="edge"/>
          <c:x val="0.36944422572178476"/>
          <c:y val="3.2023549139690875E-2"/>
          <c:w val="0.2722224409448819"/>
          <c:h val="7.947142023913676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400"/>
          </a:pPr>
          <a:endParaRPr lang="en-US"/>
        </a:p>
      </c:txPr>
    </c:title>
    <c:autoTitleDeleted val="0"/>
    <c:plotArea>
      <c:layout>
        <c:manualLayout>
          <c:layoutTarget val="inner"/>
          <c:xMode val="edge"/>
          <c:yMode val="edge"/>
          <c:x val="0.12529164667151152"/>
          <c:y val="0.144664781167335"/>
          <c:w val="0.84716531461957678"/>
          <c:h val="0.69225038066618905"/>
        </c:manualLayout>
      </c:layout>
      <c:lineChart>
        <c:grouping val="standard"/>
        <c:varyColors val="0"/>
        <c:ser>
          <c:idx val="0"/>
          <c:order val="0"/>
          <c:tx>
            <c:strRef>
              <c:f>Methodology!$B$30</c:f>
              <c:strCache>
                <c:ptCount val="1"/>
                <c:pt idx="0">
                  <c:v>Ethernet bandwidth</c:v>
                </c:pt>
              </c:strCache>
            </c:strRef>
          </c:tx>
          <c:cat>
            <c:numRef>
              <c:f>Methodology!$G$28:$X$28</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Methodology!$G$30:$X$30</c:f>
              <c:numCache>
                <c:formatCode>0%</c:formatCode>
                <c:ptCount val="18"/>
                <c:pt idx="0">
                  <c:v>0.42417382322831676</c:v>
                </c:pt>
                <c:pt idx="1">
                  <c:v>0.37489363230622441</c:v>
                </c:pt>
                <c:pt idx="2">
                  <c:v>0.43190873335062818</c:v>
                </c:pt>
                <c:pt idx="3">
                  <c:v>0.49082663568861773</c:v>
                </c:pt>
                <c:pt idx="4">
                  <c:v>0.39953696134919681</c:v>
                </c:pt>
                <c:pt idx="5">
                  <c:v>0.41922148072449872</c:v>
                </c:pt>
                <c:pt idx="6">
                  <c:v>0.464032235755518</c:v>
                </c:pt>
                <c:pt idx="7">
                  <c:v>0.4825440362243909</c:v>
                </c:pt>
                <c:pt idx="8">
                  <c:v>0.38287821729406568</c:v>
                </c:pt>
                <c:pt idx="9">
                  <c:v>0.49684907901277331</c:v>
                </c:pt>
                <c:pt idx="10">
                  <c:v>0.5206620502651238</c:v>
                </c:pt>
                <c:pt idx="11">
                  <c:v>0.47042476689043422</c:v>
                </c:pt>
                <c:pt idx="12">
                  <c:v>0.37687709454086038</c:v>
                </c:pt>
                <c:pt idx="13">
                  <c:v>0.47180163302369338</c:v>
                </c:pt>
                <c:pt idx="14">
                  <c:v>0.55823494970175247</c:v>
                </c:pt>
                <c:pt idx="15">
                  <c:v>0.51372867091482277</c:v>
                </c:pt>
                <c:pt idx="16">
                  <c:v>0.43602298647588111</c:v>
                </c:pt>
                <c:pt idx="17">
                  <c:v>0.39506102955603883</c:v>
                </c:pt>
              </c:numCache>
            </c:numRef>
          </c:val>
          <c:smooth val="1"/>
          <c:extLst>
            <c:ext xmlns:c16="http://schemas.microsoft.com/office/drawing/2014/chart" uri="{C3380CC4-5D6E-409C-BE32-E72D297353CC}">
              <c16:uniqueId val="{00000000-FC76-1C46-AB23-E30FEFD41985}"/>
            </c:ext>
          </c:extLst>
        </c:ser>
        <c:dLbls>
          <c:showLegendKey val="0"/>
          <c:showVal val="0"/>
          <c:showCatName val="0"/>
          <c:showSerName val="0"/>
          <c:showPercent val="0"/>
          <c:showBubbleSize val="0"/>
        </c:dLbls>
        <c:marker val="1"/>
        <c:smooth val="0"/>
        <c:axId val="158920064"/>
        <c:axId val="158995584"/>
      </c:lineChart>
      <c:catAx>
        <c:axId val="158920064"/>
        <c:scaling>
          <c:orientation val="minMax"/>
        </c:scaling>
        <c:delete val="0"/>
        <c:axPos val="b"/>
        <c:numFmt formatCode="General" sourceLinked="1"/>
        <c:majorTickMark val="out"/>
        <c:minorTickMark val="none"/>
        <c:tickLblPos val="nextTo"/>
        <c:txPr>
          <a:bodyPr rot="-5400000" vert="horz"/>
          <a:lstStyle/>
          <a:p>
            <a:pPr>
              <a:defRPr sz="1000"/>
            </a:pPr>
            <a:endParaRPr lang="en-US"/>
          </a:p>
        </c:txPr>
        <c:crossAx val="158995584"/>
        <c:crosses val="autoZero"/>
        <c:auto val="1"/>
        <c:lblAlgn val="ctr"/>
        <c:lblOffset val="100"/>
        <c:tickLblSkip val="1"/>
        <c:noMultiLvlLbl val="1"/>
      </c:catAx>
      <c:valAx>
        <c:axId val="158995584"/>
        <c:scaling>
          <c:orientation val="minMax"/>
          <c:min val="0"/>
        </c:scaling>
        <c:delete val="0"/>
        <c:axPos val="l"/>
        <c:majorGridlines/>
        <c:title>
          <c:tx>
            <c:rich>
              <a:bodyPr rot="-5400000" vert="horz"/>
              <a:lstStyle/>
              <a:p>
                <a:pPr>
                  <a:defRPr sz="1200" b="0"/>
                </a:pPr>
                <a:r>
                  <a:rPr lang="en-US" sz="1200" b="0"/>
                  <a:t>Growth rate (%)</a:t>
                </a:r>
              </a:p>
            </c:rich>
          </c:tx>
          <c:layout>
            <c:manualLayout>
              <c:xMode val="edge"/>
              <c:yMode val="edge"/>
              <c:x val="2.0583344604226052E-3"/>
              <c:y val="0.24992557239480123"/>
            </c:manualLayout>
          </c:layout>
          <c:overlay val="0"/>
        </c:title>
        <c:numFmt formatCode="0%" sourceLinked="1"/>
        <c:majorTickMark val="out"/>
        <c:minorTickMark val="none"/>
        <c:tickLblPos val="nextTo"/>
        <c:txPr>
          <a:bodyPr/>
          <a:lstStyle/>
          <a:p>
            <a:pPr>
              <a:defRPr sz="1050"/>
            </a:pPr>
            <a:endParaRPr lang="en-US"/>
          </a:p>
        </c:txPr>
        <c:crossAx val="158920064"/>
        <c:crosses val="autoZero"/>
        <c:crossBetween val="between"/>
        <c:majorUnit val="0.1"/>
      </c:valAx>
    </c:plotArea>
    <c:plotVisOnly val="1"/>
    <c:dispBlanksAs val="zero"/>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6756556912585"/>
          <c:y val="5.9170036177910196E-2"/>
          <c:w val="0.5841681993218002"/>
          <c:h val="0.85622229653725712"/>
        </c:manualLayout>
      </c:layout>
      <c:barChart>
        <c:barDir val="col"/>
        <c:grouping val="stacked"/>
        <c:varyColors val="0"/>
        <c:ser>
          <c:idx val="0"/>
          <c:order val="0"/>
          <c:tx>
            <c:strRef>
              <c:f>Summary!$B$97</c:f>
              <c:strCache>
                <c:ptCount val="1"/>
                <c:pt idx="0">
                  <c:v>Ethernet</c:v>
                </c:pt>
              </c:strCache>
            </c:strRef>
          </c:tx>
          <c:spPr>
            <a:solidFill>
              <a:schemeClr val="accent1"/>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Summary!$C$97:$M$97</c:f>
              <c:numCache>
                <c:formatCode>_("$"* #,##0_);_("$"* \(#,##0\);_("$"* "-"??_);_(@_)</c:formatCode>
                <c:ptCount val="11"/>
                <c:pt idx="0">
                  <c:v>3383.8982428713425</c:v>
                </c:pt>
                <c:pt idx="1">
                  <c:v>2782.4703988713959</c:v>
                </c:pt>
              </c:numCache>
            </c:numRef>
          </c:val>
          <c:extLst>
            <c:ext xmlns:c16="http://schemas.microsoft.com/office/drawing/2014/chart" uri="{C3380CC4-5D6E-409C-BE32-E72D297353CC}">
              <c16:uniqueId val="{00000000-7A21-4649-890F-ABF99D30F193}"/>
            </c:ext>
          </c:extLst>
        </c:ser>
        <c:ser>
          <c:idx val="1"/>
          <c:order val="1"/>
          <c:tx>
            <c:strRef>
              <c:f>Summary!$B$98</c:f>
              <c:strCache>
                <c:ptCount val="1"/>
                <c:pt idx="0">
                  <c:v>Fibre Channel</c:v>
                </c:pt>
              </c:strCache>
            </c:strRef>
          </c:tx>
          <c:spPr>
            <a:solidFill>
              <a:schemeClr val="accent2"/>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Summary!$C$98:$M$98</c:f>
              <c:numCache>
                <c:formatCode>_("$"* #,##0_);_("$"* \(#,##0\);_("$"* "-"??_);_(@_)</c:formatCode>
                <c:ptCount val="11"/>
                <c:pt idx="0">
                  <c:v>218.4222266667125</c:v>
                </c:pt>
                <c:pt idx="1">
                  <c:v>271.04595053612644</c:v>
                </c:pt>
              </c:numCache>
            </c:numRef>
          </c:val>
          <c:extLst>
            <c:ext xmlns:c16="http://schemas.microsoft.com/office/drawing/2014/chart" uri="{C3380CC4-5D6E-409C-BE32-E72D297353CC}">
              <c16:uniqueId val="{00000001-7A21-4649-890F-ABF99D30F193}"/>
            </c:ext>
          </c:extLst>
        </c:ser>
        <c:ser>
          <c:idx val="2"/>
          <c:order val="2"/>
          <c:tx>
            <c:strRef>
              <c:f>Summary!$B$99</c:f>
              <c:strCache>
                <c:ptCount val="1"/>
                <c:pt idx="0">
                  <c:v>Optical Interconnects</c:v>
                </c:pt>
              </c:strCache>
            </c:strRef>
          </c:tx>
          <c:spPr>
            <a:solidFill>
              <a:schemeClr val="accent3"/>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227.1686618283141</c:v>
                </c:pt>
                <c:pt idx="1">
                  <c:v>383.14520409235945</c:v>
                </c:pt>
              </c:numCache>
            </c:numRef>
          </c:val>
          <c:extLst>
            <c:ext xmlns:c16="http://schemas.microsoft.com/office/drawing/2014/chart" uri="{C3380CC4-5D6E-409C-BE32-E72D297353CC}">
              <c16:uniqueId val="{00000002-7A21-4649-890F-ABF99D30F193}"/>
            </c:ext>
          </c:extLst>
        </c:ser>
        <c:ser>
          <c:idx val="3"/>
          <c:order val="3"/>
          <c:tx>
            <c:strRef>
              <c:f>Summary!$B$100</c:f>
              <c:strCache>
                <c:ptCount val="1"/>
                <c:pt idx="0">
                  <c:v>CWDM / DWDM</c:v>
                </c:pt>
              </c:strCache>
            </c:strRef>
          </c:tx>
          <c:spPr>
            <a:solidFill>
              <a:schemeClr val="accent4"/>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Summary!$C$100:$M$100</c:f>
              <c:numCache>
                <c:formatCode>_("$"* #,##0_);_("$"* \(#,##0\);_("$"* "-"??_);_(@_)</c:formatCode>
                <c:ptCount val="11"/>
                <c:pt idx="0">
                  <c:v>3757.3280952727268</c:v>
                </c:pt>
                <c:pt idx="1">
                  <c:v>3740.8947562632848</c:v>
                </c:pt>
              </c:numCache>
            </c:numRef>
          </c:val>
          <c:extLst>
            <c:ext xmlns:c16="http://schemas.microsoft.com/office/drawing/2014/chart" uri="{C3380CC4-5D6E-409C-BE32-E72D297353CC}">
              <c16:uniqueId val="{00000003-7A21-4649-890F-ABF99D30F193}"/>
            </c:ext>
          </c:extLst>
        </c:ser>
        <c:ser>
          <c:idx val="4"/>
          <c:order val="4"/>
          <c:tx>
            <c:strRef>
              <c:f>Summary!$B$101</c:f>
              <c:strCache>
                <c:ptCount val="1"/>
                <c:pt idx="0">
                  <c:v>Wireless Fronthaul</c:v>
                </c:pt>
              </c:strCache>
            </c:strRef>
          </c:tx>
          <c:spPr>
            <a:solidFill>
              <a:schemeClr val="accent5"/>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365.79070959702165</c:v>
                </c:pt>
                <c:pt idx="1">
                  <c:v>918.08542910141614</c:v>
                </c:pt>
              </c:numCache>
            </c:numRef>
          </c:val>
          <c:extLst>
            <c:ext xmlns:c16="http://schemas.microsoft.com/office/drawing/2014/chart" uri="{C3380CC4-5D6E-409C-BE32-E72D297353CC}">
              <c16:uniqueId val="{00000004-7A21-4649-890F-ABF99D30F193}"/>
            </c:ext>
          </c:extLst>
        </c:ser>
        <c:ser>
          <c:idx val="5"/>
          <c:order val="5"/>
          <c:tx>
            <c:strRef>
              <c:f>Summary!$B$102</c:f>
              <c:strCache>
                <c:ptCount val="1"/>
                <c:pt idx="0">
                  <c:v>Wireless Backhaul</c:v>
                </c:pt>
              </c:strCache>
            </c:strRef>
          </c:tx>
          <c:spPr>
            <a:solidFill>
              <a:schemeClr val="accent6"/>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82.303681142702601</c:v>
                </c:pt>
                <c:pt idx="1">
                  <c:v>144.68243122208546</c:v>
                </c:pt>
              </c:numCache>
            </c:numRef>
          </c:val>
          <c:extLst>
            <c:ext xmlns:c16="http://schemas.microsoft.com/office/drawing/2014/chart" uri="{C3380CC4-5D6E-409C-BE32-E72D297353CC}">
              <c16:uniqueId val="{00000005-7A21-4649-890F-ABF99D30F193}"/>
            </c:ext>
          </c:extLst>
        </c:ser>
        <c:ser>
          <c:idx val="6"/>
          <c:order val="6"/>
          <c:tx>
            <c:strRef>
              <c:f>Summary!$B$103</c:f>
              <c:strCache>
                <c:ptCount val="1"/>
                <c:pt idx="0">
                  <c:v>FTTx</c:v>
                </c:pt>
              </c:strCache>
            </c:strRef>
          </c:tx>
          <c:spPr>
            <a:solidFill>
              <a:schemeClr val="accent1">
                <a:lumMod val="60000"/>
              </a:schemeClr>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641.86446407319875</c:v>
                </c:pt>
                <c:pt idx="1">
                  <c:v>581.80538191035816</c:v>
                </c:pt>
              </c:numCache>
            </c:numRef>
          </c:val>
          <c:extLst>
            <c:ext xmlns:c16="http://schemas.microsoft.com/office/drawing/2014/chart" uri="{C3380CC4-5D6E-409C-BE32-E72D297353CC}">
              <c16:uniqueId val="{00000006-7A21-4649-890F-ABF99D30F193}"/>
            </c:ext>
          </c:extLst>
        </c:ser>
        <c:dLbls>
          <c:showLegendKey val="0"/>
          <c:showVal val="0"/>
          <c:showCatName val="0"/>
          <c:showSerName val="0"/>
          <c:showPercent val="0"/>
          <c:showBubbleSize val="0"/>
        </c:dLbls>
        <c:gapWidth val="150"/>
        <c:overlap val="100"/>
        <c:axId val="145584128"/>
        <c:axId val="145688832"/>
      </c:barChart>
      <c:catAx>
        <c:axId val="14558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45688832"/>
        <c:crossesAt val="0"/>
        <c:auto val="1"/>
        <c:lblAlgn val="ctr"/>
        <c:lblOffset val="100"/>
        <c:noMultiLvlLbl val="0"/>
      </c:catAx>
      <c:valAx>
        <c:axId val="1456888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Sales ($M)</a:t>
                </a:r>
              </a:p>
            </c:rich>
          </c:tx>
          <c:layout>
            <c:manualLayout>
              <c:xMode val="edge"/>
              <c:yMode val="edge"/>
              <c:x val="1.3089337769830846E-2"/>
              <c:y val="0.40414409519650912"/>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5584128"/>
        <c:crosses val="autoZero"/>
        <c:crossBetween val="between"/>
      </c:valAx>
      <c:spPr>
        <a:noFill/>
        <a:ln>
          <a:solidFill>
            <a:schemeClr val="tx1"/>
          </a:solidFill>
        </a:ln>
        <a:effectLst/>
      </c:spPr>
    </c:plotArea>
    <c:legend>
      <c:legendPos val="r"/>
      <c:layout>
        <c:manualLayout>
          <c:xMode val="edge"/>
          <c:yMode val="edge"/>
          <c:x val="0.75337921719639056"/>
          <c:y val="0.10568996443012191"/>
          <c:w val="0.24042933501925398"/>
          <c:h val="0.7796312719673961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851952516088"/>
          <c:y val="0.12872565058482"/>
          <c:w val="0.84553552633331996"/>
          <c:h val="0.75339196970892097"/>
        </c:manualLayout>
      </c:layout>
      <c:barChart>
        <c:barDir val="col"/>
        <c:grouping val="stacked"/>
        <c:varyColors val="0"/>
        <c:ser>
          <c:idx val="0"/>
          <c:order val="0"/>
          <c:tx>
            <c:strRef>
              <c:f>Summary!$N$170</c:f>
              <c:strCache>
                <c:ptCount val="1"/>
                <c:pt idx="0">
                  <c:v>DWDM 2.5 G</c:v>
                </c:pt>
              </c:strCache>
            </c:strRef>
          </c:tx>
          <c:invertIfNegative val="0"/>
          <c:cat>
            <c:numRef>
              <c:f>Summary!$O$169:$Y$169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Summary!$O$170:$Y$170</c:f>
              <c:numCache>
                <c:formatCode>_("$"* #,##0_);_("$"* \(#,##0\);_("$"* "-"??_);_(@_)</c:formatCode>
                <c:ptCount val="11"/>
                <c:pt idx="0">
                  <c:v>8.6567039999999995</c:v>
                </c:pt>
                <c:pt idx="1">
                  <c:v>5.8985589999999997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AAE-4C05-809B-BCC6269F5EA1}"/>
            </c:ext>
          </c:extLst>
        </c:ser>
        <c:ser>
          <c:idx val="1"/>
          <c:order val="1"/>
          <c:tx>
            <c:strRef>
              <c:f>Summary!$N$171</c:f>
              <c:strCache>
                <c:ptCount val="1"/>
                <c:pt idx="0">
                  <c:v>CWDM up to 10G</c:v>
                </c:pt>
              </c:strCache>
            </c:strRef>
          </c:tx>
          <c:invertIfNegative val="0"/>
          <c:cat>
            <c:numRef>
              <c:f>Summary!$O$169:$Y$169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Summary!$O$171:$Y$171</c:f>
              <c:numCache>
                <c:formatCode>_("$"* #,##0_);_("$"* \(#,##0\);_("$"* "-"??_);_(@_)</c:formatCode>
                <c:ptCount val="11"/>
                <c:pt idx="0">
                  <c:v>63.511533999999997</c:v>
                </c:pt>
                <c:pt idx="1">
                  <c:v>74.507442432857147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AAE-4C05-809B-BCC6269F5EA1}"/>
            </c:ext>
          </c:extLst>
        </c:ser>
        <c:ser>
          <c:idx val="2"/>
          <c:order val="2"/>
          <c:tx>
            <c:strRef>
              <c:f>Summary!$N$172</c:f>
              <c:strCache>
                <c:ptCount val="1"/>
                <c:pt idx="0">
                  <c:v>DWDM 10G </c:v>
                </c:pt>
              </c:strCache>
            </c:strRef>
          </c:tx>
          <c:invertIfNegative val="0"/>
          <c:cat>
            <c:numRef>
              <c:f>Summary!$O$169:$Y$169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Summary!$O$172:$Y$172</c:f>
              <c:numCache>
                <c:formatCode>_("$"* #,##0_);_("$"* \(#,##0\);_("$"* "-"??_);_(@_)</c:formatCode>
                <c:ptCount val="11"/>
                <c:pt idx="0">
                  <c:v>201.27632</c:v>
                </c:pt>
                <c:pt idx="1">
                  <c:v>207.36266089103322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AAE-4C05-809B-BCC6269F5EA1}"/>
            </c:ext>
          </c:extLst>
        </c:ser>
        <c:dLbls>
          <c:showLegendKey val="0"/>
          <c:showVal val="0"/>
          <c:showCatName val="0"/>
          <c:showSerName val="0"/>
          <c:showPercent val="0"/>
          <c:showBubbleSize val="0"/>
        </c:dLbls>
        <c:gapWidth val="150"/>
        <c:overlap val="100"/>
        <c:axId val="150776064"/>
        <c:axId val="150810624"/>
      </c:barChart>
      <c:catAx>
        <c:axId val="150776064"/>
        <c:scaling>
          <c:orientation val="minMax"/>
        </c:scaling>
        <c:delete val="0"/>
        <c:axPos val="b"/>
        <c:numFmt formatCode="General" sourceLinked="1"/>
        <c:majorTickMark val="out"/>
        <c:minorTickMark val="none"/>
        <c:tickLblPos val="nextTo"/>
        <c:txPr>
          <a:bodyPr/>
          <a:lstStyle/>
          <a:p>
            <a:pPr>
              <a:defRPr sz="1200" b="0"/>
            </a:pPr>
            <a:endParaRPr lang="en-US"/>
          </a:p>
        </c:txPr>
        <c:crossAx val="150810624"/>
        <c:crosses val="autoZero"/>
        <c:auto val="1"/>
        <c:lblAlgn val="ctr"/>
        <c:lblOffset val="100"/>
        <c:noMultiLvlLbl val="0"/>
      </c:catAx>
      <c:valAx>
        <c:axId val="150810624"/>
        <c:scaling>
          <c:orientation val="minMax"/>
          <c:max val="300"/>
        </c:scaling>
        <c:delete val="0"/>
        <c:axPos val="l"/>
        <c:majorGridlines/>
        <c:title>
          <c:tx>
            <c:rich>
              <a:bodyPr rot="-5400000" vert="horz"/>
              <a:lstStyle/>
              <a:p>
                <a:pPr>
                  <a:defRPr sz="1200"/>
                </a:pPr>
                <a:r>
                  <a:rPr lang="en-US" sz="1200"/>
                  <a:t>Sales ($M)</a:t>
                </a:r>
              </a:p>
            </c:rich>
          </c:tx>
          <c:layout>
            <c:manualLayout>
              <c:xMode val="edge"/>
              <c:yMode val="edge"/>
              <c:x val="3.1261166078490121E-4"/>
              <c:y val="0.3760149933723676"/>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50776064"/>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34357247402266"/>
          <c:y val="9.981388634117308E-2"/>
          <c:w val="0.73104925925952868"/>
          <c:h val="0.81237728844604684"/>
        </c:manualLayout>
      </c:layout>
      <c:barChart>
        <c:barDir val="col"/>
        <c:grouping val="stacked"/>
        <c:varyColors val="0"/>
        <c:ser>
          <c:idx val="0"/>
          <c:order val="0"/>
          <c:tx>
            <c:strRef>
              <c:f>Summary!$B$323</c:f>
              <c:strCache>
                <c:ptCount val="1"/>
                <c:pt idx="0">
                  <c:v>ONUs</c:v>
                </c:pt>
              </c:strCache>
            </c:strRef>
          </c:tx>
          <c:invertIfNegative val="0"/>
          <c:cat>
            <c:numRef>
              <c:f>Summary!$C$322:$M$322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Summary!$C$323:$M$323</c:f>
              <c:numCache>
                <c:formatCode>_(* #,##0_);_(* \(#,##0\);_(* "-"??_);_(@_)</c:formatCode>
                <c:ptCount val="11"/>
                <c:pt idx="0">
                  <c:v>11617109</c:v>
                </c:pt>
                <c:pt idx="1">
                  <c:v>8455822</c:v>
                </c:pt>
                <c:pt idx="2">
                  <c:v>10860584.90319149</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3282-7F47-988E-4AEAECA994E3}"/>
            </c:ext>
          </c:extLst>
        </c:ser>
        <c:ser>
          <c:idx val="1"/>
          <c:order val="1"/>
          <c:tx>
            <c:strRef>
              <c:f>Summary!$B$324</c:f>
              <c:strCache>
                <c:ptCount val="1"/>
                <c:pt idx="0">
                  <c:v>OLTs</c:v>
                </c:pt>
              </c:strCache>
            </c:strRef>
          </c:tx>
          <c:invertIfNegative val="0"/>
          <c:cat>
            <c:numRef>
              <c:f>Summary!$C$322:$M$322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Summary!$C$324:$M$324</c:f>
              <c:numCache>
                <c:formatCode>_(* #,##0_);_(* \(#,##0\);_(* "-"??_);_(@_)</c:formatCode>
                <c:ptCount val="11"/>
                <c:pt idx="0">
                  <c:v>4084918</c:v>
                </c:pt>
                <c:pt idx="1">
                  <c:v>4803031</c:v>
                </c:pt>
                <c:pt idx="2">
                  <c:v>4513988</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282-7F47-988E-4AEAECA994E3}"/>
            </c:ext>
          </c:extLst>
        </c:ser>
        <c:ser>
          <c:idx val="2"/>
          <c:order val="2"/>
          <c:tx>
            <c:strRef>
              <c:f>Summary!$B$325</c:f>
              <c:strCache>
                <c:ptCount val="1"/>
                <c:pt idx="0">
                  <c:v>BOSAs on board</c:v>
                </c:pt>
              </c:strCache>
            </c:strRef>
          </c:tx>
          <c:invertIfNegative val="0"/>
          <c:cat>
            <c:numRef>
              <c:f>Summary!$C$322:$M$322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Summary!$C$325:$M$325</c:f>
              <c:numCache>
                <c:formatCode>_(* #,##0_);_(* \(#,##0\);_(* "-"??_);_(@_)</c:formatCode>
                <c:ptCount val="11"/>
                <c:pt idx="0">
                  <c:v>76354457.942399994</c:v>
                </c:pt>
                <c:pt idx="1">
                  <c:v>59057228.971199997</c:v>
                </c:pt>
                <c:pt idx="2">
                  <c:v>61328060.27984</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3282-7F47-988E-4AEAECA994E3}"/>
            </c:ext>
          </c:extLst>
        </c:ser>
        <c:dLbls>
          <c:showLegendKey val="0"/>
          <c:showVal val="0"/>
          <c:showCatName val="0"/>
          <c:showSerName val="0"/>
          <c:showPercent val="0"/>
          <c:showBubbleSize val="0"/>
        </c:dLbls>
        <c:gapWidth val="150"/>
        <c:overlap val="100"/>
        <c:axId val="150870656"/>
        <c:axId val="150897024"/>
      </c:barChart>
      <c:catAx>
        <c:axId val="150870656"/>
        <c:scaling>
          <c:orientation val="minMax"/>
        </c:scaling>
        <c:delete val="0"/>
        <c:axPos val="b"/>
        <c:numFmt formatCode="General" sourceLinked="1"/>
        <c:majorTickMark val="out"/>
        <c:minorTickMark val="none"/>
        <c:tickLblPos val="nextTo"/>
        <c:txPr>
          <a:bodyPr/>
          <a:lstStyle/>
          <a:p>
            <a:pPr>
              <a:defRPr sz="1200" b="0"/>
            </a:pPr>
            <a:endParaRPr lang="en-US"/>
          </a:p>
        </c:txPr>
        <c:crossAx val="150897024"/>
        <c:crosses val="autoZero"/>
        <c:auto val="1"/>
        <c:lblAlgn val="ctr"/>
        <c:lblOffset val="100"/>
        <c:noMultiLvlLbl val="0"/>
      </c:catAx>
      <c:valAx>
        <c:axId val="150897024"/>
        <c:scaling>
          <c:orientation val="minMax"/>
        </c:scaling>
        <c:delete val="0"/>
        <c:axPos val="l"/>
        <c:majorGridlines/>
        <c:title>
          <c:tx>
            <c:rich>
              <a:bodyPr rot="-5400000" vert="horz"/>
              <a:lstStyle/>
              <a:p>
                <a:pPr>
                  <a:defRPr sz="1400"/>
                </a:pPr>
                <a:r>
                  <a:rPr lang="en-US" sz="1400" b="1" i="0" u="none" strike="noStrike" baseline="0">
                    <a:effectLst/>
                  </a:rPr>
                  <a:t>Annual shipments (units)</a:t>
                </a:r>
                <a:endParaRPr lang="en-US" sz="1400"/>
              </a:p>
            </c:rich>
          </c:tx>
          <c:layout>
            <c:manualLayout>
              <c:xMode val="edge"/>
              <c:yMode val="edge"/>
              <c:x val="1.9609802403137568E-2"/>
              <c:y val="0.2073516391481216"/>
            </c:manualLayout>
          </c:layout>
          <c:overlay val="0"/>
        </c:title>
        <c:numFmt formatCode="_(* #,##0_);_(* \(#,##0\);_(* &quot;-&quot;??_);_(@_)" sourceLinked="1"/>
        <c:majorTickMark val="out"/>
        <c:minorTickMark val="none"/>
        <c:tickLblPos val="nextTo"/>
        <c:txPr>
          <a:bodyPr/>
          <a:lstStyle/>
          <a:p>
            <a:pPr>
              <a:defRPr sz="1400"/>
            </a:pPr>
            <a:endParaRPr lang="en-US"/>
          </a:p>
        </c:txPr>
        <c:crossAx val="150870656"/>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5714959771451"/>
          <c:y val="0.13461926569180821"/>
          <c:w val="0.79486657606779976"/>
          <c:h val="0.7723796198526528"/>
        </c:manualLayout>
      </c:layout>
      <c:barChart>
        <c:barDir val="col"/>
        <c:grouping val="stacked"/>
        <c:varyColors val="0"/>
        <c:ser>
          <c:idx val="0"/>
          <c:order val="0"/>
          <c:tx>
            <c:strRef>
              <c:f>Summary!$N$323</c:f>
              <c:strCache>
                <c:ptCount val="1"/>
                <c:pt idx="0">
                  <c:v>ONUs</c:v>
                </c:pt>
              </c:strCache>
            </c:strRef>
          </c:tx>
          <c:invertIfNegative val="0"/>
          <c:cat>
            <c:numRef>
              <c:f>Summary!$O$322:$Y$322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Summary!$O$323:$Y$323</c:f>
              <c:numCache>
                <c:formatCode>_("$"* #,##0_);_("$"* \(#,##0\);_("$"* "-"??_);_(@_)</c:formatCode>
                <c:ptCount val="11"/>
                <c:pt idx="0">
                  <c:v>87.801134324362607</c:v>
                </c:pt>
                <c:pt idx="1">
                  <c:v>158.36564593961413</c:v>
                </c:pt>
                <c:pt idx="2">
                  <c:v>227.86611764361703</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253-1A4F-8D74-675D3DCD77FA}"/>
            </c:ext>
          </c:extLst>
        </c:ser>
        <c:ser>
          <c:idx val="1"/>
          <c:order val="1"/>
          <c:tx>
            <c:strRef>
              <c:f>Summary!$N$324</c:f>
              <c:strCache>
                <c:ptCount val="1"/>
                <c:pt idx="0">
                  <c:v>OLTs</c:v>
                </c:pt>
              </c:strCache>
            </c:strRef>
          </c:tx>
          <c:invertIfNegative val="0"/>
          <c:cat>
            <c:numRef>
              <c:f>Summary!$O$322:$Y$322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Summary!$O$324:$Y$324</c:f>
              <c:numCache>
                <c:formatCode>_("$"* #,##0_);_("$"* \(#,##0\);_("$"* "-"??_);_(@_)</c:formatCode>
                <c:ptCount val="11"/>
                <c:pt idx="0">
                  <c:v>172.29104003683608</c:v>
                </c:pt>
                <c:pt idx="1">
                  <c:v>197.76326967351608</c:v>
                </c:pt>
                <c:pt idx="2">
                  <c:v>240.56127299934963</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253-1A4F-8D74-675D3DCD77FA}"/>
            </c:ext>
          </c:extLst>
        </c:ser>
        <c:ser>
          <c:idx val="2"/>
          <c:order val="2"/>
          <c:tx>
            <c:strRef>
              <c:f>Summary!$N$325</c:f>
              <c:strCache>
                <c:ptCount val="1"/>
                <c:pt idx="0">
                  <c:v>BOSAs on board</c:v>
                </c:pt>
              </c:strCache>
            </c:strRef>
          </c:tx>
          <c:invertIfNegative val="0"/>
          <c:cat>
            <c:numRef>
              <c:f>Summary!$O$322:$Y$322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Summary!$O$325:$Y$325</c:f>
              <c:numCache>
                <c:formatCode>_("$"* #,##0_);_("$"* \(#,##0\);_("$"* "-"??_);_(@_)</c:formatCode>
                <c:ptCount val="11"/>
                <c:pt idx="0">
                  <c:v>381.77228971199997</c:v>
                </c:pt>
                <c:pt idx="1">
                  <c:v>225.67646629722788</c:v>
                </c:pt>
                <c:pt idx="2">
                  <c:v>134.15612055968001</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253-1A4F-8D74-675D3DCD77FA}"/>
            </c:ext>
          </c:extLst>
        </c:ser>
        <c:dLbls>
          <c:showLegendKey val="0"/>
          <c:showVal val="0"/>
          <c:showCatName val="0"/>
          <c:showSerName val="0"/>
          <c:showPercent val="0"/>
          <c:showBubbleSize val="0"/>
        </c:dLbls>
        <c:gapWidth val="150"/>
        <c:overlap val="100"/>
        <c:axId val="150952960"/>
        <c:axId val="150954752"/>
      </c:barChart>
      <c:catAx>
        <c:axId val="150952960"/>
        <c:scaling>
          <c:orientation val="minMax"/>
        </c:scaling>
        <c:delete val="0"/>
        <c:axPos val="b"/>
        <c:numFmt formatCode="General" sourceLinked="1"/>
        <c:majorTickMark val="out"/>
        <c:minorTickMark val="none"/>
        <c:tickLblPos val="nextTo"/>
        <c:txPr>
          <a:bodyPr/>
          <a:lstStyle/>
          <a:p>
            <a:pPr>
              <a:defRPr sz="1200" b="0"/>
            </a:pPr>
            <a:endParaRPr lang="en-US"/>
          </a:p>
        </c:txPr>
        <c:crossAx val="150954752"/>
        <c:crosses val="autoZero"/>
        <c:auto val="1"/>
        <c:lblAlgn val="ctr"/>
        <c:lblOffset val="100"/>
        <c:noMultiLvlLbl val="0"/>
      </c:catAx>
      <c:valAx>
        <c:axId val="150954752"/>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50952960"/>
        <c:crosses val="autoZero"/>
        <c:crossBetween val="between"/>
      </c:valAx>
    </c:plotArea>
    <c:legend>
      <c:legendPos val="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46.xml"/><Relationship Id="rId7" Type="http://schemas.openxmlformats.org/officeDocument/2006/relationships/image" Target="../media/image1.png"/><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8" Type="http://schemas.openxmlformats.org/officeDocument/2006/relationships/chart" Target="../charts/chart56.xml"/><Relationship Id="rId13" Type="http://schemas.openxmlformats.org/officeDocument/2006/relationships/chart" Target="../charts/chart61.xml"/><Relationship Id="rId18" Type="http://schemas.openxmlformats.org/officeDocument/2006/relationships/image" Target="../media/image2.png"/><Relationship Id="rId3" Type="http://schemas.openxmlformats.org/officeDocument/2006/relationships/image" Target="../media/image1.png"/><Relationship Id="rId21" Type="http://schemas.openxmlformats.org/officeDocument/2006/relationships/image" Target="../media/image4.png"/><Relationship Id="rId7" Type="http://schemas.openxmlformats.org/officeDocument/2006/relationships/chart" Target="../charts/chart55.xml"/><Relationship Id="rId12" Type="http://schemas.openxmlformats.org/officeDocument/2006/relationships/chart" Target="../charts/chart60.xml"/><Relationship Id="rId17" Type="http://schemas.openxmlformats.org/officeDocument/2006/relationships/chart" Target="../charts/chart65.xml"/><Relationship Id="rId2" Type="http://schemas.openxmlformats.org/officeDocument/2006/relationships/chart" Target="../charts/chart51.xml"/><Relationship Id="rId16" Type="http://schemas.openxmlformats.org/officeDocument/2006/relationships/chart" Target="../charts/chart64.xml"/><Relationship Id="rId20" Type="http://schemas.openxmlformats.org/officeDocument/2006/relationships/chart" Target="../charts/chart66.xml"/><Relationship Id="rId1" Type="http://schemas.openxmlformats.org/officeDocument/2006/relationships/chart" Target="../charts/chart50.xml"/><Relationship Id="rId6" Type="http://schemas.openxmlformats.org/officeDocument/2006/relationships/chart" Target="../charts/chart54.xml"/><Relationship Id="rId11" Type="http://schemas.openxmlformats.org/officeDocument/2006/relationships/chart" Target="../charts/chart59.xml"/><Relationship Id="rId5" Type="http://schemas.openxmlformats.org/officeDocument/2006/relationships/chart" Target="../charts/chart53.xml"/><Relationship Id="rId15" Type="http://schemas.openxmlformats.org/officeDocument/2006/relationships/chart" Target="../charts/chart63.xml"/><Relationship Id="rId10" Type="http://schemas.openxmlformats.org/officeDocument/2006/relationships/chart" Target="../charts/chart58.xml"/><Relationship Id="rId19" Type="http://schemas.openxmlformats.org/officeDocument/2006/relationships/image" Target="../media/image3.png"/><Relationship Id="rId4" Type="http://schemas.openxmlformats.org/officeDocument/2006/relationships/chart" Target="../charts/chart52.xml"/><Relationship Id="rId9" Type="http://schemas.openxmlformats.org/officeDocument/2006/relationships/chart" Target="../charts/chart57.xml"/><Relationship Id="rId1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chart" Target="../charts/chart35.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2.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image" Target="../media/image1.png"/><Relationship Id="rId30" Type="http://schemas.openxmlformats.org/officeDocument/2006/relationships/chart" Target="../charts/chart31.xml"/><Relationship Id="rId35" Type="http://schemas.openxmlformats.org/officeDocument/2006/relationships/chart" Target="../charts/chart36.xml"/><Relationship Id="rId8" Type="http://schemas.openxmlformats.org/officeDocument/2006/relationships/chart" Target="../charts/chart10.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4.xml"/><Relationship Id="rId38" Type="http://schemas.openxmlformats.org/officeDocument/2006/relationships/chart" Target="../charts/chart3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404813</xdr:colOff>
      <xdr:row>0</xdr:row>
      <xdr:rowOff>31751</xdr:rowOff>
    </xdr:from>
    <xdr:to>
      <xdr:col>10</xdr:col>
      <xdr:colOff>430677</xdr:colOff>
      <xdr:row>4</xdr:row>
      <xdr:rowOff>121424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12001" y="31751"/>
          <a:ext cx="3883489" cy="859611"/>
        </a:xfrm>
        <a:prstGeom prst="rect">
          <a:avLst/>
        </a:prstGeom>
      </xdr:spPr>
    </xdr:pic>
    <xdr:clientData/>
  </xdr:twoCellAnchor>
  <xdr:twoCellAnchor>
    <xdr:from>
      <xdr:col>4</xdr:col>
      <xdr:colOff>206375</xdr:colOff>
      <xdr:row>12</xdr:row>
      <xdr:rowOff>23813</xdr:rowOff>
    </xdr:from>
    <xdr:to>
      <xdr:col>9</xdr:col>
      <xdr:colOff>611188</xdr:colOff>
      <xdr:row>23</xdr:row>
      <xdr:rowOff>39688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12188" y="2198688"/>
          <a:ext cx="361950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a:t>
          </a:r>
        </a:p>
        <a:p>
          <a:endParaRPr lang="en-US" sz="1100"/>
        </a:p>
        <a:p>
          <a:r>
            <a:rPr lang="en-US" sz="1100">
              <a:solidFill>
                <a:schemeClr val="dk1"/>
              </a:solidFill>
              <a:effectLst/>
              <a:latin typeface="+mn-lt"/>
              <a:ea typeface="+mn-ea"/>
              <a:cs typeface="+mn-cs"/>
            </a:rPr>
            <a:t>Our historical data includes the shipments of formerly independent and now merged/acquired/defunct companies. This is necessary to paint an accurate picture of the market at any point in time. Composing a historical time series from today’s existing companies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would be missing a good deal of the past market which would result in showing higher growth than has actually occurred.</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734785</xdr:colOff>
      <xdr:row>0</xdr:row>
      <xdr:rowOff>121330</xdr:rowOff>
    </xdr:from>
    <xdr:to>
      <xdr:col>13</xdr:col>
      <xdr:colOff>5996</xdr:colOff>
      <xdr:row>4</xdr:row>
      <xdr:rowOff>81643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8164285" y="121330"/>
          <a:ext cx="3883488" cy="74952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678997</xdr:colOff>
      <xdr:row>0</xdr:row>
      <xdr:rowOff>112712</xdr:rowOff>
    </xdr:from>
    <xdr:to>
      <xdr:col>15</xdr:col>
      <xdr:colOff>861343</xdr:colOff>
      <xdr:row>5</xdr:row>
      <xdr:rowOff>18009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9988097" y="112712"/>
          <a:ext cx="3890746" cy="8704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261257</xdr:colOff>
      <xdr:row>0</xdr:row>
      <xdr:rowOff>0</xdr:rowOff>
    </xdr:from>
    <xdr:to>
      <xdr:col>16</xdr:col>
      <xdr:colOff>281678</xdr:colOff>
      <xdr:row>4</xdr:row>
      <xdr:rowOff>70397</xdr:rowOff>
    </xdr:to>
    <xdr:pic>
      <xdr:nvPicPr>
        <xdr:cNvPr id="3" name="Picture 2">
          <a:extLst>
            <a:ext uri="{FF2B5EF4-FFF2-40B4-BE49-F238E27FC236}">
              <a16:creationId xmlns:a16="http://schemas.microsoft.com/office/drawing/2014/main" id="{F638CBE3-49D6-4651-B414-75DF610BE6C1}"/>
            </a:ext>
          </a:extLst>
        </xdr:cNvPr>
        <xdr:cNvPicPr>
          <a:picLocks noChangeAspect="1"/>
        </xdr:cNvPicPr>
      </xdr:nvPicPr>
      <xdr:blipFill>
        <a:blip xmlns:r="http://schemas.openxmlformats.org/officeDocument/2006/relationships" r:embed="rId1"/>
        <a:stretch>
          <a:fillRect/>
        </a:stretch>
      </xdr:blipFill>
      <xdr:spPr>
        <a:xfrm>
          <a:off x="8534400" y="0"/>
          <a:ext cx="3721564" cy="84328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631371</xdr:colOff>
      <xdr:row>0</xdr:row>
      <xdr:rowOff>0</xdr:rowOff>
    </xdr:from>
    <xdr:to>
      <xdr:col>13</xdr:col>
      <xdr:colOff>107506</xdr:colOff>
      <xdr:row>4</xdr:row>
      <xdr:rowOff>70397</xdr:rowOff>
    </xdr:to>
    <xdr:pic>
      <xdr:nvPicPr>
        <xdr:cNvPr id="2" name="Picture 1">
          <a:extLst>
            <a:ext uri="{FF2B5EF4-FFF2-40B4-BE49-F238E27FC236}">
              <a16:creationId xmlns:a16="http://schemas.microsoft.com/office/drawing/2014/main" id="{DC187996-F6FF-4643-9E98-1744A8613160}"/>
            </a:ext>
          </a:extLst>
        </xdr:cNvPr>
        <xdr:cNvPicPr>
          <a:picLocks noChangeAspect="1"/>
        </xdr:cNvPicPr>
      </xdr:nvPicPr>
      <xdr:blipFill>
        <a:blip xmlns:r="http://schemas.openxmlformats.org/officeDocument/2006/relationships" r:embed="rId1"/>
        <a:stretch>
          <a:fillRect/>
        </a:stretch>
      </xdr:blipFill>
      <xdr:spPr>
        <a:xfrm>
          <a:off x="8621485" y="0"/>
          <a:ext cx="3721564" cy="8432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147412</xdr:colOff>
      <xdr:row>0</xdr:row>
      <xdr:rowOff>0</xdr:rowOff>
    </xdr:from>
    <xdr:to>
      <xdr:col>15</xdr:col>
      <xdr:colOff>34935</xdr:colOff>
      <xdr:row>4</xdr:row>
      <xdr:rowOff>70397</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9255126" y="0"/>
          <a:ext cx="3878952" cy="85961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571500</xdr:colOff>
      <xdr:row>6</xdr:row>
      <xdr:rowOff>0</xdr:rowOff>
    </xdr:from>
    <xdr:to>
      <xdr:col>7</xdr:col>
      <xdr:colOff>506865</xdr:colOff>
      <xdr:row>29</xdr:row>
      <xdr:rowOff>30842</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136071</xdr:colOff>
      <xdr:row>168</xdr:row>
      <xdr:rowOff>159543</xdr:rowOff>
    </xdr:from>
    <xdr:to>
      <xdr:col>5</xdr:col>
      <xdr:colOff>789214</xdr:colOff>
      <xdr:row>185</xdr:row>
      <xdr:rowOff>42067</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145143</xdr:colOff>
      <xdr:row>169</xdr:row>
      <xdr:rowOff>4716</xdr:rowOff>
    </xdr:from>
    <xdr:to>
      <xdr:col>12</xdr:col>
      <xdr:colOff>317500</xdr:colOff>
      <xdr:row>185</xdr:row>
      <xdr:rowOff>4536</xdr:rowOff>
    </xdr:to>
    <xdr:graphicFrame macro="">
      <xdr:nvGraphicFramePr>
        <xdr:cNvPr id="5" name="Chart 1195914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56686</xdr:colOff>
      <xdr:row>5</xdr:row>
      <xdr:rowOff>123976</xdr:rowOff>
    </xdr:from>
    <xdr:to>
      <xdr:col>20</xdr:col>
      <xdr:colOff>607786</xdr:colOff>
      <xdr:row>28</xdr:row>
      <xdr:rowOff>65918</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581319</xdr:colOff>
      <xdr:row>29</xdr:row>
      <xdr:rowOff>146957</xdr:rowOff>
    </xdr:from>
    <xdr:to>
      <xdr:col>7</xdr:col>
      <xdr:colOff>570592</xdr:colOff>
      <xdr:row>55</xdr:row>
      <xdr:rowOff>51707</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47625</xdr:colOff>
      <xdr:row>30</xdr:row>
      <xdr:rowOff>27215</xdr:rowOff>
    </xdr:from>
    <xdr:to>
      <xdr:col>20</xdr:col>
      <xdr:colOff>598714</xdr:colOff>
      <xdr:row>56</xdr:row>
      <xdr:rowOff>50800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952501</xdr:colOff>
      <xdr:row>0</xdr:row>
      <xdr:rowOff>0</xdr:rowOff>
    </xdr:from>
    <xdr:to>
      <xdr:col>18</xdr:col>
      <xdr:colOff>672204</xdr:colOff>
      <xdr:row>4</xdr:row>
      <xdr:rowOff>70397</xdr:rowOff>
    </xdr:to>
    <xdr:pic>
      <xdr:nvPicPr>
        <xdr:cNvPr id="8" name="Picture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7"/>
        <a:stretch>
          <a:fillRect/>
        </a:stretch>
      </xdr:blipFill>
      <xdr:spPr>
        <a:xfrm>
          <a:off x="11248572" y="0"/>
          <a:ext cx="3883489" cy="85961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47852</xdr:colOff>
      <xdr:row>0</xdr:row>
      <xdr:rowOff>0</xdr:rowOff>
    </xdr:from>
    <xdr:to>
      <xdr:col>15</xdr:col>
      <xdr:colOff>212966</xdr:colOff>
      <xdr:row>4</xdr:row>
      <xdr:rowOff>70396</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stretch>
          <a:fillRect/>
        </a:stretch>
      </xdr:blipFill>
      <xdr:spPr>
        <a:xfrm>
          <a:off x="9768795" y="0"/>
          <a:ext cx="3779171" cy="84328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1155700</xdr:colOff>
      <xdr:row>106</xdr:row>
      <xdr:rowOff>19050</xdr:rowOff>
    </xdr:from>
    <xdr:to>
      <xdr:col>7</xdr:col>
      <xdr:colOff>582386</xdr:colOff>
      <xdr:row>127</xdr:row>
      <xdr:rowOff>25400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2189238</xdr:colOff>
      <xdr:row>80</xdr:row>
      <xdr:rowOff>152097</xdr:rowOff>
    </xdr:from>
    <xdr:to>
      <xdr:col>8</xdr:col>
      <xdr:colOff>130627</xdr:colOff>
      <xdr:row>97</xdr:row>
      <xdr:rowOff>68943</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589644</xdr:colOff>
      <xdr:row>0</xdr:row>
      <xdr:rowOff>99786</xdr:rowOff>
    </xdr:from>
    <xdr:to>
      <xdr:col>14</xdr:col>
      <xdr:colOff>749311</xdr:colOff>
      <xdr:row>4</xdr:row>
      <xdr:rowOff>142968</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a:stretch>
          <a:fillRect/>
        </a:stretch>
      </xdr:blipFill>
      <xdr:spPr>
        <a:xfrm>
          <a:off x="10533744" y="99786"/>
          <a:ext cx="3861717" cy="862332"/>
        </a:xfrm>
        <a:prstGeom prst="rect">
          <a:avLst/>
        </a:prstGeom>
      </xdr:spPr>
    </xdr:pic>
    <xdr:clientData/>
  </xdr:twoCellAnchor>
  <xdr:twoCellAnchor>
    <xdr:from>
      <xdr:col>1</xdr:col>
      <xdr:colOff>99783</xdr:colOff>
      <xdr:row>299</xdr:row>
      <xdr:rowOff>25400</xdr:rowOff>
    </xdr:from>
    <xdr:to>
      <xdr:col>7</xdr:col>
      <xdr:colOff>888999</xdr:colOff>
      <xdr:row>320</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86178</xdr:colOff>
      <xdr:row>266</xdr:row>
      <xdr:rowOff>152399</xdr:rowOff>
    </xdr:from>
    <xdr:to>
      <xdr:col>6</xdr:col>
      <xdr:colOff>682625</xdr:colOff>
      <xdr:row>287</xdr:row>
      <xdr:rowOff>108856</xdr:rowOff>
    </xdr:to>
    <xdr:graphicFrame macro="">
      <xdr:nvGraphicFramePr>
        <xdr:cNvPr id="7" name="Chart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57149</xdr:colOff>
      <xdr:row>173</xdr:row>
      <xdr:rowOff>159656</xdr:rowOff>
    </xdr:from>
    <xdr:to>
      <xdr:col>6</xdr:col>
      <xdr:colOff>515257</xdr:colOff>
      <xdr:row>193</xdr:row>
      <xdr:rowOff>50799</xdr:rowOff>
    </xdr:to>
    <xdr:graphicFrame macro="">
      <xdr:nvGraphicFramePr>
        <xdr:cNvPr id="8" name="Chart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245835</xdr:colOff>
      <xdr:row>173</xdr:row>
      <xdr:rowOff>85269</xdr:rowOff>
    </xdr:from>
    <xdr:to>
      <xdr:col>21</xdr:col>
      <xdr:colOff>478970</xdr:colOff>
      <xdr:row>192</xdr:row>
      <xdr:rowOff>141513</xdr:rowOff>
    </xdr:to>
    <xdr:graphicFrame macro="">
      <xdr:nvGraphicFramePr>
        <xdr:cNvPr id="9" name="Chart 8">
          <a:extLst>
            <a:ext uri="{FF2B5EF4-FFF2-40B4-BE49-F238E27FC236}">
              <a16:creationId xmlns:a16="http://schemas.microsoft.com/office/drawing/2014/main"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311149</xdr:colOff>
      <xdr:row>212</xdr:row>
      <xdr:rowOff>85272</xdr:rowOff>
    </xdr:from>
    <xdr:to>
      <xdr:col>6</xdr:col>
      <xdr:colOff>116114</xdr:colOff>
      <xdr:row>231</xdr:row>
      <xdr:rowOff>5444</xdr:rowOff>
    </xdr:to>
    <xdr:graphicFrame macro="">
      <xdr:nvGraphicFramePr>
        <xdr:cNvPr id="10" name="Chart 9">
          <a:extLst>
            <a:ext uri="{FF2B5EF4-FFF2-40B4-BE49-F238E27FC236}">
              <a16:creationId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23586</xdr:colOff>
      <xdr:row>241</xdr:row>
      <xdr:rowOff>125184</xdr:rowOff>
    </xdr:from>
    <xdr:to>
      <xdr:col>6</xdr:col>
      <xdr:colOff>468086</xdr:colOff>
      <xdr:row>258</xdr:row>
      <xdr:rowOff>45355</xdr:rowOff>
    </xdr:to>
    <xdr:graphicFrame macro="">
      <xdr:nvGraphicFramePr>
        <xdr:cNvPr id="11" name="Chart 10">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51593</xdr:colOff>
      <xdr:row>352</xdr:row>
      <xdr:rowOff>144461</xdr:rowOff>
    </xdr:from>
    <xdr:to>
      <xdr:col>8</xdr:col>
      <xdr:colOff>539750</xdr:colOff>
      <xdr:row>370</xdr:row>
      <xdr:rowOff>111123</xdr:rowOff>
    </xdr:to>
    <xdr:graphicFrame macro="">
      <xdr:nvGraphicFramePr>
        <xdr:cNvPr id="12" name="Chart 11">
          <a:extLst>
            <a:ext uri="{FF2B5EF4-FFF2-40B4-BE49-F238E27FC236}">
              <a16:creationId xmlns:a16="http://schemas.microsoft.com/office/drawing/2014/main" id="{00000000-0008-0000-1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364331</xdr:colOff>
      <xdr:row>80</xdr:row>
      <xdr:rowOff>147638</xdr:rowOff>
    </xdr:from>
    <xdr:to>
      <xdr:col>13</xdr:col>
      <xdr:colOff>925513</xdr:colOff>
      <xdr:row>97</xdr:row>
      <xdr:rowOff>57150</xdr:rowOff>
    </xdr:to>
    <xdr:graphicFrame macro="">
      <xdr:nvGraphicFramePr>
        <xdr:cNvPr id="13" name="Chart 12">
          <a:extLst>
            <a:ext uri="{FF2B5EF4-FFF2-40B4-BE49-F238E27FC236}">
              <a16:creationId xmlns:a16="http://schemas.microsoft.com/office/drawing/2014/main" id="{00000000-0008-0000-1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637721</xdr:colOff>
      <xdr:row>173</xdr:row>
      <xdr:rowOff>159658</xdr:rowOff>
    </xdr:from>
    <xdr:to>
      <xdr:col>13</xdr:col>
      <xdr:colOff>658585</xdr:colOff>
      <xdr:row>192</xdr:row>
      <xdr:rowOff>161470</xdr:rowOff>
    </xdr:to>
    <xdr:graphicFrame macro="">
      <xdr:nvGraphicFramePr>
        <xdr:cNvPr id="15" name="Chart 14">
          <a:extLst>
            <a:ext uri="{FF2B5EF4-FFF2-40B4-BE49-F238E27FC236}">
              <a16:creationId xmlns:a16="http://schemas.microsoft.com/office/drawing/2014/main" id="{00000000-0008-0000-1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323849</xdr:colOff>
      <xdr:row>212</xdr:row>
      <xdr:rowOff>85272</xdr:rowOff>
    </xdr:from>
    <xdr:to>
      <xdr:col>13</xdr:col>
      <xdr:colOff>90714</xdr:colOff>
      <xdr:row>231</xdr:row>
      <xdr:rowOff>5444</xdr:rowOff>
    </xdr:to>
    <xdr:graphicFrame macro="">
      <xdr:nvGraphicFramePr>
        <xdr:cNvPr id="20" name="Chart 19">
          <a:extLst>
            <a:ext uri="{FF2B5EF4-FFF2-40B4-BE49-F238E27FC236}">
              <a16:creationId xmlns:a16="http://schemas.microsoft.com/office/drawing/2014/main" id="{00000000-0008-0000-1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292100</xdr:colOff>
      <xdr:row>141</xdr:row>
      <xdr:rowOff>50800</xdr:rowOff>
    </xdr:from>
    <xdr:to>
      <xdr:col>9</xdr:col>
      <xdr:colOff>342900</xdr:colOff>
      <xdr:row>159</xdr:row>
      <xdr:rowOff>152400</xdr:rowOff>
    </xdr:to>
    <xdr:graphicFrame macro="">
      <xdr:nvGraphicFramePr>
        <xdr:cNvPr id="14" name="Chart 13">
          <a:extLst>
            <a:ext uri="{FF2B5EF4-FFF2-40B4-BE49-F238E27FC236}">
              <a16:creationId xmlns:a16="http://schemas.microsoft.com/office/drawing/2014/main" id="{00000000-0008-0000-1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647700</xdr:colOff>
      <xdr:row>141</xdr:row>
      <xdr:rowOff>50800</xdr:rowOff>
    </xdr:from>
    <xdr:to>
      <xdr:col>12</xdr:col>
      <xdr:colOff>368300</xdr:colOff>
      <xdr:row>159</xdr:row>
      <xdr:rowOff>152400</xdr:rowOff>
    </xdr:to>
    <xdr:graphicFrame macro="">
      <xdr:nvGraphicFramePr>
        <xdr:cNvPr id="23" name="Chart 22">
          <a:extLst>
            <a:ext uri="{FF2B5EF4-FFF2-40B4-BE49-F238E27FC236}">
              <a16:creationId xmlns:a16="http://schemas.microsoft.com/office/drawing/2014/main" id="{00000000-0008-0000-1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48078</xdr:colOff>
      <xdr:row>52</xdr:row>
      <xdr:rowOff>128814</xdr:rowOff>
    </xdr:from>
    <xdr:to>
      <xdr:col>8</xdr:col>
      <xdr:colOff>279400</xdr:colOff>
      <xdr:row>69</xdr:row>
      <xdr:rowOff>78014</xdr:rowOff>
    </xdr:to>
    <xdr:grpSp>
      <xdr:nvGrpSpPr>
        <xdr:cNvPr id="25" name="Group 24">
          <a:extLst>
            <a:ext uri="{FF2B5EF4-FFF2-40B4-BE49-F238E27FC236}">
              <a16:creationId xmlns:a16="http://schemas.microsoft.com/office/drawing/2014/main" id="{00000000-0008-0000-1000-000019000000}"/>
            </a:ext>
          </a:extLst>
        </xdr:cNvPr>
        <xdr:cNvGrpSpPr/>
      </xdr:nvGrpSpPr>
      <xdr:grpSpPr>
        <a:xfrm>
          <a:off x="2573564" y="9697357"/>
          <a:ext cx="5652407" cy="2910114"/>
          <a:chOff x="2638878" y="9399814"/>
          <a:chExt cx="5793922" cy="2755900"/>
        </a:xfrm>
      </xdr:grpSpPr>
      <xdr:graphicFrame macro="">
        <xdr:nvGraphicFramePr>
          <xdr:cNvPr id="16" name="Chart 15">
            <a:extLst>
              <a:ext uri="{FF2B5EF4-FFF2-40B4-BE49-F238E27FC236}">
                <a16:creationId xmlns:a16="http://schemas.microsoft.com/office/drawing/2014/main" id="{00000000-0008-0000-1000-000010000000}"/>
              </a:ext>
            </a:extLst>
          </xdr:cNvPr>
          <xdr:cNvGraphicFramePr>
            <a:graphicFrameLocks/>
          </xdr:cNvGraphicFramePr>
        </xdr:nvGraphicFramePr>
        <xdr:xfrm>
          <a:off x="2638878" y="9399814"/>
          <a:ext cx="5793922" cy="2755900"/>
        </xdr:xfrm>
        <a:graphic>
          <a:graphicData uri="http://schemas.openxmlformats.org/drawingml/2006/chart">
            <c:chart xmlns:c="http://schemas.openxmlformats.org/drawingml/2006/chart" xmlns:r="http://schemas.openxmlformats.org/officeDocument/2006/relationships" r:id="rId16"/>
          </a:graphicData>
        </a:graphic>
      </xdr:graphicFrame>
      <xdr:pic>
        <xdr:nvPicPr>
          <xdr:cNvPr id="22" name="Picture 21">
            <a:extLst>
              <a:ext uri="{FF2B5EF4-FFF2-40B4-BE49-F238E27FC236}">
                <a16:creationId xmlns:a16="http://schemas.microsoft.com/office/drawing/2014/main" id="{00000000-0008-0000-1000-000016000000}"/>
              </a:ext>
            </a:extLst>
          </xdr:cNvPr>
          <xdr:cNvPicPr>
            <a:picLocks noChangeAspect="1"/>
          </xdr:cNvPicPr>
        </xdr:nvPicPr>
        <xdr:blipFill>
          <a:blip xmlns:r="http://schemas.openxmlformats.org/officeDocument/2006/relationships" r:embed="rId3"/>
          <a:stretch>
            <a:fillRect/>
          </a:stretch>
        </xdr:blipFill>
        <xdr:spPr>
          <a:xfrm>
            <a:off x="6464299" y="11189518"/>
            <a:ext cx="1584789" cy="350793"/>
          </a:xfrm>
          <a:prstGeom prst="rect">
            <a:avLst/>
          </a:prstGeom>
          <a:ln>
            <a:solidFill>
              <a:schemeClr val="tx1"/>
            </a:solidFill>
          </a:ln>
        </xdr:spPr>
      </xdr:pic>
    </xdr:grpSp>
    <xdr:clientData/>
  </xdr:twoCellAnchor>
  <xdr:twoCellAnchor>
    <xdr:from>
      <xdr:col>1</xdr:col>
      <xdr:colOff>127000</xdr:colOff>
      <xdr:row>327</xdr:row>
      <xdr:rowOff>25400</xdr:rowOff>
    </xdr:from>
    <xdr:to>
      <xdr:col>6</xdr:col>
      <xdr:colOff>25400</xdr:colOff>
      <xdr:row>345</xdr:row>
      <xdr:rowOff>139700</xdr:rowOff>
    </xdr:to>
    <xdr:graphicFrame macro="">
      <xdr:nvGraphicFramePr>
        <xdr:cNvPr id="26" name="Chart 25">
          <a:extLst>
            <a:ext uri="{FF2B5EF4-FFF2-40B4-BE49-F238E27FC236}">
              <a16:creationId xmlns:a16="http://schemas.microsoft.com/office/drawing/2014/main" id="{00000000-0008-0000-1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6</xdr:col>
      <xdr:colOff>762000</xdr:colOff>
      <xdr:row>31</xdr:row>
      <xdr:rowOff>12700</xdr:rowOff>
    </xdr:from>
    <xdr:to>
      <xdr:col>13</xdr:col>
      <xdr:colOff>461474</xdr:colOff>
      <xdr:row>48</xdr:row>
      <xdr:rowOff>76200</xdr:rowOff>
    </xdr:to>
    <xdr:pic>
      <xdr:nvPicPr>
        <xdr:cNvPr id="18" name="Picture 17">
          <a:extLst>
            <a:ext uri="{FF2B5EF4-FFF2-40B4-BE49-F238E27FC236}">
              <a16:creationId xmlns:a16="http://schemas.microsoft.com/office/drawing/2014/main" id="{00000000-0008-0000-1000-000012000000}"/>
            </a:ext>
          </a:extLst>
        </xdr:cNvPr>
        <xdr:cNvPicPr>
          <a:picLocks noChangeAspect="1"/>
        </xdr:cNvPicPr>
      </xdr:nvPicPr>
      <xdr:blipFill>
        <a:blip xmlns:r="http://schemas.openxmlformats.org/officeDocument/2006/relationships" r:embed="rId18"/>
        <a:stretch>
          <a:fillRect/>
        </a:stretch>
      </xdr:blipFill>
      <xdr:spPr>
        <a:xfrm>
          <a:off x="7061200" y="5715000"/>
          <a:ext cx="6189174" cy="2895600"/>
        </a:xfrm>
        <a:prstGeom prst="rect">
          <a:avLst/>
        </a:prstGeom>
      </xdr:spPr>
    </xdr:pic>
    <xdr:clientData/>
  </xdr:twoCellAnchor>
  <xdr:twoCellAnchor editAs="oneCell">
    <xdr:from>
      <xdr:col>1</xdr:col>
      <xdr:colOff>177799</xdr:colOff>
      <xdr:row>30</xdr:row>
      <xdr:rowOff>127000</xdr:rowOff>
    </xdr:from>
    <xdr:to>
      <xdr:col>6</xdr:col>
      <xdr:colOff>432646</xdr:colOff>
      <xdr:row>48</xdr:row>
      <xdr:rowOff>76200</xdr:rowOff>
    </xdr:to>
    <xdr:pic>
      <xdr:nvPicPr>
        <xdr:cNvPr id="27" name="Picture 26">
          <a:extLst>
            <a:ext uri="{FF2B5EF4-FFF2-40B4-BE49-F238E27FC236}">
              <a16:creationId xmlns:a16="http://schemas.microsoft.com/office/drawing/2014/main" id="{00000000-0008-0000-1000-00001B000000}"/>
            </a:ext>
          </a:extLst>
        </xdr:cNvPr>
        <xdr:cNvPicPr>
          <a:picLocks noChangeAspect="1"/>
        </xdr:cNvPicPr>
      </xdr:nvPicPr>
      <xdr:blipFill>
        <a:blip xmlns:r="http://schemas.openxmlformats.org/officeDocument/2006/relationships" r:embed="rId19"/>
        <a:stretch>
          <a:fillRect/>
        </a:stretch>
      </xdr:blipFill>
      <xdr:spPr>
        <a:xfrm>
          <a:off x="495299" y="5664200"/>
          <a:ext cx="6236547" cy="2946400"/>
        </a:xfrm>
        <a:prstGeom prst="rect">
          <a:avLst/>
        </a:prstGeom>
      </xdr:spPr>
    </xdr:pic>
    <xdr:clientData/>
  </xdr:twoCellAnchor>
  <xdr:twoCellAnchor>
    <xdr:from>
      <xdr:col>1</xdr:col>
      <xdr:colOff>190500</xdr:colOff>
      <xdr:row>9</xdr:row>
      <xdr:rowOff>12700</xdr:rowOff>
    </xdr:from>
    <xdr:to>
      <xdr:col>7</xdr:col>
      <xdr:colOff>241300</xdr:colOff>
      <xdr:row>29</xdr:row>
      <xdr:rowOff>0</xdr:rowOff>
    </xdr:to>
    <xdr:grpSp>
      <xdr:nvGrpSpPr>
        <xdr:cNvPr id="30" name="Group 29">
          <a:extLst>
            <a:ext uri="{FF2B5EF4-FFF2-40B4-BE49-F238E27FC236}">
              <a16:creationId xmlns:a16="http://schemas.microsoft.com/office/drawing/2014/main" id="{00000000-0008-0000-1000-00001E000000}"/>
            </a:ext>
          </a:extLst>
        </xdr:cNvPr>
        <xdr:cNvGrpSpPr/>
      </xdr:nvGrpSpPr>
      <xdr:grpSpPr>
        <a:xfrm>
          <a:off x="495300" y="1906814"/>
          <a:ext cx="6789057" cy="3470729"/>
          <a:chOff x="8064500" y="1854200"/>
          <a:chExt cx="6959600" cy="3289300"/>
        </a:xfrm>
      </xdr:grpSpPr>
      <xdr:graphicFrame macro="">
        <xdr:nvGraphicFramePr>
          <xdr:cNvPr id="28" name="Chart 27">
            <a:extLst>
              <a:ext uri="{FF2B5EF4-FFF2-40B4-BE49-F238E27FC236}">
                <a16:creationId xmlns:a16="http://schemas.microsoft.com/office/drawing/2014/main" id="{00000000-0008-0000-1000-00001C000000}"/>
              </a:ext>
            </a:extLst>
          </xdr:cNvPr>
          <xdr:cNvGraphicFramePr>
            <a:graphicFrameLocks/>
          </xdr:cNvGraphicFramePr>
        </xdr:nvGraphicFramePr>
        <xdr:xfrm>
          <a:off x="8064500" y="1854200"/>
          <a:ext cx="6959600" cy="3289300"/>
        </xdr:xfrm>
        <a:graphic>
          <a:graphicData uri="http://schemas.openxmlformats.org/drawingml/2006/chart">
            <c:chart xmlns:c="http://schemas.openxmlformats.org/drawingml/2006/chart" xmlns:r="http://schemas.openxmlformats.org/officeDocument/2006/relationships" r:id="rId20"/>
          </a:graphicData>
        </a:graphic>
      </xdr:graphicFrame>
      <xdr:pic>
        <xdr:nvPicPr>
          <xdr:cNvPr id="29" name="Picture 28">
            <a:extLst>
              <a:ext uri="{FF2B5EF4-FFF2-40B4-BE49-F238E27FC236}">
                <a16:creationId xmlns:a16="http://schemas.microsoft.com/office/drawing/2014/main" id="{00000000-0008-0000-1000-00001D000000}"/>
              </a:ext>
            </a:extLst>
          </xdr:cNvPr>
          <xdr:cNvPicPr>
            <a:picLocks noChangeAspect="1"/>
          </xdr:cNvPicPr>
        </xdr:nvPicPr>
        <xdr:blipFill>
          <a:blip xmlns:r="http://schemas.openxmlformats.org/officeDocument/2006/relationships" r:embed="rId21"/>
          <a:stretch>
            <a:fillRect/>
          </a:stretch>
        </xdr:blipFill>
        <xdr:spPr>
          <a:xfrm>
            <a:off x="10210800" y="2095500"/>
            <a:ext cx="1985092" cy="44009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9</xdr:col>
      <xdr:colOff>40282</xdr:colOff>
      <xdr:row>19</xdr:row>
      <xdr:rowOff>57150</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943100"/>
          <a:ext cx="5193307" cy="1485900"/>
          <a:chOff x="158" y="204"/>
          <a:chExt cx="521"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5" y="241"/>
            <a:ext cx="114" cy="6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9</xdr:col>
      <xdr:colOff>416719</xdr:colOff>
      <xdr:row>5</xdr:row>
      <xdr:rowOff>31750</xdr:rowOff>
    </xdr:from>
    <xdr:to>
      <xdr:col>17</xdr:col>
      <xdr:colOff>587375</xdr:colOff>
      <xdr:row>21</xdr:row>
      <xdr:rowOff>111126</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23813</xdr:colOff>
      <xdr:row>5</xdr:row>
      <xdr:rowOff>55562</xdr:rowOff>
    </xdr:from>
    <xdr:to>
      <xdr:col>25</xdr:col>
      <xdr:colOff>595313</xdr:colOff>
      <xdr:row>21</xdr:row>
      <xdr:rowOff>95250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484188</xdr:colOff>
      <xdr:row>0</xdr:row>
      <xdr:rowOff>119062</xdr:rowOff>
    </xdr:from>
    <xdr:to>
      <xdr:col>19</xdr:col>
      <xdr:colOff>510051</xdr:colOff>
      <xdr:row>5</xdr:row>
      <xdr:rowOff>2360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8509001" y="119062"/>
          <a:ext cx="3883488" cy="859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373063</xdr:colOff>
      <xdr:row>0</xdr:row>
      <xdr:rowOff>31750</xdr:rowOff>
    </xdr:from>
    <xdr:to>
      <xdr:col>14</xdr:col>
      <xdr:colOff>446552</xdr:colOff>
      <xdr:row>4</xdr:row>
      <xdr:rowOff>65861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842501" y="31750"/>
          <a:ext cx="3883489" cy="859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10583</xdr:colOff>
      <xdr:row>34</xdr:row>
      <xdr:rowOff>152400</xdr:rowOff>
    </xdr:from>
    <xdr:to>
      <xdr:col>6</xdr:col>
      <xdr:colOff>825500</xdr:colOff>
      <xdr:row>54</xdr:row>
      <xdr:rowOff>116418</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34775</xdr:colOff>
      <xdr:row>118</xdr:row>
      <xdr:rowOff>46115</xdr:rowOff>
    </xdr:from>
    <xdr:to>
      <xdr:col>20</xdr:col>
      <xdr:colOff>317501</xdr:colOff>
      <xdr:row>136</xdr:row>
      <xdr:rowOff>116417</xdr:rowOff>
    </xdr:to>
    <xdr:graphicFrame macro="">
      <xdr:nvGraphicFramePr>
        <xdr:cNvPr id="7" name="Chart 1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57148</xdr:colOff>
      <xdr:row>149</xdr:row>
      <xdr:rowOff>159809</xdr:rowOff>
    </xdr:from>
    <xdr:to>
      <xdr:col>8</xdr:col>
      <xdr:colOff>84667</xdr:colOff>
      <xdr:row>166</xdr:row>
      <xdr:rowOff>121709</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7</xdr:col>
      <xdr:colOff>105831</xdr:colOff>
      <xdr:row>35</xdr:row>
      <xdr:rowOff>10583</xdr:rowOff>
    </xdr:from>
    <xdr:to>
      <xdr:col>13</xdr:col>
      <xdr:colOff>148166</xdr:colOff>
      <xdr:row>54</xdr:row>
      <xdr:rowOff>95250</xdr:rowOff>
    </xdr:to>
    <xdr:graphicFrame macro="">
      <xdr:nvGraphicFramePr>
        <xdr:cNvPr id="11" name="Chart 4">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853016</xdr:colOff>
      <xdr:row>149</xdr:row>
      <xdr:rowOff>93132</xdr:rowOff>
    </xdr:from>
    <xdr:to>
      <xdr:col>19</xdr:col>
      <xdr:colOff>461132</xdr:colOff>
      <xdr:row>166</xdr:row>
      <xdr:rowOff>92226</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12699</xdr:colOff>
      <xdr:row>303</xdr:row>
      <xdr:rowOff>68035</xdr:rowOff>
    </xdr:from>
    <xdr:to>
      <xdr:col>7</xdr:col>
      <xdr:colOff>508000</xdr:colOff>
      <xdr:row>319</xdr:row>
      <xdr:rowOff>193902</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27174</xdr:colOff>
      <xdr:row>303</xdr:row>
      <xdr:rowOff>41957</xdr:rowOff>
    </xdr:from>
    <xdr:to>
      <xdr:col>19</xdr:col>
      <xdr:colOff>518584</xdr:colOff>
      <xdr:row>319</xdr:row>
      <xdr:rowOff>94343</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77257</xdr:colOff>
      <xdr:row>395</xdr:row>
      <xdr:rowOff>169332</xdr:rowOff>
    </xdr:from>
    <xdr:to>
      <xdr:col>9</xdr:col>
      <xdr:colOff>74083</xdr:colOff>
      <xdr:row>414</xdr:row>
      <xdr:rowOff>169333</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89201</xdr:colOff>
      <xdr:row>396</xdr:row>
      <xdr:rowOff>1</xdr:rowOff>
    </xdr:from>
    <xdr:to>
      <xdr:col>20</xdr:col>
      <xdr:colOff>793749</xdr:colOff>
      <xdr:row>414</xdr:row>
      <xdr:rowOff>137585</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44448</xdr:colOff>
      <xdr:row>464</xdr:row>
      <xdr:rowOff>65615</xdr:rowOff>
    </xdr:from>
    <xdr:to>
      <xdr:col>8</xdr:col>
      <xdr:colOff>111125</xdr:colOff>
      <xdr:row>482</xdr:row>
      <xdr:rowOff>160070</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88899</xdr:colOff>
      <xdr:row>464</xdr:row>
      <xdr:rowOff>27517</xdr:rowOff>
    </xdr:from>
    <xdr:to>
      <xdr:col>19</xdr:col>
      <xdr:colOff>666752</xdr:colOff>
      <xdr:row>482</xdr:row>
      <xdr:rowOff>158751</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282577</xdr:colOff>
      <xdr:row>524</xdr:row>
      <xdr:rowOff>145142</xdr:rowOff>
    </xdr:from>
    <xdr:to>
      <xdr:col>7</xdr:col>
      <xdr:colOff>899584</xdr:colOff>
      <xdr:row>542</xdr:row>
      <xdr:rowOff>127000</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134560</xdr:colOff>
      <xdr:row>525</xdr:row>
      <xdr:rowOff>24191</xdr:rowOff>
    </xdr:from>
    <xdr:to>
      <xdr:col>19</xdr:col>
      <xdr:colOff>465667</xdr:colOff>
      <xdr:row>542</xdr:row>
      <xdr:rowOff>179916</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280536</xdr:colOff>
      <xdr:row>493</xdr:row>
      <xdr:rowOff>74083</xdr:rowOff>
    </xdr:from>
    <xdr:to>
      <xdr:col>8</xdr:col>
      <xdr:colOff>58209</xdr:colOff>
      <xdr:row>511</xdr:row>
      <xdr:rowOff>84969</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36511</xdr:colOff>
      <xdr:row>493</xdr:row>
      <xdr:rowOff>160867</xdr:rowOff>
    </xdr:from>
    <xdr:to>
      <xdr:col>19</xdr:col>
      <xdr:colOff>603251</xdr:colOff>
      <xdr:row>511</xdr:row>
      <xdr:rowOff>137847</xdr:rowOff>
    </xdr:to>
    <xdr:graphicFrame macro="">
      <xdr:nvGraphicFramePr>
        <xdr:cNvPr id="32" name="Chart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13759</xdr:colOff>
      <xdr:row>556</xdr:row>
      <xdr:rowOff>105834</xdr:rowOff>
    </xdr:from>
    <xdr:to>
      <xdr:col>8</xdr:col>
      <xdr:colOff>98778</xdr:colOff>
      <xdr:row>573</xdr:row>
      <xdr:rowOff>121708</xdr:rowOff>
    </xdr:to>
    <xdr:graphicFrame macro="">
      <xdr:nvGraphicFramePr>
        <xdr:cNvPr id="35" name="Chart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56888</xdr:colOff>
      <xdr:row>436</xdr:row>
      <xdr:rowOff>167216</xdr:rowOff>
    </xdr:from>
    <xdr:to>
      <xdr:col>8</xdr:col>
      <xdr:colOff>624418</xdr:colOff>
      <xdr:row>454</xdr:row>
      <xdr:rowOff>64822</xdr:rowOff>
    </xdr:to>
    <xdr:graphicFrame macro="">
      <xdr:nvGraphicFramePr>
        <xdr:cNvPr id="37" name="Chart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78619</xdr:colOff>
      <xdr:row>436</xdr:row>
      <xdr:rowOff>52009</xdr:rowOff>
    </xdr:from>
    <xdr:to>
      <xdr:col>20</xdr:col>
      <xdr:colOff>0</xdr:colOff>
      <xdr:row>454</xdr:row>
      <xdr:rowOff>73175</xdr:rowOff>
    </xdr:to>
    <xdr:graphicFrame macro="">
      <xdr:nvGraphicFramePr>
        <xdr:cNvPr id="38" name="Chart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13607</xdr:colOff>
      <xdr:row>174</xdr:row>
      <xdr:rowOff>148166</xdr:rowOff>
    </xdr:from>
    <xdr:to>
      <xdr:col>19</xdr:col>
      <xdr:colOff>701525</xdr:colOff>
      <xdr:row>192</xdr:row>
      <xdr:rowOff>95250</xdr:rowOff>
    </xdr:to>
    <xdr:graphicFrame macro="">
      <xdr:nvGraphicFramePr>
        <xdr:cNvPr id="41" name="Chart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absolute">
    <xdr:from>
      <xdr:col>1</xdr:col>
      <xdr:colOff>42334</xdr:colOff>
      <xdr:row>76</xdr:row>
      <xdr:rowOff>131231</xdr:rowOff>
    </xdr:from>
    <xdr:to>
      <xdr:col>5</xdr:col>
      <xdr:colOff>740834</xdr:colOff>
      <xdr:row>93</xdr:row>
      <xdr:rowOff>63500</xdr:rowOff>
    </xdr:to>
    <xdr:graphicFrame macro="">
      <xdr:nvGraphicFramePr>
        <xdr:cNvPr id="46" name="Chart 4">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absolute">
    <xdr:from>
      <xdr:col>7</xdr:col>
      <xdr:colOff>169335</xdr:colOff>
      <xdr:row>76</xdr:row>
      <xdr:rowOff>137583</xdr:rowOff>
    </xdr:from>
    <xdr:to>
      <xdr:col>12</xdr:col>
      <xdr:colOff>698501</xdr:colOff>
      <xdr:row>93</xdr:row>
      <xdr:rowOff>52917</xdr:rowOff>
    </xdr:to>
    <xdr:graphicFrame macro="">
      <xdr:nvGraphicFramePr>
        <xdr:cNvPr id="47" name="Chart 4">
          <a:extLst>
            <a:ext uri="{FF2B5EF4-FFF2-40B4-BE49-F238E27FC236}">
              <a16:creationId xmlns:a16="http://schemas.microsoft.com/office/drawing/2014/main" id="{00000000-0008-0000-03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xdr:colOff>
      <xdr:row>6</xdr:row>
      <xdr:rowOff>162982</xdr:rowOff>
    </xdr:from>
    <xdr:to>
      <xdr:col>12</xdr:col>
      <xdr:colOff>899583</xdr:colOff>
      <xdr:row>23</xdr:row>
      <xdr:rowOff>63500</xdr:rowOff>
    </xdr:to>
    <xdr:graphicFrame macro="">
      <xdr:nvGraphicFramePr>
        <xdr:cNvPr id="50" name="Chart 49">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absolute">
    <xdr:from>
      <xdr:col>1</xdr:col>
      <xdr:colOff>42332</xdr:colOff>
      <xdr:row>6</xdr:row>
      <xdr:rowOff>127000</xdr:rowOff>
    </xdr:from>
    <xdr:to>
      <xdr:col>6</xdr:col>
      <xdr:colOff>507999</xdr:colOff>
      <xdr:row>23</xdr:row>
      <xdr:rowOff>74084</xdr:rowOff>
    </xdr:to>
    <xdr:graphicFrame macro="">
      <xdr:nvGraphicFramePr>
        <xdr:cNvPr id="51" name="Chart 2">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21166</xdr:colOff>
      <xdr:row>175</xdr:row>
      <xdr:rowOff>116416</xdr:rowOff>
    </xdr:from>
    <xdr:to>
      <xdr:col>6</xdr:col>
      <xdr:colOff>550333</xdr:colOff>
      <xdr:row>192</xdr:row>
      <xdr:rowOff>84667</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19</xdr:col>
      <xdr:colOff>885674</xdr:colOff>
      <xdr:row>203</xdr:row>
      <xdr:rowOff>82550</xdr:rowOff>
    </xdr:from>
    <xdr:to>
      <xdr:col>25</xdr:col>
      <xdr:colOff>254605</xdr:colOff>
      <xdr:row>221</xdr:row>
      <xdr:rowOff>111577</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25246</xdr:colOff>
      <xdr:row>203</xdr:row>
      <xdr:rowOff>102432</xdr:rowOff>
    </xdr:from>
    <xdr:to>
      <xdr:col>7</xdr:col>
      <xdr:colOff>783166</xdr:colOff>
      <xdr:row>221</xdr:row>
      <xdr:rowOff>148167</xdr:rowOff>
    </xdr:to>
    <xdr:graphicFrame macro="">
      <xdr:nvGraphicFramePr>
        <xdr:cNvPr id="52" name="Chart 51">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8</xdr:col>
      <xdr:colOff>105833</xdr:colOff>
      <xdr:row>0</xdr:row>
      <xdr:rowOff>116416</xdr:rowOff>
    </xdr:from>
    <xdr:to>
      <xdr:col>12</xdr:col>
      <xdr:colOff>290446</xdr:colOff>
      <xdr:row>4</xdr:row>
      <xdr:rowOff>150527</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7"/>
        <a:stretch>
          <a:fillRect/>
        </a:stretch>
      </xdr:blipFill>
      <xdr:spPr>
        <a:xfrm>
          <a:off x="9448271" y="116416"/>
          <a:ext cx="3883489" cy="849028"/>
        </a:xfrm>
        <a:prstGeom prst="rect">
          <a:avLst/>
        </a:prstGeom>
      </xdr:spPr>
    </xdr:pic>
    <xdr:clientData/>
  </xdr:twoCellAnchor>
  <xdr:twoCellAnchor>
    <xdr:from>
      <xdr:col>1</xdr:col>
      <xdr:colOff>74082</xdr:colOff>
      <xdr:row>239</xdr:row>
      <xdr:rowOff>149678</xdr:rowOff>
    </xdr:from>
    <xdr:to>
      <xdr:col>7</xdr:col>
      <xdr:colOff>550333</xdr:colOff>
      <xdr:row>257</xdr:row>
      <xdr:rowOff>74083</xdr:rowOff>
    </xdr:to>
    <xdr:graphicFrame macro="">
      <xdr:nvGraphicFramePr>
        <xdr:cNvPr id="45" name="Chart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292101</xdr:colOff>
      <xdr:row>332</xdr:row>
      <xdr:rowOff>31750</xdr:rowOff>
    </xdr:from>
    <xdr:to>
      <xdr:col>7</xdr:col>
      <xdr:colOff>721784</xdr:colOff>
      <xdr:row>349</xdr:row>
      <xdr:rowOff>118532</xdr:rowOff>
    </xdr:to>
    <xdr:graphicFrame macro="">
      <xdr:nvGraphicFramePr>
        <xdr:cNvPr id="53" name="Chart 52">
          <a:extLst>
            <a:ext uri="{FF2B5EF4-FFF2-40B4-BE49-F238E27FC236}">
              <a16:creationId xmlns:a16="http://schemas.microsoft.com/office/drawing/2014/main" id="{00000000-0008-0000-03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13</xdr:col>
      <xdr:colOff>42636</xdr:colOff>
      <xdr:row>332</xdr:row>
      <xdr:rowOff>907</xdr:rowOff>
    </xdr:from>
    <xdr:to>
      <xdr:col>19</xdr:col>
      <xdr:colOff>448735</xdr:colOff>
      <xdr:row>349</xdr:row>
      <xdr:rowOff>156633</xdr:rowOff>
    </xdr:to>
    <xdr:graphicFrame macro="">
      <xdr:nvGraphicFramePr>
        <xdr:cNvPr id="54" name="Chart 53">
          <a:extLst>
            <a:ext uri="{FF2B5EF4-FFF2-40B4-BE49-F238E27FC236}">
              <a16:creationId xmlns:a16="http://schemas.microsoft.com/office/drawing/2014/main" id="{00000000-0008-0000-03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21770</xdr:colOff>
      <xdr:row>360</xdr:row>
      <xdr:rowOff>71059</xdr:rowOff>
    </xdr:from>
    <xdr:to>
      <xdr:col>7</xdr:col>
      <xdr:colOff>793750</xdr:colOff>
      <xdr:row>381</xdr:row>
      <xdr:rowOff>103717</xdr:rowOff>
    </xdr:to>
    <xdr:graphicFrame macro="">
      <xdr:nvGraphicFramePr>
        <xdr:cNvPr id="55" name="Chart 54">
          <a:extLst>
            <a:ext uri="{FF2B5EF4-FFF2-40B4-BE49-F238E27FC236}">
              <a16:creationId xmlns:a16="http://schemas.microsoft.com/office/drawing/2014/main" id="{00000000-0008-0000-03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37192</xdr:colOff>
      <xdr:row>359</xdr:row>
      <xdr:rowOff>167819</xdr:rowOff>
    </xdr:from>
    <xdr:to>
      <xdr:col>19</xdr:col>
      <xdr:colOff>429685</xdr:colOff>
      <xdr:row>380</xdr:row>
      <xdr:rowOff>177799</xdr:rowOff>
    </xdr:to>
    <xdr:graphicFrame macro="">
      <xdr:nvGraphicFramePr>
        <xdr:cNvPr id="56" name="Chart 55">
          <a:extLst>
            <a:ext uri="{FF2B5EF4-FFF2-40B4-BE49-F238E27FC236}">
              <a16:creationId xmlns:a16="http://schemas.microsoft.com/office/drawing/2014/main" id="{00000000-0008-0000-03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14</xdr:col>
      <xdr:colOff>158750</xdr:colOff>
      <xdr:row>75</xdr:row>
      <xdr:rowOff>88899</xdr:rowOff>
    </xdr:from>
    <xdr:to>
      <xdr:col>22</xdr:col>
      <xdr:colOff>10583</xdr:colOff>
      <xdr:row>92</xdr:row>
      <xdr:rowOff>169335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31750</xdr:colOff>
      <xdr:row>203</xdr:row>
      <xdr:rowOff>82550</xdr:rowOff>
    </xdr:from>
    <xdr:to>
      <xdr:col>19</xdr:col>
      <xdr:colOff>733426</xdr:colOff>
      <xdr:row>221</xdr:row>
      <xdr:rowOff>142649</xdr:rowOff>
    </xdr:to>
    <xdr:graphicFrame macro="">
      <xdr:nvGraphicFramePr>
        <xdr:cNvPr id="58" name="Chart 57">
          <a:extLst>
            <a:ext uri="{FF2B5EF4-FFF2-40B4-BE49-F238E27FC236}">
              <a16:creationId xmlns:a16="http://schemas.microsoft.com/office/drawing/2014/main" id="{00000000-0008-0000-03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14</xdr:col>
      <xdr:colOff>101864</xdr:colOff>
      <xdr:row>54</xdr:row>
      <xdr:rowOff>43921</xdr:rowOff>
    </xdr:from>
    <xdr:to>
      <xdr:col>21</xdr:col>
      <xdr:colOff>825500</xdr:colOff>
      <xdr:row>69</xdr:row>
      <xdr:rowOff>74083</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84667</xdr:colOff>
      <xdr:row>557</xdr:row>
      <xdr:rowOff>182638</xdr:rowOff>
    </xdr:from>
    <xdr:to>
      <xdr:col>19</xdr:col>
      <xdr:colOff>599724</xdr:colOff>
      <xdr:row>575</xdr:row>
      <xdr:rowOff>26458</xdr:rowOff>
    </xdr:to>
    <xdr:graphicFrame macro="">
      <xdr:nvGraphicFramePr>
        <xdr:cNvPr id="59" name="Chart 58">
          <a:extLst>
            <a:ext uri="{FF2B5EF4-FFF2-40B4-BE49-F238E27FC236}">
              <a16:creationId xmlns:a16="http://schemas.microsoft.com/office/drawing/2014/main" id="{00000000-0008-0000-03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13</xdr:col>
      <xdr:colOff>96762</xdr:colOff>
      <xdr:row>273</xdr:row>
      <xdr:rowOff>167519</xdr:rowOff>
    </xdr:from>
    <xdr:to>
      <xdr:col>19</xdr:col>
      <xdr:colOff>511026</xdr:colOff>
      <xdr:row>291</xdr:row>
      <xdr:rowOff>114904</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58660</xdr:colOff>
      <xdr:row>272</xdr:row>
      <xdr:rowOff>127908</xdr:rowOff>
    </xdr:from>
    <xdr:to>
      <xdr:col>7</xdr:col>
      <xdr:colOff>210154</xdr:colOff>
      <xdr:row>290</xdr:row>
      <xdr:rowOff>75293</xdr:rowOff>
    </xdr:to>
    <xdr:graphicFrame macro="">
      <xdr:nvGraphicFramePr>
        <xdr:cNvPr id="60" name="Chart 59">
          <a:extLst>
            <a:ext uri="{FF2B5EF4-FFF2-40B4-BE49-F238E27FC236}">
              <a16:creationId xmlns:a16="http://schemas.microsoft.com/office/drawing/2014/main" id="{00000000-0008-0000-0300-00003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666749</xdr:colOff>
      <xdr:row>175</xdr:row>
      <xdr:rowOff>95250</xdr:rowOff>
    </xdr:from>
    <xdr:to>
      <xdr:col>12</xdr:col>
      <xdr:colOff>698500</xdr:colOff>
      <xdr:row>192</xdr:row>
      <xdr:rowOff>84667</xdr:rowOff>
    </xdr:to>
    <xdr:graphicFrame macro="">
      <xdr:nvGraphicFramePr>
        <xdr:cNvPr id="64" name="Chart 63">
          <a:extLst>
            <a:ext uri="{FF2B5EF4-FFF2-40B4-BE49-F238E27FC236}">
              <a16:creationId xmlns:a16="http://schemas.microsoft.com/office/drawing/2014/main" id="{00000000-0008-0000-03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13</xdr:col>
      <xdr:colOff>0</xdr:colOff>
      <xdr:row>240</xdr:row>
      <xdr:rowOff>16326</xdr:rowOff>
    </xdr:from>
    <xdr:to>
      <xdr:col>19</xdr:col>
      <xdr:colOff>840318</xdr:colOff>
      <xdr:row>257</xdr:row>
      <xdr:rowOff>141814</xdr:rowOff>
    </xdr:to>
    <xdr:graphicFrame macro="">
      <xdr:nvGraphicFramePr>
        <xdr:cNvPr id="48" name="Chart 47">
          <a:extLst>
            <a:ext uri="{FF2B5EF4-FFF2-40B4-BE49-F238E27FC236}">
              <a16:creationId xmlns:a16="http://schemas.microsoft.com/office/drawing/2014/main" id="{00000000-0008-0000-03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absolute">
    <xdr:from>
      <xdr:col>1</xdr:col>
      <xdr:colOff>28426</xdr:colOff>
      <xdr:row>118</xdr:row>
      <xdr:rowOff>29182</xdr:rowOff>
    </xdr:from>
    <xdr:to>
      <xdr:col>6</xdr:col>
      <xdr:colOff>380999</xdr:colOff>
      <xdr:row>137</xdr:row>
      <xdr:rowOff>21166</xdr:rowOff>
    </xdr:to>
    <xdr:graphicFrame macro="">
      <xdr:nvGraphicFramePr>
        <xdr:cNvPr id="57" name="Chart 11">
          <a:extLst>
            <a:ext uri="{FF2B5EF4-FFF2-40B4-BE49-F238E27FC236}">
              <a16:creationId xmlns:a16="http://schemas.microsoft.com/office/drawing/2014/main" id="{00000000-0008-0000-03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323170</xdr:colOff>
      <xdr:row>0</xdr:row>
      <xdr:rowOff>133804</xdr:rowOff>
    </xdr:from>
    <xdr:to>
      <xdr:col>14</xdr:col>
      <xdr:colOff>757248</xdr:colOff>
      <xdr:row>5</xdr:row>
      <xdr:rowOff>40915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866313" y="133804"/>
          <a:ext cx="3881221" cy="8596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495528</xdr:colOff>
      <xdr:row>0</xdr:row>
      <xdr:rowOff>77107</xdr:rowOff>
    </xdr:from>
    <xdr:to>
      <xdr:col>15</xdr:col>
      <xdr:colOff>165338</xdr:colOff>
      <xdr:row>4</xdr:row>
      <xdr:rowOff>147504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8269742" y="77107"/>
          <a:ext cx="3933382" cy="8596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293686</xdr:colOff>
      <xdr:row>0</xdr:row>
      <xdr:rowOff>89959</xdr:rowOff>
    </xdr:from>
    <xdr:to>
      <xdr:col>15</xdr:col>
      <xdr:colOff>775011</xdr:colOff>
      <xdr:row>5</xdr:row>
      <xdr:rowOff>5007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9956269" y="89959"/>
          <a:ext cx="3867992" cy="8675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667884</xdr:colOff>
      <xdr:row>0</xdr:row>
      <xdr:rowOff>90714</xdr:rowOff>
    </xdr:from>
    <xdr:to>
      <xdr:col>13</xdr:col>
      <xdr:colOff>854767</xdr:colOff>
      <xdr:row>4</xdr:row>
      <xdr:rowOff>161111</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8786813" y="90714"/>
          <a:ext cx="3888025" cy="859611"/>
        </a:xfrm>
        <a:prstGeom prst="rect">
          <a:avLst/>
        </a:prstGeom>
      </xdr:spPr>
    </xdr:pic>
    <xdr:clientData/>
  </xdr:twoCellAnchor>
  <xdr:twoCellAnchor>
    <xdr:from>
      <xdr:col>14</xdr:col>
      <xdr:colOff>185965</xdr:colOff>
      <xdr:row>6</xdr:row>
      <xdr:rowOff>11792</xdr:rowOff>
    </xdr:from>
    <xdr:to>
      <xdr:col>22</xdr:col>
      <xdr:colOff>40822</xdr:colOff>
      <xdr:row>22</xdr:row>
      <xdr:rowOff>142420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114529</xdr:colOff>
      <xdr:row>0</xdr:row>
      <xdr:rowOff>89580</xdr:rowOff>
    </xdr:from>
    <xdr:to>
      <xdr:col>13</xdr:col>
      <xdr:colOff>222036</xdr:colOff>
      <xdr:row>4</xdr:row>
      <xdr:rowOff>159977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571243" y="89580"/>
          <a:ext cx="3808650" cy="859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n%20Lively/LightCounting%20Dropbox/Optical/Market%20Forecast%20Report/Forecast/Old/LightCounting%20Forecast_Client%20master_2020%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map"/>
      <sheetName val="Revisions"/>
      <sheetName val="Introduction"/>
      <sheetName val="Methodology"/>
      <sheetName val="Definitions"/>
      <sheetName val="Summary"/>
      <sheetName val="Ethernet"/>
      <sheetName val="Fibre Channel"/>
      <sheetName val="CWDM and DWDM"/>
      <sheetName val="WSS"/>
      <sheetName val="Tunable lasers"/>
      <sheetName val="Modulators and Receivers"/>
      <sheetName val="Fronthaul"/>
      <sheetName val="Backhaul"/>
      <sheetName val="AOC-EOM"/>
      <sheetName val="FTTx"/>
      <sheetName val="Cost_bit"/>
      <sheetName val="Port Count"/>
      <sheetName val="Additional Report charts"/>
      <sheetName val="Old v New"/>
      <sheetName val="Waterfall chart"/>
      <sheetName val="Traffic analysis"/>
      <sheetName val="Port calc"/>
      <sheetName val="Fiber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7">
          <cell r="B37" t="str">
            <v>Ethernet</v>
          </cell>
          <cell r="C37">
            <v>36433414.034999996</v>
          </cell>
          <cell r="D37">
            <v>38102112.150000006</v>
          </cell>
          <cell r="E37">
            <v>46060316.33669468</v>
          </cell>
          <cell r="F37">
            <v>42210627.657515101</v>
          </cell>
          <cell r="G37">
            <v>42237933.554780044</v>
          </cell>
          <cell r="H37">
            <v>45732652.469139002</v>
          </cell>
          <cell r="I37">
            <v>49682795.184902363</v>
          </cell>
          <cell r="J37">
            <v>55266667.756234884</v>
          </cell>
          <cell r="K37">
            <v>59368267.749496087</v>
          </cell>
          <cell r="L37">
            <v>65275949.347926147</v>
          </cell>
          <cell r="M37" t="str">
            <v>Ethernet</v>
          </cell>
          <cell r="N37">
            <v>36433414.034999996</v>
          </cell>
          <cell r="O37">
            <v>38102112.150000006</v>
          </cell>
          <cell r="P37">
            <v>46060316.33669468</v>
          </cell>
          <cell r="Q37">
            <v>42210627.657515101</v>
          </cell>
        </row>
        <row r="38">
          <cell r="B38" t="str">
            <v>Fibre Channel</v>
          </cell>
          <cell r="C38">
            <v>7837651</v>
          </cell>
          <cell r="D38">
            <v>7704897</v>
          </cell>
          <cell r="E38">
            <v>7839170</v>
          </cell>
          <cell r="F38">
            <v>7687734.5578942783</v>
          </cell>
          <cell r="G38">
            <v>7207541.5121056717</v>
          </cell>
          <cell r="H38">
            <v>8889617.8834225908</v>
          </cell>
          <cell r="I38">
            <v>8306860.9546216791</v>
          </cell>
          <cell r="J38">
            <v>8329796.1042095106</v>
          </cell>
          <cell r="K38">
            <v>8542244.1009780839</v>
          </cell>
          <cell r="L38">
            <v>8447223.8288379796</v>
          </cell>
          <cell r="M38" t="str">
            <v>Fibre Channel</v>
          </cell>
          <cell r="N38">
            <v>7837651</v>
          </cell>
          <cell r="O38">
            <v>7704897</v>
          </cell>
          <cell r="P38">
            <v>7839170</v>
          </cell>
          <cell r="Q38">
            <v>7687734.5578942783</v>
          </cell>
        </row>
        <row r="39">
          <cell r="B39" t="str">
            <v>Optical Interconnects</v>
          </cell>
          <cell r="C39">
            <v>2729463.2571428572</v>
          </cell>
          <cell r="D39">
            <v>4383728</v>
          </cell>
          <cell r="E39">
            <v>6432241</v>
          </cell>
          <cell r="F39">
            <v>5337186.1658989014</v>
          </cell>
          <cell r="G39">
            <v>4761720.4499999993</v>
          </cell>
          <cell r="H39">
            <v>4869469.2194999997</v>
          </cell>
          <cell r="I39">
            <v>5370926.3847100008</v>
          </cell>
          <cell r="J39">
            <v>5879622.7682097005</v>
          </cell>
          <cell r="K39">
            <v>5900364.7530321572</v>
          </cell>
          <cell r="L39">
            <v>5699108.4294285597</v>
          </cell>
          <cell r="M39" t="str">
            <v>Optical Interconnects</v>
          </cell>
          <cell r="N39">
            <v>2570386.3571428573</v>
          </cell>
          <cell r="O39">
            <v>4243947</v>
          </cell>
          <cell r="P39">
            <v>6263043</v>
          </cell>
          <cell r="Q39">
            <v>5137251</v>
          </cell>
        </row>
        <row r="40">
          <cell r="B40" t="str">
            <v>CWDM / DWDM</v>
          </cell>
          <cell r="C40">
            <v>1032208</v>
          </cell>
          <cell r="D40">
            <v>905755</v>
          </cell>
          <cell r="E40">
            <v>910801</v>
          </cell>
          <cell r="F40">
            <v>1092085</v>
          </cell>
          <cell r="G40">
            <v>1163268.77</v>
          </cell>
          <cell r="H40">
            <v>1452439.2096000002</v>
          </cell>
          <cell r="I40">
            <v>1620025.5376759998</v>
          </cell>
          <cell r="J40">
            <v>1823313.4540838697</v>
          </cell>
          <cell r="K40">
            <v>2025187.7139025177</v>
          </cell>
          <cell r="L40">
            <v>2221780.2676019212</v>
          </cell>
          <cell r="M40" t="str">
            <v>CWDM / DWDM</v>
          </cell>
          <cell r="N40">
            <v>1032208</v>
          </cell>
          <cell r="O40">
            <v>905755</v>
          </cell>
          <cell r="P40">
            <v>917689</v>
          </cell>
          <cell r="Q40">
            <v>1112085</v>
          </cell>
        </row>
        <row r="41">
          <cell r="B41" t="str">
            <v>Wireless Fronthaul</v>
          </cell>
          <cell r="C41">
            <v>19024119.772373602</v>
          </cell>
          <cell r="D41">
            <v>12999554.544593539</v>
          </cell>
          <cell r="E41">
            <v>15931052.62003619</v>
          </cell>
          <cell r="F41">
            <v>32070092.745716959</v>
          </cell>
          <cell r="G41">
            <v>34206673.514856882</v>
          </cell>
          <cell r="H41">
            <v>33601613.378422543</v>
          </cell>
          <cell r="I41">
            <v>31188095.533487167</v>
          </cell>
          <cell r="J41">
            <v>26635429.817857407</v>
          </cell>
          <cell r="K41">
            <v>23503627.513615459</v>
          </cell>
          <cell r="L41">
            <v>21457691.28533259</v>
          </cell>
          <cell r="M41" t="str">
            <v>Wireless Fronthaul</v>
          </cell>
          <cell r="N41">
            <v>19024119.772373602</v>
          </cell>
          <cell r="O41">
            <v>12999554.544593539</v>
          </cell>
          <cell r="P41">
            <v>16464669.061662231</v>
          </cell>
          <cell r="Q41">
            <v>32336900.96652998</v>
          </cell>
        </row>
        <row r="42">
          <cell r="B42" t="str">
            <v>Wireless Backhaul</v>
          </cell>
          <cell r="C42">
            <v>1257210.1857449999</v>
          </cell>
          <cell r="D42">
            <v>1288894.6942</v>
          </cell>
          <cell r="E42">
            <v>1389737.6923076923</v>
          </cell>
          <cell r="F42">
            <v>2286250.3877272741</v>
          </cell>
          <cell r="G42">
            <v>2852398.7683660076</v>
          </cell>
          <cell r="H42">
            <v>3115533.1796735846</v>
          </cell>
          <cell r="I42">
            <v>3457112.0562980445</v>
          </cell>
          <cell r="J42">
            <v>3826882.0864416892</v>
          </cell>
          <cell r="K42">
            <v>4082841.5877258098</v>
          </cell>
          <cell r="L42">
            <v>4578199.9862881228</v>
          </cell>
          <cell r="M42" t="str">
            <v>Wireless Backhaul</v>
          </cell>
          <cell r="N42">
            <v>1257210.1857449999</v>
          </cell>
          <cell r="O42">
            <v>1276894.6942</v>
          </cell>
          <cell r="P42">
            <v>1389737.6923076923</v>
          </cell>
          <cell r="Q42">
            <v>2286250.3877272741</v>
          </cell>
        </row>
        <row r="43">
          <cell r="B43" t="str">
            <v>FTTx</v>
          </cell>
          <cell r="C43">
            <v>103925994.18134303</v>
          </cell>
          <cell r="D43">
            <v>79141648.274823561</v>
          </cell>
          <cell r="E43">
            <v>94070115.475723535</v>
          </cell>
          <cell r="F43">
            <v>74233678.737861767</v>
          </cell>
          <cell r="G43">
            <v>67449431.380257368</v>
          </cell>
          <cell r="H43">
            <v>72694378.254921541</v>
          </cell>
          <cell r="I43">
            <v>81296622.804708377</v>
          </cell>
          <cell r="J43">
            <v>94326394.025869325</v>
          </cell>
          <cell r="K43">
            <v>102785685.90533732</v>
          </cell>
          <cell r="L43">
            <v>109421030.79576883</v>
          </cell>
          <cell r="M43" t="str">
            <v>FTTx</v>
          </cell>
          <cell r="N43">
            <v>103925994.18134303</v>
          </cell>
          <cell r="O43">
            <v>79141648.274823561</v>
          </cell>
          <cell r="P43">
            <v>94070115.475723535</v>
          </cell>
          <cell r="Q43">
            <v>74233678.737861767</v>
          </cell>
        </row>
        <row r="44">
          <cell r="B44" t="str">
            <v>100/200/400G Mods and Rcvrs</v>
          </cell>
          <cell r="C44">
            <v>499076</v>
          </cell>
          <cell r="D44">
            <v>389137.28571428568</v>
          </cell>
          <cell r="E44">
            <v>540344.55923976609</v>
          </cell>
          <cell r="F44">
            <v>596562.41516374273</v>
          </cell>
          <cell r="G44">
            <v>523578.0528891813</v>
          </cell>
          <cell r="H44">
            <v>461362.44231134508</v>
          </cell>
          <cell r="I44">
            <v>436112.70500284916</v>
          </cell>
          <cell r="J44">
            <v>461445.65580216539</v>
          </cell>
          <cell r="K44">
            <v>512469.78529360238</v>
          </cell>
          <cell r="L44">
            <v>0</v>
          </cell>
          <cell r="M44" t="str">
            <v>100/200/400G Mods and Rcvrs</v>
          </cell>
          <cell r="N44">
            <v>499076</v>
          </cell>
          <cell r="O44">
            <v>389137.28571428568</v>
          </cell>
          <cell r="P44">
            <v>540344.55923976609</v>
          </cell>
          <cell r="Q44">
            <v>562117.9</v>
          </cell>
        </row>
        <row r="45">
          <cell r="B45" t="str">
            <v>Tunable lasers</v>
          </cell>
          <cell r="C45">
            <v>518646</v>
          </cell>
          <cell r="D45">
            <v>558513</v>
          </cell>
          <cell r="E45">
            <v>595832</v>
          </cell>
          <cell r="F45">
            <v>684663</v>
          </cell>
          <cell r="G45">
            <v>794400.49502203695</v>
          </cell>
          <cell r="H45">
            <v>907539.69900359609</v>
          </cell>
          <cell r="I45">
            <v>1021508.364348391</v>
          </cell>
          <cell r="J45">
            <v>1145012.6527891159</v>
          </cell>
          <cell r="K45">
            <v>1246489.4842186077</v>
          </cell>
          <cell r="L45">
            <v>0</v>
          </cell>
          <cell r="M45" t="str">
            <v>Tunable lasers</v>
          </cell>
          <cell r="N45">
            <v>518646</v>
          </cell>
          <cell r="O45">
            <v>558513</v>
          </cell>
          <cell r="P45">
            <v>595832</v>
          </cell>
          <cell r="Q45">
            <v>733250</v>
          </cell>
        </row>
        <row r="46">
          <cell r="B46" t="str">
            <v>WSS</v>
          </cell>
          <cell r="C46">
            <v>59261</v>
          </cell>
          <cell r="D46">
            <v>60336</v>
          </cell>
          <cell r="E46">
            <v>88577</v>
          </cell>
          <cell r="F46">
            <v>145088</v>
          </cell>
          <cell r="G46">
            <v>157901.04999999999</v>
          </cell>
          <cell r="H46">
            <v>174348.86</v>
          </cell>
          <cell r="I46">
            <v>189090.86074999999</v>
          </cell>
          <cell r="J46">
            <v>205924.7543875</v>
          </cell>
          <cell r="K46">
            <v>228603.72810687497</v>
          </cell>
          <cell r="L46">
            <v>0</v>
          </cell>
          <cell r="M46" t="str">
            <v>WSS</v>
          </cell>
          <cell r="N46">
            <v>59261</v>
          </cell>
          <cell r="O46">
            <v>60336</v>
          </cell>
          <cell r="P46">
            <v>88577</v>
          </cell>
          <cell r="Q46">
            <v>155076</v>
          </cell>
        </row>
        <row r="47">
          <cell r="B47" t="str">
            <v>TOTAL</v>
          </cell>
          <cell r="C47">
            <v>173317043.4316045</v>
          </cell>
          <cell r="D47">
            <v>145534575.9493314</v>
          </cell>
          <cell r="E47">
            <v>173858187.68400189</v>
          </cell>
          <cell r="F47">
            <v>166343968.66777804</v>
          </cell>
          <cell r="G47">
            <v>161354847.54827717</v>
          </cell>
          <cell r="H47">
            <v>171898954.5959942</v>
          </cell>
          <cell r="I47">
            <v>182569150.38650483</v>
          </cell>
          <cell r="J47">
            <v>197900489.07588515</v>
          </cell>
          <cell r="K47">
            <v>208195782.32170653</v>
          </cell>
          <cell r="L47">
            <v>0</v>
          </cell>
          <cell r="M47" t="str">
            <v>TOTAL</v>
          </cell>
          <cell r="N47">
            <v>173157966.53160447</v>
          </cell>
          <cell r="O47">
            <v>145382794.9493314</v>
          </cell>
          <cell r="P47">
            <v>174229494.12562791</v>
          </cell>
          <cell r="Q47">
            <v>166454972.20752841</v>
          </cell>
        </row>
        <row r="63">
          <cell r="B63" t="str">
            <v>Ethernet</v>
          </cell>
          <cell r="C63">
            <v>2613.8337043151869</v>
          </cell>
          <cell r="D63">
            <v>3095.040630448199</v>
          </cell>
          <cell r="E63">
            <v>3321.3904387253715</v>
          </cell>
          <cell r="F63">
            <v>2734.5602693957071</v>
          </cell>
          <cell r="G63">
            <v>2905.8837887687323</v>
          </cell>
          <cell r="H63">
            <v>3868.5155321909929</v>
          </cell>
          <cell r="I63">
            <v>4918.205301632338</v>
          </cell>
          <cell r="J63">
            <v>5715.3962316932211</v>
          </cell>
          <cell r="K63">
            <v>6331.4525616433793</v>
          </cell>
          <cell r="L63">
            <v>7407.9326943415599</v>
          </cell>
          <cell r="M63" t="str">
            <v>Ethernet</v>
          </cell>
          <cell r="N63">
            <v>2687.6154083151869</v>
          </cell>
          <cell r="O63">
            <v>3178.1921388481996</v>
          </cell>
          <cell r="P63">
            <v>3389.2344867253714</v>
          </cell>
          <cell r="Q63">
            <v>2785.2219443957079</v>
          </cell>
        </row>
        <row r="64">
          <cell r="B64" t="str">
            <v>Fibre Channel</v>
          </cell>
          <cell r="C64">
            <v>213.14888751760432</v>
          </cell>
          <cell r="D64">
            <v>230.49733099999995</v>
          </cell>
          <cell r="E64">
            <v>218.4222266667125</v>
          </cell>
          <cell r="F64">
            <v>271.2109505361264</v>
          </cell>
          <cell r="G64">
            <v>271.65361189234812</v>
          </cell>
          <cell r="H64">
            <v>365.95489930967835</v>
          </cell>
          <cell r="I64">
            <v>366.86857995822686</v>
          </cell>
          <cell r="J64">
            <v>375.55770809549642</v>
          </cell>
          <cell r="K64">
            <v>390.26939330596156</v>
          </cell>
          <cell r="L64">
            <v>378.17687909566712</v>
          </cell>
          <cell r="M64" t="str">
            <v>Fibre Channel</v>
          </cell>
          <cell r="N64">
            <v>213.14888751760432</v>
          </cell>
          <cell r="O64">
            <v>230.49733099999995</v>
          </cell>
          <cell r="P64">
            <v>218.4222266667125</v>
          </cell>
          <cell r="Q64">
            <v>271.04595053612644</v>
          </cell>
        </row>
        <row r="65">
          <cell r="B65" t="str">
            <v>Optical Interconnects</v>
          </cell>
          <cell r="C65">
            <v>314.66014537010074</v>
          </cell>
          <cell r="D65">
            <v>330.33317028670746</v>
          </cell>
          <cell r="E65">
            <v>381.83740652831409</v>
          </cell>
          <cell r="F65">
            <v>556.13015709235947</v>
          </cell>
          <cell r="G65">
            <v>635.88329825165124</v>
          </cell>
          <cell r="H65">
            <v>716.86349107714886</v>
          </cell>
          <cell r="I65">
            <v>799.44053880589013</v>
          </cell>
          <cell r="J65">
            <v>839.83868598522281</v>
          </cell>
          <cell r="K65">
            <v>837.67350270625252</v>
          </cell>
          <cell r="L65">
            <v>798.04006510647673</v>
          </cell>
          <cell r="M65" t="str">
            <v>Optical Interconnects</v>
          </cell>
          <cell r="N65">
            <v>254.58226587697408</v>
          </cell>
          <cell r="O65">
            <v>261.78257833354019</v>
          </cell>
          <cell r="P65">
            <v>294.45540952831408</v>
          </cell>
          <cell r="Q65">
            <v>448.12081209235942</v>
          </cell>
        </row>
        <row r="66">
          <cell r="B66" t="str">
            <v>CWDM / DWDM</v>
          </cell>
          <cell r="C66">
            <v>1017.8748851956884</v>
          </cell>
          <cell r="D66">
            <v>978.95463091626652</v>
          </cell>
          <cell r="E66">
            <v>979.69471999999985</v>
          </cell>
          <cell r="F66">
            <v>990.25424232389048</v>
          </cell>
          <cell r="G66">
            <v>979.7848802191611</v>
          </cell>
          <cell r="H66">
            <v>1334.4840366634085</v>
          </cell>
          <cell r="I66">
            <v>1601.7322007464543</v>
          </cell>
          <cell r="J66">
            <v>1912.6780400807193</v>
          </cell>
          <cell r="K66">
            <v>2236.5994742601124</v>
          </cell>
          <cell r="L66">
            <v>2524.705654844639</v>
          </cell>
          <cell r="M66" t="str">
            <v>CWDM / DWDM</v>
          </cell>
          <cell r="N66">
            <v>1017.8748851956884</v>
          </cell>
          <cell r="O66">
            <v>978.95463091626652</v>
          </cell>
          <cell r="P66">
            <v>997.89281599999993</v>
          </cell>
          <cell r="Q66">
            <v>1039.4209089905571</v>
          </cell>
        </row>
        <row r="67">
          <cell r="B67" t="str">
            <v>Wireless Fronthaul</v>
          </cell>
          <cell r="C67">
            <v>382.25682098868845</v>
          </cell>
          <cell r="D67">
            <v>247.34892365305473</v>
          </cell>
          <cell r="E67">
            <v>357.27774218999622</v>
          </cell>
          <cell r="F67">
            <v>913.93410142456503</v>
          </cell>
          <cell r="G67">
            <v>1077.1238614927718</v>
          </cell>
          <cell r="H67">
            <v>1097.5779001678034</v>
          </cell>
          <cell r="I67">
            <v>1079.3970386487986</v>
          </cell>
          <cell r="J67">
            <v>971.95035028890288</v>
          </cell>
          <cell r="K67">
            <v>889.46830366260065</v>
          </cell>
          <cell r="L67">
            <v>843.53674744904038</v>
          </cell>
          <cell r="M67" t="str">
            <v>Wireless Fronthaul</v>
          </cell>
          <cell r="N67">
            <v>382.25682098868845</v>
          </cell>
          <cell r="O67">
            <v>247.34892365305473</v>
          </cell>
          <cell r="P67">
            <v>365.79070959702165</v>
          </cell>
          <cell r="Q67">
            <v>917.89263126883179</v>
          </cell>
        </row>
        <row r="68">
          <cell r="B68" t="str">
            <v>Wireless Backhaul</v>
          </cell>
          <cell r="C68">
            <v>122.25775506511425</v>
          </cell>
          <cell r="D68">
            <v>107.5880932292383</v>
          </cell>
          <cell r="E68">
            <v>82.317181142702594</v>
          </cell>
          <cell r="F68">
            <v>143.34921974040427</v>
          </cell>
          <cell r="G68">
            <v>274.8258507043559</v>
          </cell>
          <cell r="H68">
            <v>283.64173717881505</v>
          </cell>
          <cell r="I68">
            <v>300.4768082130347</v>
          </cell>
          <cell r="J68">
            <v>315.58150074360827</v>
          </cell>
          <cell r="K68">
            <v>319.6958341624628</v>
          </cell>
          <cell r="L68">
            <v>327.90367171034495</v>
          </cell>
          <cell r="M68" t="str">
            <v>Wireless Backhaul</v>
          </cell>
          <cell r="N68">
            <v>122.25775506511425</v>
          </cell>
          <cell r="O68">
            <v>103.69885054896281</v>
          </cell>
          <cell r="P68">
            <v>82.317181142702594</v>
          </cell>
          <cell r="Q68">
            <v>143.34921974040427</v>
          </cell>
        </row>
        <row r="69">
          <cell r="B69" t="str">
            <v>FTTx</v>
          </cell>
          <cell r="C69">
            <v>1178.7893483468586</v>
          </cell>
          <cell r="D69">
            <v>1042.9645671953349</v>
          </cell>
          <cell r="E69">
            <v>757.54902223806016</v>
          </cell>
          <cell r="F69">
            <v>613.23133595553281</v>
          </cell>
          <cell r="G69">
            <v>607.7711310042788</v>
          </cell>
          <cell r="H69">
            <v>715.90068118750912</v>
          </cell>
          <cell r="I69">
            <v>760.58735163761366</v>
          </cell>
          <cell r="J69">
            <v>777.96001565263418</v>
          </cell>
          <cell r="K69">
            <v>760.25962868621468</v>
          </cell>
          <cell r="L69">
            <v>747.08738781058287</v>
          </cell>
          <cell r="M69" t="str">
            <v>FTTx</v>
          </cell>
          <cell r="N69">
            <v>1178.7893483468586</v>
          </cell>
          <cell r="O69">
            <v>1042.9645671953349</v>
          </cell>
          <cell r="P69">
            <v>757.54902223806016</v>
          </cell>
          <cell r="Q69">
            <v>613.23133595553281</v>
          </cell>
        </row>
        <row r="70">
          <cell r="B70" t="str">
            <v>100/200/400G Mods and Rcvrs</v>
          </cell>
          <cell r="C70">
            <v>555.15019754565992</v>
          </cell>
          <cell r="D70">
            <v>402.33132148380344</v>
          </cell>
          <cell r="E70">
            <v>445.00368892891862</v>
          </cell>
          <cell r="F70">
            <v>406.65751746501314</v>
          </cell>
          <cell r="G70">
            <v>388.62953922799807</v>
          </cell>
          <cell r="H70">
            <v>342.7232442095285</v>
          </cell>
          <cell r="I70">
            <v>313.72854213276059</v>
          </cell>
          <cell r="J70">
            <v>297.09007092772208</v>
          </cell>
          <cell r="K70">
            <v>293.43974142478191</v>
          </cell>
          <cell r="L70">
            <v>300.39556645486448</v>
          </cell>
          <cell r="M70" t="str">
            <v>100/200/400G Mods and Rcvrs</v>
          </cell>
          <cell r="N70">
            <v>555.15019754565992</v>
          </cell>
          <cell r="O70">
            <v>402.33132148380344</v>
          </cell>
          <cell r="P70">
            <v>445.00368892891862</v>
          </cell>
          <cell r="Q70">
            <v>415.65751746501314</v>
          </cell>
        </row>
        <row r="71">
          <cell r="B71" t="str">
            <v>Tunable lasers</v>
          </cell>
          <cell r="C71">
            <v>271.84871543543699</v>
          </cell>
          <cell r="D71">
            <v>278.93410363950528</v>
          </cell>
          <cell r="E71">
            <v>257.43129216864196</v>
          </cell>
          <cell r="F71">
            <v>299.52332762969166</v>
          </cell>
          <cell r="G71">
            <v>326.25782902054908</v>
          </cell>
          <cell r="H71">
            <v>374.30584748779017</v>
          </cell>
          <cell r="I71">
            <v>391.63235163258014</v>
          </cell>
          <cell r="J71">
            <v>401.64553913377085</v>
          </cell>
          <cell r="K71">
            <v>399.39017431719049</v>
          </cell>
          <cell r="L71">
            <v>384.41003282541391</v>
          </cell>
          <cell r="M71" t="str">
            <v>Tunable lasers</v>
          </cell>
          <cell r="N71">
            <v>271.84871543543699</v>
          </cell>
          <cell r="O71">
            <v>278.93410363950528</v>
          </cell>
          <cell r="P71">
            <v>257.43129216864196</v>
          </cell>
          <cell r="Q71">
            <v>300.52143510904619</v>
          </cell>
        </row>
        <row r="72">
          <cell r="B72" t="str">
            <v>WSS</v>
          </cell>
          <cell r="C72">
            <v>255.66299174397881</v>
          </cell>
          <cell r="D72">
            <v>250.09233992604345</v>
          </cell>
          <cell r="E72">
            <v>365.31830158163763</v>
          </cell>
          <cell r="F72">
            <v>518.68237217981789</v>
          </cell>
          <cell r="G72">
            <v>423.54456502549925</v>
          </cell>
          <cell r="H72">
            <v>494.71658726676515</v>
          </cell>
          <cell r="I72">
            <v>519.78507741482008</v>
          </cell>
          <cell r="J72">
            <v>556.94289954177589</v>
          </cell>
          <cell r="K72">
            <v>618.53517142876001</v>
          </cell>
          <cell r="L72">
            <v>652.2668908016459</v>
          </cell>
          <cell r="M72" t="str">
            <v>WSS</v>
          </cell>
          <cell r="N72">
            <v>255.66299174397881</v>
          </cell>
          <cell r="O72">
            <v>250.09233992604345</v>
          </cell>
          <cell r="P72">
            <v>365.31830158163763</v>
          </cell>
          <cell r="Q72">
            <v>518.68237217981789</v>
          </cell>
        </row>
        <row r="73">
          <cell r="B73" t="str">
            <v>TOTAL</v>
          </cell>
          <cell r="C73">
            <v>6925.4834515243165</v>
          </cell>
          <cell r="D73">
            <v>6964.085111778154</v>
          </cell>
          <cell r="E73">
            <v>7166.2420201703562</v>
          </cell>
          <cell r="F73">
            <v>7447.5334937431071</v>
          </cell>
          <cell r="G73">
            <v>7891.3583556073454</v>
          </cell>
          <cell r="H73">
            <v>9594.68395673944</v>
          </cell>
          <cell r="I73">
            <v>11051.853790822519</v>
          </cell>
          <cell r="J73">
            <v>12164.641042143076</v>
          </cell>
          <cell r="K73">
            <v>13076.783785597718</v>
          </cell>
          <cell r="L73">
            <v>14364.455590440237</v>
          </cell>
          <cell r="M73" t="str">
            <v>TOTAL</v>
          </cell>
          <cell r="N73">
            <v>6939.1872760311908</v>
          </cell>
          <cell r="O73">
            <v>6974.7967855447114</v>
          </cell>
          <cell r="P73">
            <v>7173.4151345773807</v>
          </cell>
          <cell r="Q73">
            <v>7453.144127733397</v>
          </cell>
        </row>
        <row r="114">
          <cell r="B114" t="str">
            <v>Market Segment</v>
          </cell>
          <cell r="C114">
            <v>2016</v>
          </cell>
          <cell r="D114">
            <v>2017</v>
          </cell>
          <cell r="E114">
            <v>2018</v>
          </cell>
          <cell r="F114">
            <v>2019</v>
          </cell>
          <cell r="G114">
            <v>2020</v>
          </cell>
          <cell r="H114">
            <v>2021</v>
          </cell>
          <cell r="I114">
            <v>2022</v>
          </cell>
          <cell r="J114">
            <v>2023</v>
          </cell>
          <cell r="K114">
            <v>2024</v>
          </cell>
          <cell r="L114">
            <v>0</v>
          </cell>
        </row>
        <row r="115">
          <cell r="B115" t="str">
            <v xml:space="preserve"> DWDM  OC-48</v>
          </cell>
          <cell r="C115">
            <v>104764.04494382022</v>
          </cell>
          <cell r="D115">
            <v>62020.224719101119</v>
          </cell>
          <cell r="E115">
            <v>59491.177777777775</v>
          </cell>
          <cell r="F115">
            <v>56516.618888888879</v>
          </cell>
          <cell r="G115">
            <v>52560.455566666657</v>
          </cell>
          <cell r="H115">
            <v>49406.828232666659</v>
          </cell>
          <cell r="I115">
            <v>46936.486821033322</v>
          </cell>
          <cell r="J115">
            <v>45059.027348191987</v>
          </cell>
          <cell r="K115">
            <v>45060.027348192001</v>
          </cell>
          <cell r="L115">
            <v>0</v>
          </cell>
        </row>
        <row r="116">
          <cell r="B116" t="str">
            <v>DWDM  OC-192</v>
          </cell>
          <cell r="C116">
            <v>593789.0625</v>
          </cell>
          <cell r="D116">
            <v>613307.48299319728</v>
          </cell>
          <cell r="E116">
            <v>691228.76315789472</v>
          </cell>
          <cell r="F116">
            <v>776078.91282051266</v>
          </cell>
          <cell r="G116">
            <v>886482.33450632892</v>
          </cell>
          <cell r="H116">
            <v>988472.33004249993</v>
          </cell>
          <cell r="I116">
            <v>1055882.0185418515</v>
          </cell>
          <cell r="J116">
            <v>1087124.5186890368</v>
          </cell>
          <cell r="K116">
            <v>1087125.5186890401</v>
          </cell>
          <cell r="L116">
            <v>0</v>
          </cell>
        </row>
        <row r="117">
          <cell r="B117" t="str">
            <v>DWDM  OC-768</v>
          </cell>
          <cell r="C117">
            <v>16399.999999999996</v>
          </cell>
          <cell r="D117">
            <v>1855.555555555555</v>
          </cell>
          <cell r="E117">
            <v>0</v>
          </cell>
          <cell r="F117">
            <v>0</v>
          </cell>
          <cell r="G117">
            <v>0</v>
          </cell>
          <cell r="H117">
            <v>0</v>
          </cell>
          <cell r="I117">
            <v>0</v>
          </cell>
          <cell r="J117">
            <v>0</v>
          </cell>
          <cell r="K117">
            <v>0</v>
          </cell>
          <cell r="L117">
            <v>0</v>
          </cell>
        </row>
        <row r="118">
          <cell r="B118" t="str">
            <v>DWDM  100 Gbps</v>
          </cell>
          <cell r="C118">
            <v>286900</v>
          </cell>
          <cell r="D118">
            <v>336036.09375000006</v>
          </cell>
          <cell r="E118">
            <v>424527.42212189618</v>
          </cell>
          <cell r="F118">
            <v>439042.83324022335</v>
          </cell>
          <cell r="G118">
            <v>462254.20727272739</v>
          </cell>
          <cell r="H118">
            <v>477358.71040543064</v>
          </cell>
          <cell r="I118">
            <v>420295.70643125009</v>
          </cell>
          <cell r="J118">
            <v>358745.45065656252</v>
          </cell>
          <cell r="K118">
            <v>358746.45065656299</v>
          </cell>
          <cell r="L118">
            <v>0</v>
          </cell>
        </row>
        <row r="119">
          <cell r="B119" t="str">
            <v>DWDM  200 Gbps</v>
          </cell>
          <cell r="C119">
            <v>0</v>
          </cell>
          <cell r="D119">
            <v>50308.552631578947</v>
          </cell>
          <cell r="E119">
            <v>88075.731707317071</v>
          </cell>
          <cell r="F119">
            <v>126189.97115384616</v>
          </cell>
          <cell r="G119">
            <v>203313.79235668792</v>
          </cell>
          <cell r="H119">
            <v>286631.15251396655</v>
          </cell>
          <cell r="I119">
            <v>270977.32890000002</v>
          </cell>
          <cell r="J119">
            <v>196994.218005</v>
          </cell>
          <cell r="K119">
            <v>196995.218005</v>
          </cell>
          <cell r="L119">
            <v>0</v>
          </cell>
        </row>
        <row r="120">
          <cell r="B120" t="str">
            <v>DWDM 400 Gbps</v>
          </cell>
          <cell r="C120">
            <v>0</v>
          </cell>
          <cell r="D120">
            <v>0</v>
          </cell>
          <cell r="E120">
            <v>28857.142857142877</v>
          </cell>
          <cell r="F120">
            <v>47999.999999999993</v>
          </cell>
          <cell r="G120">
            <v>104820</v>
          </cell>
          <cell r="H120">
            <v>193500</v>
          </cell>
          <cell r="I120">
            <v>320230.76923076925</v>
          </cell>
          <cell r="J120">
            <v>458034.28571428574</v>
          </cell>
          <cell r="K120">
            <v>458035.28571428597</v>
          </cell>
          <cell r="L120">
            <v>0</v>
          </cell>
        </row>
        <row r="121">
          <cell r="B121" t="str">
            <v xml:space="preserve">CWDM </v>
          </cell>
          <cell r="C121">
            <v>471335.5</v>
          </cell>
          <cell r="D121">
            <v>276574</v>
          </cell>
          <cell r="E121">
            <v>279273.28000000003</v>
          </cell>
          <cell r="F121">
            <v>280829.46479999996</v>
          </cell>
          <cell r="G121">
            <v>279933.33781200001</v>
          </cell>
          <cell r="H121">
            <v>275042.08857424004</v>
          </cell>
          <cell r="I121">
            <v>260161.29063160904</v>
          </cell>
          <cell r="J121">
            <v>241893.78991272399</v>
          </cell>
          <cell r="K121">
            <v>241894.78991272399</v>
          </cell>
          <cell r="L121">
            <v>0</v>
          </cell>
        </row>
        <row r="122">
          <cell r="B122" t="str">
            <v xml:space="preserve">Ethernet </v>
          </cell>
          <cell r="C122">
            <v>0</v>
          </cell>
          <cell r="D122">
            <v>0</v>
          </cell>
          <cell r="E122">
            <v>0</v>
          </cell>
          <cell r="F122">
            <v>0</v>
          </cell>
          <cell r="G122">
            <v>0</v>
          </cell>
          <cell r="H122">
            <v>0</v>
          </cell>
          <cell r="I122">
            <v>0</v>
          </cell>
          <cell r="J122">
            <v>0</v>
          </cell>
          <cell r="K122">
            <v>0</v>
          </cell>
          <cell r="L122">
            <v>0</v>
          </cell>
        </row>
        <row r="123">
          <cell r="B123" t="str">
            <v>Fibre Channel</v>
          </cell>
          <cell r="C123">
            <v>0</v>
          </cell>
          <cell r="D123">
            <v>0</v>
          </cell>
          <cell r="E123">
            <v>0</v>
          </cell>
          <cell r="F123">
            <v>0</v>
          </cell>
          <cell r="G123">
            <v>0</v>
          </cell>
          <cell r="H123">
            <v>0</v>
          </cell>
          <cell r="I123">
            <v>0</v>
          </cell>
          <cell r="J123">
            <v>0</v>
          </cell>
          <cell r="K123">
            <v>0</v>
          </cell>
          <cell r="L123">
            <v>0</v>
          </cell>
        </row>
        <row r="124">
          <cell r="B124" t="str">
            <v>Wireless Infrastructure</v>
          </cell>
          <cell r="C124">
            <v>0</v>
          </cell>
          <cell r="D124">
            <v>0</v>
          </cell>
          <cell r="E124">
            <v>0</v>
          </cell>
          <cell r="F124">
            <v>0</v>
          </cell>
          <cell r="G124">
            <v>0</v>
          </cell>
          <cell r="H124">
            <v>0</v>
          </cell>
          <cell r="I124">
            <v>0</v>
          </cell>
          <cell r="J124">
            <v>0</v>
          </cell>
          <cell r="K124">
            <v>0</v>
          </cell>
          <cell r="L124">
            <v>0</v>
          </cell>
        </row>
        <row r="125">
          <cell r="B125" t="str">
            <v>TOTAL (millions)</v>
          </cell>
          <cell r="C125">
            <v>1.4731886074438203</v>
          </cell>
          <cell r="D125">
            <v>1.3401019096494329</v>
          </cell>
          <cell r="E125">
            <v>1.5714535176220288</v>
          </cell>
          <cell r="F125">
            <v>1.7266578009034712</v>
          </cell>
          <cell r="G125">
            <v>1.9893641275144107</v>
          </cell>
          <cell r="H125">
            <v>2.2704111097688036</v>
          </cell>
          <cell r="I125">
            <v>2.3744836005565131</v>
          </cell>
          <cell r="J125">
            <v>2.3878512903258007</v>
          </cell>
          <cell r="K125">
            <v>2.3878572903258051</v>
          </cell>
          <cell r="L125">
            <v>0</v>
          </cell>
        </row>
        <row r="126">
          <cell r="B126" t="str">
            <v>Datacom only</v>
          </cell>
          <cell r="C126">
            <v>0</v>
          </cell>
          <cell r="D126">
            <v>0</v>
          </cell>
          <cell r="E126">
            <v>0</v>
          </cell>
          <cell r="F126">
            <v>0</v>
          </cell>
          <cell r="G126">
            <v>0</v>
          </cell>
          <cell r="H126">
            <v>0</v>
          </cell>
          <cell r="I126">
            <v>0</v>
          </cell>
          <cell r="J126">
            <v>0</v>
          </cell>
          <cell r="K126">
            <v>0</v>
          </cell>
          <cell r="L126">
            <v>0</v>
          </cell>
        </row>
        <row r="127">
          <cell r="B127" t="str">
            <v>Telecom only (ex Wireless)</v>
          </cell>
          <cell r="C127">
            <v>1473188.6074438202</v>
          </cell>
          <cell r="D127">
            <v>1340101.9096494329</v>
          </cell>
          <cell r="E127">
            <v>1571453.5176220287</v>
          </cell>
          <cell r="F127">
            <v>1726657.8009034712</v>
          </cell>
          <cell r="G127">
            <v>1989364.1275144108</v>
          </cell>
          <cell r="H127">
            <v>2270411.1097688037</v>
          </cell>
          <cell r="I127">
            <v>2374483.6005565133</v>
          </cell>
          <cell r="J127">
            <v>2387851.2903258009</v>
          </cell>
          <cell r="K127">
            <v>2387857.2903258051</v>
          </cell>
          <cell r="L127">
            <v>0</v>
          </cell>
        </row>
        <row r="131">
          <cell r="B131" t="str">
            <v>Market Segment</v>
          </cell>
          <cell r="C131">
            <v>2016</v>
          </cell>
          <cell r="D131">
            <v>2017</v>
          </cell>
          <cell r="E131">
            <v>2018</v>
          </cell>
          <cell r="F131">
            <v>2019</v>
          </cell>
          <cell r="G131">
            <v>2020</v>
          </cell>
          <cell r="H131">
            <v>2021</v>
          </cell>
          <cell r="I131">
            <v>2022</v>
          </cell>
          <cell r="J131">
            <v>2023</v>
          </cell>
          <cell r="K131">
            <v>2024</v>
          </cell>
          <cell r="L131">
            <v>0</v>
          </cell>
        </row>
        <row r="132">
          <cell r="B132" t="str">
            <v xml:space="preserve"> DWDM  OC-48</v>
          </cell>
          <cell r="C132">
            <v>104764.04494382022</v>
          </cell>
          <cell r="D132">
            <v>62020.224719101119</v>
          </cell>
          <cell r="E132">
            <v>38304</v>
          </cell>
          <cell r="F132">
            <v>33359</v>
          </cell>
          <cell r="G132">
            <v>31023.870000000003</v>
          </cell>
          <cell r="H132">
            <v>29162.437799999996</v>
          </cell>
          <cell r="I132">
            <v>27704.315909999994</v>
          </cell>
          <cell r="J132">
            <v>26596.143273599992</v>
          </cell>
          <cell r="K132">
            <v>25532.29754265599</v>
          </cell>
          <cell r="L132">
            <v>0</v>
          </cell>
        </row>
        <row r="133">
          <cell r="B133" t="str">
            <v>DWDM  OC-192</v>
          </cell>
          <cell r="C133">
            <v>593789.0625</v>
          </cell>
          <cell r="D133">
            <v>613307.48299319728</v>
          </cell>
          <cell r="E133">
            <v>420136</v>
          </cell>
          <cell r="F133">
            <v>529485</v>
          </cell>
          <cell r="G133">
            <v>537867</v>
          </cell>
          <cell r="H133">
            <v>686109.10000000009</v>
          </cell>
          <cell r="I133">
            <v>699694.82000000007</v>
          </cell>
          <cell r="J133">
            <v>683422.89599999995</v>
          </cell>
          <cell r="K133">
            <v>622450.31715000002</v>
          </cell>
          <cell r="L133">
            <v>0</v>
          </cell>
        </row>
        <row r="134">
          <cell r="B134" t="str">
            <v>DWDM  OC-768</v>
          </cell>
          <cell r="C134">
            <v>16399.999999999996</v>
          </cell>
          <cell r="D134">
            <v>1855.555555555555</v>
          </cell>
          <cell r="E134">
            <v>0</v>
          </cell>
          <cell r="F134">
            <v>0</v>
          </cell>
          <cell r="G134">
            <v>0</v>
          </cell>
          <cell r="H134">
            <v>0</v>
          </cell>
          <cell r="I134">
            <v>0</v>
          </cell>
          <cell r="J134">
            <v>0</v>
          </cell>
          <cell r="K134">
            <v>0</v>
          </cell>
          <cell r="L134">
            <v>0</v>
          </cell>
        </row>
        <row r="135">
          <cell r="B135" t="str">
            <v>DWDM  100 Gbps</v>
          </cell>
          <cell r="C135">
            <v>312088</v>
          </cell>
          <cell r="D135">
            <v>347869</v>
          </cell>
          <cell r="E135">
            <v>357000</v>
          </cell>
          <cell r="F135">
            <v>345000</v>
          </cell>
          <cell r="G135">
            <v>334859.07480541943</v>
          </cell>
          <cell r="H135">
            <v>415620.8897665033</v>
          </cell>
          <cell r="I135">
            <v>510324.06771980395</v>
          </cell>
          <cell r="J135">
            <v>586971.12449178437</v>
          </cell>
          <cell r="K135">
            <v>636754.48071637366</v>
          </cell>
          <cell r="L135">
            <v>0</v>
          </cell>
        </row>
        <row r="136">
          <cell r="B136" t="str">
            <v>DWDM  200 Gbps</v>
          </cell>
          <cell r="C136">
            <v>0</v>
          </cell>
          <cell r="D136">
            <v>45500</v>
          </cell>
          <cell r="E136">
            <v>122000</v>
          </cell>
          <cell r="F136">
            <v>217000</v>
          </cell>
          <cell r="G136">
            <v>278194.04243542434</v>
          </cell>
          <cell r="H136">
            <v>367952.25516605168</v>
          </cell>
          <cell r="I136">
            <v>500478.15723247227</v>
          </cell>
          <cell r="J136">
            <v>604647.7886789667</v>
          </cell>
          <cell r="K136">
            <v>714691.24641476013</v>
          </cell>
          <cell r="L136">
            <v>0</v>
          </cell>
        </row>
        <row r="137">
          <cell r="B137" t="str">
            <v>DWDM 400 Gbps</v>
          </cell>
          <cell r="C137">
            <v>0</v>
          </cell>
          <cell r="D137">
            <v>4000</v>
          </cell>
          <cell r="E137">
            <v>17802</v>
          </cell>
          <cell r="F137">
            <v>42500</v>
          </cell>
          <cell r="G137">
            <v>92438.499525166189</v>
          </cell>
          <cell r="H137">
            <v>153870.04938271604</v>
          </cell>
          <cell r="I137">
            <v>280605.07407407404</v>
          </cell>
          <cell r="J137">
            <v>416652.20987627783</v>
          </cell>
          <cell r="K137">
            <v>576981.60444404627</v>
          </cell>
          <cell r="L137">
            <v>0</v>
          </cell>
        </row>
        <row r="138">
          <cell r="B138" t="str">
            <v xml:space="preserve">CWDM </v>
          </cell>
          <cell r="C138">
            <v>471335.5</v>
          </cell>
          <cell r="D138">
            <v>276574</v>
          </cell>
          <cell r="E138">
            <v>326257</v>
          </cell>
          <cell r="F138">
            <v>376931</v>
          </cell>
          <cell r="G138">
            <v>539339.99</v>
          </cell>
          <cell r="H138">
            <v>640444.60479999997</v>
          </cell>
          <cell r="I138">
            <v>709609.74856600002</v>
          </cell>
          <cell r="J138">
            <v>759107.17640027008</v>
          </cell>
          <cell r="K138">
            <v>782830.79582436197</v>
          </cell>
          <cell r="L138">
            <v>0</v>
          </cell>
        </row>
        <row r="139">
          <cell r="B139" t="str">
            <v xml:space="preserve">Ethernet </v>
          </cell>
          <cell r="C139">
            <v>36637524.680595979</v>
          </cell>
          <cell r="D139">
            <v>38620381.6654386</v>
          </cell>
          <cell r="E139">
            <v>46491310.696740009</v>
          </cell>
          <cell r="F139">
            <v>42613597.725762956</v>
          </cell>
          <cell r="G139">
            <v>48547949.050432332</v>
          </cell>
          <cell r="H139">
            <v>46686227.423314646</v>
          </cell>
          <cell r="I139">
            <v>95896704.260686383</v>
          </cell>
          <cell r="J139">
            <v>98709599.960928515</v>
          </cell>
          <cell r="K139">
            <v>101019010.00811961</v>
          </cell>
          <cell r="L139">
            <v>0</v>
          </cell>
        </row>
        <row r="140">
          <cell r="B140" t="str">
            <v>Fibre Channel</v>
          </cell>
          <cell r="C140">
            <v>7837651</v>
          </cell>
          <cell r="D140">
            <v>7704897</v>
          </cell>
          <cell r="E140">
            <v>7839170</v>
          </cell>
          <cell r="F140">
            <v>7687734.5578942783</v>
          </cell>
          <cell r="G140">
            <v>4426117</v>
          </cell>
          <cell r="H140">
            <v>4976233.3</v>
          </cell>
          <cell r="I140">
            <v>11059824.2645</v>
          </cell>
          <cell r="J140">
            <v>11167682.650775</v>
          </cell>
          <cell r="K140">
            <v>11412846.138198752</v>
          </cell>
          <cell r="L140">
            <v>0</v>
          </cell>
        </row>
        <row r="141">
          <cell r="B141" t="str">
            <v>Wireless Infrastructure</v>
          </cell>
          <cell r="C141">
            <v>20281329.958118603</v>
          </cell>
          <cell r="D141">
            <v>14276449.238793541</v>
          </cell>
          <cell r="E141">
            <v>17854406.753969923</v>
          </cell>
          <cell r="F141">
            <v>34610951.354257256</v>
          </cell>
          <cell r="G141">
            <v>33082888.665169612</v>
          </cell>
          <cell r="H141">
            <v>33524632.510640573</v>
          </cell>
          <cell r="I141">
            <v>50463713.740899056</v>
          </cell>
          <cell r="J141">
            <v>43349457.588336445</v>
          </cell>
          <cell r="K141">
            <v>39350542.016139224</v>
          </cell>
          <cell r="L141">
            <v>0</v>
          </cell>
        </row>
        <row r="142">
          <cell r="B142" t="str">
            <v>TOTAL (millions)</v>
          </cell>
          <cell r="C142">
            <v>66.254882246158402</v>
          </cell>
          <cell r="D142">
            <v>61.952854167499986</v>
          </cell>
          <cell r="E142">
            <v>73.466386450709933</v>
          </cell>
          <cell r="F142">
            <v>86.456558637914497</v>
          </cell>
          <cell r="G142">
            <v>87.87067719236795</v>
          </cell>
          <cell r="H142">
            <v>87.480252570870491</v>
          </cell>
          <cell r="I142">
            <v>160.1486584495878</v>
          </cell>
          <cell r="J142">
            <v>156.30413753876087</v>
          </cell>
          <cell r="K142">
            <v>155.14163890454978</v>
          </cell>
          <cell r="L142">
            <v>0</v>
          </cell>
        </row>
        <row r="143">
          <cell r="B143" t="str">
            <v>Datacom only</v>
          </cell>
          <cell r="C143">
            <v>44475175.680595979</v>
          </cell>
          <cell r="D143">
            <v>46325278.6654386</v>
          </cell>
          <cell r="E143">
            <v>54330480.696740009</v>
          </cell>
          <cell r="F143">
            <v>50301332.283657238</v>
          </cell>
          <cell r="G143">
            <v>52974066.050432332</v>
          </cell>
          <cell r="H143">
            <v>51662460.723314643</v>
          </cell>
          <cell r="I143">
            <v>106956528.52518639</v>
          </cell>
          <cell r="J143">
            <v>109877282.61170352</v>
          </cell>
          <cell r="K143">
            <v>112431856.14631836</v>
          </cell>
          <cell r="L143">
            <v>0</v>
          </cell>
        </row>
        <row r="144">
          <cell r="B144" t="str">
            <v>Telecom only (ex Wireless)</v>
          </cell>
          <cell r="C144">
            <v>1498376.6074438202</v>
          </cell>
          <cell r="D144">
            <v>1351126.2632678538</v>
          </cell>
          <cell r="E144">
            <v>1281499</v>
          </cell>
          <cell r="F144">
            <v>1544275</v>
          </cell>
          <cell r="G144">
            <v>1813722.4767660098</v>
          </cell>
          <cell r="H144">
            <v>2293159.3369152709</v>
          </cell>
          <cell r="I144">
            <v>2728416.18350235</v>
          </cell>
          <cell r="J144">
            <v>3077397.3387208991</v>
          </cell>
          <cell r="K144">
            <v>3359240.7420921978</v>
          </cell>
          <cell r="L144">
            <v>0</v>
          </cell>
        </row>
      </sheetData>
      <sheetData sheetId="20"/>
      <sheetData sheetId="21"/>
      <sheetData sheetId="22"/>
      <sheetData sheetId="2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85"/>
  <sheetViews>
    <sheetView showGridLines="0" tabSelected="1" zoomScale="80" zoomScaleNormal="80" zoomScalePageLayoutView="80" workbookViewId="0"/>
  </sheetViews>
  <sheetFormatPr defaultColWidth="9.21875" defaultRowHeight="13.2"/>
  <cols>
    <col min="1" max="1" width="4.44140625" customWidth="1"/>
    <col min="2" max="2" width="36.21875" customWidth="1"/>
    <col min="3" max="3" width="41.44140625" customWidth="1"/>
    <col min="4" max="4" width="38.33203125" customWidth="1"/>
  </cols>
  <sheetData>
    <row r="1" spans="1:20">
      <c r="A1" s="37"/>
      <c r="B1" s="37"/>
      <c r="C1" s="37"/>
      <c r="D1" s="37"/>
      <c r="E1" s="37"/>
      <c r="F1" s="37"/>
      <c r="G1" s="37"/>
      <c r="H1" s="37"/>
      <c r="I1" s="37"/>
      <c r="J1" s="37"/>
      <c r="K1" s="37"/>
      <c r="L1" s="37"/>
      <c r="M1" s="37"/>
      <c r="N1" s="37"/>
      <c r="O1" s="37"/>
      <c r="P1" s="37"/>
      <c r="Q1" s="37"/>
      <c r="R1" s="37"/>
      <c r="S1" s="37"/>
      <c r="T1" s="37"/>
    </row>
    <row r="2" spans="1:20" ht="17.399999999999999">
      <c r="A2" s="37"/>
      <c r="B2" s="100" t="s">
        <v>147</v>
      </c>
      <c r="C2" s="37"/>
      <c r="D2" s="37"/>
      <c r="E2" s="37"/>
      <c r="F2" s="37"/>
      <c r="G2" s="37"/>
      <c r="H2" s="37"/>
      <c r="I2" s="37"/>
      <c r="J2" s="37"/>
      <c r="K2" s="37"/>
      <c r="L2" s="37"/>
      <c r="M2" s="37"/>
      <c r="N2" s="37"/>
      <c r="O2" s="37"/>
      <c r="P2" s="37"/>
      <c r="Q2" s="37"/>
      <c r="R2" s="37"/>
      <c r="S2" s="37"/>
      <c r="T2" s="37"/>
    </row>
    <row r="3" spans="1:20" ht="17.399999999999999">
      <c r="A3" s="37"/>
      <c r="B3" s="202" t="s">
        <v>565</v>
      </c>
      <c r="C3" s="37"/>
      <c r="D3" s="37"/>
      <c r="E3" s="37"/>
      <c r="F3" s="37"/>
      <c r="G3" s="37"/>
      <c r="H3" s="37"/>
      <c r="I3" s="37"/>
      <c r="J3" s="37"/>
      <c r="K3" s="37"/>
      <c r="L3" s="37"/>
      <c r="M3" s="37"/>
      <c r="N3" s="37"/>
      <c r="O3" s="37"/>
      <c r="P3" s="37"/>
      <c r="Q3" s="37"/>
      <c r="R3" s="37"/>
      <c r="S3" s="37"/>
      <c r="T3" s="37"/>
    </row>
    <row r="4" spans="1:20">
      <c r="A4" s="37"/>
      <c r="B4" s="37"/>
      <c r="C4" s="37"/>
      <c r="D4" s="37"/>
      <c r="E4" s="37"/>
      <c r="F4" s="37"/>
      <c r="G4" s="37"/>
      <c r="H4" s="37"/>
      <c r="I4" s="37"/>
      <c r="J4" s="37"/>
      <c r="K4" s="37"/>
      <c r="L4" s="37"/>
      <c r="M4" s="37"/>
      <c r="N4" s="37"/>
      <c r="O4" s="37"/>
      <c r="P4" s="37"/>
      <c r="Q4" s="37"/>
      <c r="R4" s="37"/>
      <c r="S4" s="37"/>
      <c r="T4" s="37"/>
    </row>
    <row r="5" spans="1:20">
      <c r="A5" s="37"/>
      <c r="B5" s="38" t="s">
        <v>40</v>
      </c>
      <c r="C5" s="37"/>
      <c r="D5" s="37"/>
      <c r="E5" s="37"/>
      <c r="F5" s="37"/>
      <c r="G5" s="37"/>
      <c r="H5" s="37"/>
      <c r="I5" s="37"/>
      <c r="J5" s="37"/>
      <c r="K5" s="37"/>
      <c r="L5" s="37"/>
      <c r="M5" s="37"/>
      <c r="N5" s="37"/>
      <c r="O5" s="37"/>
      <c r="P5" s="37"/>
      <c r="Q5" s="37"/>
      <c r="R5" s="37"/>
      <c r="S5" s="37"/>
      <c r="T5" s="37"/>
    </row>
    <row r="6" spans="1:20" ht="12.75" customHeight="1">
      <c r="A6" s="37"/>
      <c r="B6" s="561" t="s">
        <v>530</v>
      </c>
      <c r="C6" s="561"/>
      <c r="D6" s="561"/>
      <c r="E6" s="561"/>
      <c r="F6" s="561"/>
      <c r="G6" s="561"/>
      <c r="H6" s="561"/>
      <c r="I6" s="561"/>
      <c r="J6" s="561"/>
      <c r="K6" s="561"/>
      <c r="L6" s="201"/>
      <c r="M6" s="201"/>
      <c r="N6" s="37"/>
      <c r="O6" s="37"/>
      <c r="P6" s="37"/>
      <c r="Q6" s="37"/>
      <c r="R6" s="37"/>
      <c r="S6" s="37"/>
      <c r="T6" s="37"/>
    </row>
    <row r="7" spans="1:20">
      <c r="A7" s="37"/>
      <c r="B7" s="561"/>
      <c r="C7" s="561"/>
      <c r="D7" s="561"/>
      <c r="E7" s="561"/>
      <c r="F7" s="561"/>
      <c r="G7" s="561"/>
      <c r="H7" s="561"/>
      <c r="I7" s="561"/>
      <c r="J7" s="561"/>
      <c r="K7" s="561"/>
      <c r="L7" s="201"/>
      <c r="M7" s="201"/>
      <c r="N7" s="37"/>
      <c r="O7" s="37"/>
      <c r="P7" s="37"/>
      <c r="Q7" s="37"/>
      <c r="R7" s="37"/>
      <c r="S7" s="37"/>
      <c r="T7" s="37"/>
    </row>
    <row r="8" spans="1:20">
      <c r="A8" s="37"/>
      <c r="B8" s="561"/>
      <c r="C8" s="561"/>
      <c r="D8" s="561"/>
      <c r="E8" s="561"/>
      <c r="F8" s="561"/>
      <c r="G8" s="561"/>
      <c r="H8" s="561"/>
      <c r="I8" s="561"/>
      <c r="J8" s="561"/>
      <c r="K8" s="561"/>
      <c r="L8" s="201"/>
      <c r="M8" s="201"/>
      <c r="N8" s="37"/>
      <c r="O8" s="37"/>
      <c r="P8" s="37"/>
      <c r="Q8" s="37"/>
      <c r="R8" s="37"/>
      <c r="S8" s="37"/>
      <c r="T8" s="37"/>
    </row>
    <row r="9" spans="1:20">
      <c r="A9" s="37"/>
      <c r="B9" s="561"/>
      <c r="C9" s="561"/>
      <c r="D9" s="561"/>
      <c r="E9" s="561"/>
      <c r="F9" s="561"/>
      <c r="G9" s="561"/>
      <c r="H9" s="561"/>
      <c r="I9" s="561"/>
      <c r="J9" s="561"/>
      <c r="K9" s="561"/>
      <c r="L9" s="201"/>
      <c r="M9" s="201"/>
      <c r="N9" s="37"/>
      <c r="O9" s="37"/>
      <c r="P9" s="37"/>
      <c r="Q9" s="37"/>
      <c r="R9" s="37"/>
      <c r="S9" s="37"/>
      <c r="T9" s="37"/>
    </row>
    <row r="10" spans="1:20" ht="22.5" customHeight="1">
      <c r="A10" s="37"/>
      <c r="B10" s="561"/>
      <c r="C10" s="561"/>
      <c r="D10" s="561"/>
      <c r="E10" s="561"/>
      <c r="F10" s="561"/>
      <c r="G10" s="561"/>
      <c r="H10" s="561"/>
      <c r="I10" s="561"/>
      <c r="J10" s="561"/>
      <c r="K10" s="561"/>
      <c r="L10" s="201"/>
      <c r="M10" s="201"/>
      <c r="N10" s="37"/>
      <c r="O10" s="37"/>
      <c r="P10" s="37"/>
      <c r="Q10" s="37"/>
      <c r="R10" s="37"/>
      <c r="S10" s="37"/>
      <c r="T10" s="37"/>
    </row>
    <row r="11" spans="1:20">
      <c r="A11" s="37"/>
      <c r="B11" s="37" t="s">
        <v>41</v>
      </c>
      <c r="C11" s="37"/>
      <c r="D11" s="37"/>
      <c r="E11" s="37"/>
      <c r="F11" s="37"/>
      <c r="G11" s="37"/>
      <c r="H11" s="37"/>
      <c r="I11" s="37"/>
      <c r="J11" s="37"/>
      <c r="K11" s="37"/>
      <c r="L11" s="37"/>
      <c r="M11" s="37"/>
      <c r="N11" s="37"/>
      <c r="O11" s="37"/>
      <c r="P11" s="37"/>
      <c r="Q11" s="37"/>
      <c r="R11" s="37"/>
      <c r="S11" s="37"/>
      <c r="T11" s="37"/>
    </row>
    <row r="12" spans="1:20">
      <c r="A12" s="37"/>
      <c r="B12" s="277" t="s">
        <v>42</v>
      </c>
      <c r="C12" s="278" t="s">
        <v>43</v>
      </c>
      <c r="D12" s="458" t="s">
        <v>435</v>
      </c>
      <c r="E12" s="37"/>
      <c r="F12" s="37"/>
      <c r="G12" s="37"/>
      <c r="H12" s="37"/>
      <c r="I12" s="37"/>
      <c r="J12" s="37"/>
      <c r="K12" s="37"/>
      <c r="L12" s="37" t="s">
        <v>129</v>
      </c>
      <c r="M12" s="37"/>
      <c r="N12" s="37"/>
      <c r="O12" s="37"/>
      <c r="P12" s="37"/>
      <c r="Q12" s="37"/>
      <c r="R12" s="37"/>
      <c r="S12" s="37"/>
      <c r="T12" s="37"/>
    </row>
    <row r="13" spans="1:20">
      <c r="A13" s="37"/>
      <c r="B13" s="279" t="s">
        <v>432</v>
      </c>
      <c r="C13" s="280" t="s">
        <v>72</v>
      </c>
      <c r="D13" s="459"/>
      <c r="E13" s="37"/>
      <c r="F13" s="37"/>
      <c r="G13" s="37"/>
      <c r="H13" s="37"/>
      <c r="I13" s="37"/>
      <c r="J13" s="37"/>
      <c r="K13" s="37"/>
      <c r="L13" s="37"/>
      <c r="M13" s="37"/>
      <c r="N13" s="37"/>
      <c r="O13" s="37"/>
      <c r="P13" s="37"/>
      <c r="Q13" s="37"/>
      <c r="R13" s="37"/>
      <c r="S13" s="37"/>
      <c r="T13" s="37"/>
    </row>
    <row r="14" spans="1:20">
      <c r="A14" s="37"/>
      <c r="B14" s="279" t="s">
        <v>266</v>
      </c>
      <c r="C14" s="280" t="s">
        <v>72</v>
      </c>
      <c r="D14" s="459" t="s">
        <v>433</v>
      </c>
      <c r="E14" s="37"/>
      <c r="F14" s="37"/>
      <c r="G14" s="37"/>
      <c r="H14" s="37"/>
      <c r="I14" s="37"/>
      <c r="J14" s="37"/>
      <c r="K14" s="37"/>
      <c r="L14" s="37"/>
      <c r="M14" s="37"/>
      <c r="N14" s="37"/>
      <c r="O14" s="37"/>
      <c r="P14" s="37"/>
      <c r="Q14" s="37"/>
      <c r="R14" s="37"/>
      <c r="S14" s="37"/>
      <c r="T14" s="37"/>
    </row>
    <row r="15" spans="1:20">
      <c r="A15" s="37"/>
      <c r="B15" s="279" t="s">
        <v>267</v>
      </c>
      <c r="C15" s="281" t="s">
        <v>77</v>
      </c>
      <c r="D15" s="459"/>
      <c r="E15" s="37"/>
      <c r="F15" s="37"/>
      <c r="G15" s="37"/>
      <c r="H15" s="37"/>
      <c r="I15" s="37"/>
      <c r="J15" s="37"/>
      <c r="K15" s="37"/>
      <c r="L15" s="37"/>
      <c r="M15" s="37"/>
      <c r="N15" s="37"/>
      <c r="O15" s="37"/>
      <c r="P15" s="37"/>
      <c r="Q15" s="37"/>
      <c r="R15" s="37"/>
      <c r="S15" s="37"/>
      <c r="T15" s="37"/>
    </row>
    <row r="16" spans="1:20">
      <c r="A16" s="37"/>
      <c r="B16" s="282" t="s">
        <v>106</v>
      </c>
      <c r="C16" s="281" t="s">
        <v>77</v>
      </c>
      <c r="D16" s="459"/>
      <c r="E16" s="37"/>
      <c r="F16" s="37"/>
      <c r="G16" s="37"/>
      <c r="H16" s="37"/>
      <c r="I16" s="37"/>
      <c r="J16" s="37"/>
      <c r="K16" s="37"/>
      <c r="L16" s="37"/>
      <c r="M16" s="37"/>
      <c r="N16" s="37"/>
      <c r="O16" s="37"/>
      <c r="P16" s="37"/>
      <c r="Q16" s="37"/>
      <c r="R16" s="37"/>
      <c r="S16" s="37"/>
      <c r="T16" s="37"/>
    </row>
    <row r="17" spans="1:20">
      <c r="A17" s="37"/>
      <c r="B17" s="279" t="s">
        <v>125</v>
      </c>
      <c r="C17" s="281" t="s">
        <v>118</v>
      </c>
      <c r="D17" s="459" t="s">
        <v>439</v>
      </c>
      <c r="E17" s="37"/>
      <c r="F17" s="37"/>
      <c r="G17" s="37"/>
      <c r="H17" s="37"/>
      <c r="I17" s="37"/>
      <c r="J17" s="37"/>
      <c r="K17" s="37"/>
      <c r="L17" s="37"/>
      <c r="M17" s="37"/>
      <c r="N17" s="37"/>
      <c r="O17" s="37"/>
      <c r="P17" s="37"/>
      <c r="Q17" s="37"/>
      <c r="R17" s="37"/>
      <c r="S17" s="37"/>
      <c r="T17" s="37"/>
    </row>
    <row r="18" spans="1:20">
      <c r="A18" s="37"/>
      <c r="B18" s="195" t="s">
        <v>268</v>
      </c>
      <c r="C18" s="281" t="s">
        <v>118</v>
      </c>
      <c r="D18" s="459" t="s">
        <v>429</v>
      </c>
      <c r="E18" s="37"/>
      <c r="F18" s="37"/>
      <c r="G18" s="37"/>
      <c r="H18" s="37"/>
      <c r="I18" s="37"/>
      <c r="J18" s="37"/>
      <c r="K18" s="37"/>
      <c r="L18" s="37"/>
      <c r="M18" s="37"/>
      <c r="N18" s="37"/>
      <c r="O18" s="37"/>
      <c r="P18" s="37"/>
      <c r="Q18" s="37"/>
      <c r="R18" s="37"/>
      <c r="S18" s="37"/>
      <c r="T18" s="37"/>
    </row>
    <row r="19" spans="1:20">
      <c r="A19" s="37"/>
      <c r="B19" s="195" t="s">
        <v>436</v>
      </c>
      <c r="C19" s="280" t="s">
        <v>72</v>
      </c>
      <c r="D19" s="459"/>
      <c r="E19" s="37"/>
      <c r="F19" s="37"/>
      <c r="G19" s="37"/>
      <c r="H19" s="37"/>
      <c r="I19" s="37"/>
      <c r="J19" s="37"/>
      <c r="K19" s="37"/>
      <c r="L19" s="37"/>
      <c r="M19" s="37"/>
      <c r="N19" s="37"/>
      <c r="O19" s="37"/>
      <c r="P19" s="37"/>
      <c r="Q19" s="37"/>
      <c r="R19" s="37"/>
      <c r="S19" s="37"/>
      <c r="T19" s="37"/>
    </row>
    <row r="20" spans="1:20">
      <c r="A20" s="37"/>
      <c r="B20" s="195" t="s">
        <v>438</v>
      </c>
      <c r="C20" s="280" t="s">
        <v>72</v>
      </c>
      <c r="D20" s="459"/>
      <c r="E20" s="37"/>
      <c r="F20" s="37"/>
      <c r="G20" s="37"/>
      <c r="H20" s="37"/>
      <c r="I20" s="37"/>
      <c r="J20" s="37"/>
      <c r="K20" s="37"/>
      <c r="L20" s="37"/>
      <c r="M20" s="37"/>
      <c r="N20" s="37"/>
      <c r="O20" s="37"/>
      <c r="P20" s="37"/>
      <c r="Q20" s="37"/>
      <c r="R20" s="37"/>
      <c r="S20" s="37"/>
      <c r="T20" s="37"/>
    </row>
    <row r="21" spans="1:20">
      <c r="A21" s="37"/>
      <c r="B21" s="195" t="s">
        <v>269</v>
      </c>
      <c r="C21" s="280" t="s">
        <v>72</v>
      </c>
      <c r="D21" s="459" t="s">
        <v>428</v>
      </c>
      <c r="E21" s="37"/>
      <c r="F21" s="37"/>
      <c r="G21" s="37"/>
      <c r="H21" s="37"/>
      <c r="I21" s="37"/>
      <c r="J21" s="37"/>
      <c r="K21" s="37"/>
      <c r="L21" s="37"/>
      <c r="M21" s="37"/>
      <c r="N21" s="37"/>
      <c r="O21" s="37"/>
      <c r="P21" s="37"/>
      <c r="Q21" s="37"/>
      <c r="R21" s="37"/>
      <c r="S21" s="37"/>
      <c r="T21" s="37"/>
    </row>
    <row r="22" spans="1:20">
      <c r="A22" s="37"/>
      <c r="B22" s="195" t="s">
        <v>270</v>
      </c>
      <c r="C22" s="280" t="s">
        <v>77</v>
      </c>
      <c r="D22" s="459"/>
      <c r="E22" s="37"/>
      <c r="F22" s="37"/>
      <c r="G22" s="37"/>
      <c r="H22" s="37"/>
      <c r="I22" s="37"/>
      <c r="J22" s="37"/>
      <c r="K22" s="37"/>
      <c r="L22" s="37"/>
      <c r="M22" s="37"/>
      <c r="N22" s="37"/>
      <c r="O22" s="37"/>
      <c r="P22" s="37"/>
      <c r="Q22" s="37"/>
      <c r="R22" s="37"/>
      <c r="S22" s="37"/>
      <c r="T22" s="37"/>
    </row>
    <row r="23" spans="1:20">
      <c r="A23" s="37"/>
      <c r="B23" s="195" t="s">
        <v>107</v>
      </c>
      <c r="C23" s="280" t="s">
        <v>118</v>
      </c>
      <c r="D23" s="459"/>
      <c r="E23" s="37"/>
      <c r="F23" s="37"/>
      <c r="G23" s="37"/>
      <c r="H23" s="37"/>
      <c r="I23" s="37"/>
      <c r="J23" s="37"/>
      <c r="K23" s="37"/>
      <c r="L23" s="37"/>
      <c r="M23" s="37"/>
      <c r="N23" s="37"/>
      <c r="O23" s="37"/>
      <c r="P23" s="37"/>
      <c r="Q23" s="37"/>
      <c r="R23" s="37"/>
      <c r="S23" s="37"/>
      <c r="T23" s="37"/>
    </row>
    <row r="24" spans="1:20">
      <c r="A24" s="37"/>
      <c r="B24" s="195" t="s">
        <v>111</v>
      </c>
      <c r="C24" s="281" t="s">
        <v>118</v>
      </c>
      <c r="D24" s="459"/>
      <c r="E24" s="37"/>
      <c r="F24" s="37"/>
      <c r="G24" s="37"/>
      <c r="H24" s="37"/>
      <c r="I24" s="37"/>
      <c r="J24" s="37"/>
      <c r="K24" s="37"/>
      <c r="L24" s="37"/>
      <c r="M24" s="37"/>
      <c r="N24" s="37"/>
      <c r="O24" s="37"/>
      <c r="P24" s="37"/>
      <c r="Q24" s="37"/>
      <c r="R24" s="37"/>
      <c r="S24" s="37"/>
      <c r="T24" s="37"/>
    </row>
    <row r="25" spans="1:20">
      <c r="A25" s="37"/>
      <c r="B25" s="195" t="s">
        <v>44</v>
      </c>
      <c r="C25" s="280" t="s">
        <v>126</v>
      </c>
      <c r="D25" s="459" t="s">
        <v>428</v>
      </c>
      <c r="E25" s="37"/>
      <c r="F25" s="37"/>
      <c r="G25" s="37"/>
      <c r="H25" s="37"/>
      <c r="I25" s="37"/>
      <c r="J25" s="37"/>
      <c r="K25" s="37"/>
      <c r="L25" s="37"/>
      <c r="M25" s="37"/>
      <c r="N25" s="37"/>
      <c r="O25" s="37"/>
      <c r="P25" s="37"/>
      <c r="Q25" s="37"/>
      <c r="R25" s="37"/>
      <c r="S25" s="37"/>
      <c r="T25" s="37"/>
    </row>
    <row r="26" spans="1:20">
      <c r="A26" s="37"/>
      <c r="B26" s="195" t="s">
        <v>271</v>
      </c>
      <c r="C26" s="280" t="s">
        <v>272</v>
      </c>
      <c r="D26" s="459"/>
      <c r="E26" s="37"/>
      <c r="F26" s="37"/>
      <c r="G26" s="37"/>
      <c r="H26" s="37"/>
      <c r="I26" s="37"/>
      <c r="J26" s="37"/>
      <c r="K26" s="37"/>
      <c r="L26" s="37"/>
      <c r="M26" s="37"/>
      <c r="N26" s="37"/>
      <c r="O26" s="37"/>
      <c r="P26" s="37"/>
      <c r="Q26" s="37"/>
      <c r="R26" s="37"/>
      <c r="S26" s="37"/>
      <c r="T26" s="37"/>
    </row>
    <row r="27" spans="1:20">
      <c r="A27" s="37"/>
      <c r="B27" s="195" t="s">
        <v>45</v>
      </c>
      <c r="C27" s="281" t="s">
        <v>77</v>
      </c>
      <c r="D27" s="459"/>
      <c r="E27" s="37"/>
      <c r="F27" s="37"/>
      <c r="G27" s="37"/>
      <c r="H27" s="37"/>
      <c r="I27" s="37"/>
      <c r="J27" s="37"/>
      <c r="K27" s="37"/>
      <c r="L27" s="37"/>
      <c r="M27" s="37"/>
      <c r="N27" s="37"/>
      <c r="O27" s="37"/>
      <c r="P27" s="37"/>
      <c r="Q27" s="37"/>
      <c r="R27" s="37"/>
      <c r="S27" s="37"/>
      <c r="T27" s="37"/>
    </row>
    <row r="28" spans="1:20">
      <c r="A28" s="37"/>
      <c r="B28" s="195" t="s">
        <v>273</v>
      </c>
      <c r="C28" s="280" t="s">
        <v>272</v>
      </c>
      <c r="D28" s="459"/>
      <c r="E28" s="37"/>
      <c r="F28" s="37"/>
      <c r="G28" s="37"/>
      <c r="H28" s="37"/>
      <c r="I28" s="37"/>
      <c r="J28" s="37"/>
      <c r="K28" s="37"/>
      <c r="L28" s="37"/>
      <c r="M28" s="37"/>
      <c r="N28" s="37"/>
      <c r="O28" s="37"/>
      <c r="P28" s="37"/>
      <c r="Q28" s="37"/>
      <c r="R28" s="37"/>
      <c r="S28" s="37"/>
      <c r="T28" s="37"/>
    </row>
    <row r="29" spans="1:20">
      <c r="A29" s="37"/>
      <c r="B29" s="160" t="s">
        <v>73</v>
      </c>
      <c r="C29" s="281" t="s">
        <v>118</v>
      </c>
      <c r="D29" s="459"/>
      <c r="E29" s="37"/>
      <c r="F29" s="37"/>
      <c r="G29" s="37"/>
      <c r="H29" s="37"/>
      <c r="I29" s="37"/>
      <c r="J29" s="37"/>
      <c r="K29" s="37"/>
      <c r="L29" s="37"/>
      <c r="M29" s="37"/>
      <c r="N29" s="37"/>
      <c r="O29" s="37"/>
      <c r="P29" s="37"/>
      <c r="Q29" s="37"/>
      <c r="R29" s="37"/>
      <c r="S29" s="37"/>
      <c r="T29" s="37"/>
    </row>
    <row r="30" spans="1:20">
      <c r="A30" s="37"/>
      <c r="B30" s="160" t="s">
        <v>74</v>
      </c>
      <c r="C30" s="281" t="s">
        <v>77</v>
      </c>
      <c r="D30" s="459"/>
      <c r="E30" s="37"/>
      <c r="F30" s="37"/>
      <c r="G30" s="37"/>
      <c r="H30" s="37"/>
      <c r="I30" s="37"/>
      <c r="J30" s="37"/>
      <c r="K30" s="37"/>
      <c r="L30" s="37"/>
      <c r="M30" s="37"/>
      <c r="N30" s="37"/>
      <c r="O30" s="37"/>
      <c r="P30" s="37"/>
      <c r="Q30" s="37"/>
      <c r="R30" s="37"/>
      <c r="S30" s="37"/>
      <c r="T30" s="37"/>
    </row>
    <row r="31" spans="1:20">
      <c r="A31" s="37"/>
      <c r="B31" s="195" t="s">
        <v>46</v>
      </c>
      <c r="C31" s="280" t="s">
        <v>118</v>
      </c>
      <c r="D31" s="459"/>
      <c r="E31" s="37"/>
      <c r="F31" s="37"/>
      <c r="G31" s="37"/>
      <c r="H31" s="37"/>
      <c r="I31" s="37"/>
      <c r="J31" s="37"/>
      <c r="K31" s="37"/>
      <c r="L31" s="37"/>
      <c r="M31" s="37"/>
      <c r="N31" s="37"/>
      <c r="O31" s="37"/>
      <c r="P31" s="37"/>
      <c r="Q31" s="37"/>
      <c r="R31" s="37"/>
      <c r="S31" s="37"/>
      <c r="T31" s="37"/>
    </row>
    <row r="32" spans="1:20">
      <c r="A32" s="37"/>
      <c r="B32" s="160" t="s">
        <v>112</v>
      </c>
      <c r="C32" s="281" t="s">
        <v>77</v>
      </c>
      <c r="D32" s="459"/>
      <c r="E32" s="37"/>
      <c r="F32" s="37"/>
      <c r="G32" s="37"/>
      <c r="H32" s="37"/>
      <c r="I32" s="37"/>
      <c r="J32" s="37"/>
      <c r="K32" s="37"/>
      <c r="L32" s="37"/>
      <c r="M32" s="37"/>
      <c r="N32" s="37"/>
      <c r="O32" s="37"/>
      <c r="P32" s="37"/>
      <c r="Q32" s="37"/>
      <c r="R32" s="37"/>
      <c r="S32" s="37"/>
      <c r="T32" s="37"/>
    </row>
    <row r="33" spans="1:20">
      <c r="A33" s="37"/>
      <c r="B33" s="195" t="s">
        <v>274</v>
      </c>
      <c r="C33" s="280" t="s">
        <v>77</v>
      </c>
      <c r="D33" s="459"/>
      <c r="E33" s="37"/>
      <c r="F33" s="37"/>
      <c r="G33" s="37"/>
      <c r="H33" s="37"/>
      <c r="I33" s="37"/>
      <c r="J33" s="37"/>
      <c r="K33" s="37"/>
      <c r="L33" s="37"/>
      <c r="M33" s="37"/>
      <c r="N33" s="37"/>
      <c r="O33" s="37"/>
      <c r="P33" s="37"/>
      <c r="Q33" s="37"/>
      <c r="R33" s="37"/>
      <c r="S33" s="37"/>
      <c r="T33" s="37"/>
    </row>
    <row r="34" spans="1:20">
      <c r="A34" s="37"/>
      <c r="B34" s="195" t="s">
        <v>275</v>
      </c>
      <c r="C34" s="280" t="s">
        <v>72</v>
      </c>
      <c r="D34" s="459"/>
      <c r="E34" s="37"/>
      <c r="F34" s="37"/>
      <c r="G34" s="37"/>
      <c r="H34" s="37"/>
      <c r="I34" s="37"/>
      <c r="J34" s="37"/>
      <c r="K34" s="37"/>
      <c r="L34" s="37"/>
      <c r="M34" s="37"/>
      <c r="N34" s="37"/>
      <c r="O34" s="37"/>
      <c r="P34" s="37"/>
      <c r="Q34" s="37"/>
      <c r="R34" s="37"/>
      <c r="S34" s="37"/>
      <c r="T34" s="37"/>
    </row>
    <row r="35" spans="1:20">
      <c r="A35" s="37"/>
      <c r="B35" s="195" t="s">
        <v>276</v>
      </c>
      <c r="C35" s="281" t="s">
        <v>126</v>
      </c>
      <c r="D35" s="459" t="s">
        <v>434</v>
      </c>
      <c r="E35" s="37"/>
      <c r="F35" s="37"/>
      <c r="G35" s="37"/>
      <c r="H35" s="37"/>
      <c r="I35" s="37"/>
      <c r="J35" s="37"/>
      <c r="K35" s="37"/>
      <c r="L35" s="37"/>
      <c r="M35" s="37"/>
      <c r="N35" s="37"/>
      <c r="O35" s="37"/>
      <c r="P35" s="37"/>
      <c r="Q35" s="37"/>
      <c r="R35" s="37"/>
      <c r="S35" s="37"/>
      <c r="T35" s="37"/>
    </row>
    <row r="36" spans="1:20">
      <c r="A36" s="37"/>
      <c r="B36" s="195" t="s">
        <v>277</v>
      </c>
      <c r="C36" s="281" t="s">
        <v>126</v>
      </c>
      <c r="D36" s="459"/>
      <c r="E36" s="37"/>
      <c r="F36" s="37"/>
      <c r="G36" s="37"/>
      <c r="H36" s="37"/>
      <c r="I36" s="37"/>
      <c r="J36" s="37"/>
      <c r="K36" s="37"/>
      <c r="L36" s="37"/>
      <c r="M36" s="37"/>
      <c r="N36" s="37"/>
      <c r="O36" s="37"/>
      <c r="P36" s="37"/>
      <c r="Q36" s="37"/>
      <c r="R36" s="37"/>
      <c r="S36" s="37"/>
      <c r="T36" s="37"/>
    </row>
    <row r="37" spans="1:20">
      <c r="A37" s="37"/>
      <c r="B37" s="195" t="s">
        <v>278</v>
      </c>
      <c r="C37" s="281" t="s">
        <v>126</v>
      </c>
      <c r="D37" s="459" t="s">
        <v>430</v>
      </c>
      <c r="E37" s="37"/>
      <c r="F37" s="37"/>
      <c r="G37" s="37"/>
      <c r="H37" s="37"/>
      <c r="I37" s="37"/>
      <c r="J37" s="37"/>
      <c r="K37" s="37"/>
      <c r="L37" s="37"/>
      <c r="M37" s="37"/>
      <c r="N37" s="37"/>
      <c r="O37" s="37"/>
      <c r="P37" s="37"/>
      <c r="Q37" s="37"/>
      <c r="R37" s="37"/>
      <c r="S37" s="37"/>
      <c r="T37" s="37"/>
    </row>
    <row r="38" spans="1:20">
      <c r="A38" s="37"/>
      <c r="B38" s="195" t="s">
        <v>224</v>
      </c>
      <c r="C38" s="281" t="s">
        <v>77</v>
      </c>
      <c r="D38" s="459"/>
      <c r="E38" s="37"/>
      <c r="F38" s="37"/>
      <c r="G38" s="37"/>
      <c r="H38" s="37"/>
      <c r="I38" s="37"/>
      <c r="J38" s="37"/>
      <c r="K38" s="37"/>
      <c r="L38" s="37"/>
      <c r="M38" s="37"/>
      <c r="N38" s="37"/>
      <c r="O38" s="37"/>
      <c r="P38" s="37"/>
      <c r="Q38" s="37"/>
      <c r="R38" s="37"/>
      <c r="S38" s="37"/>
      <c r="T38" s="37"/>
    </row>
    <row r="39" spans="1:20">
      <c r="A39" s="37"/>
      <c r="B39" s="195" t="s">
        <v>437</v>
      </c>
      <c r="C39" s="281" t="s">
        <v>72</v>
      </c>
      <c r="D39" s="459"/>
      <c r="E39" s="37"/>
      <c r="F39" s="37"/>
      <c r="G39" s="37"/>
      <c r="H39" s="37"/>
      <c r="I39" s="37"/>
      <c r="J39" s="37"/>
      <c r="K39" s="37"/>
      <c r="L39" s="37"/>
      <c r="M39" s="37"/>
      <c r="N39" s="37"/>
      <c r="O39" s="37"/>
      <c r="P39" s="37"/>
      <c r="Q39" s="37"/>
      <c r="R39" s="37"/>
      <c r="S39" s="37"/>
      <c r="T39" s="37"/>
    </row>
    <row r="40" spans="1:20" ht="12.75" customHeight="1">
      <c r="A40" s="37"/>
      <c r="B40" s="160" t="s">
        <v>108</v>
      </c>
      <c r="C40" s="281" t="s">
        <v>77</v>
      </c>
      <c r="D40" s="459"/>
      <c r="E40" s="37"/>
      <c r="F40" s="37"/>
      <c r="G40" s="37"/>
      <c r="H40" s="37"/>
      <c r="I40" s="37"/>
      <c r="J40" s="37"/>
      <c r="K40" s="37"/>
      <c r="L40" s="37"/>
      <c r="M40" s="37"/>
      <c r="N40" s="37"/>
      <c r="O40" s="37"/>
      <c r="P40" s="37"/>
      <c r="Q40" s="37"/>
      <c r="R40" s="37"/>
      <c r="S40" s="37"/>
      <c r="T40" s="37"/>
    </row>
    <row r="41" spans="1:20" ht="12.75" customHeight="1">
      <c r="A41" s="37"/>
      <c r="B41" s="160" t="s">
        <v>62</v>
      </c>
      <c r="C41" s="281" t="s">
        <v>118</v>
      </c>
      <c r="D41" s="459" t="s">
        <v>427</v>
      </c>
      <c r="E41" s="37"/>
      <c r="F41" s="37"/>
      <c r="G41" s="37"/>
      <c r="H41" s="37"/>
      <c r="I41" s="37"/>
      <c r="J41" s="37"/>
      <c r="K41" s="37"/>
      <c r="L41" s="37"/>
      <c r="M41" s="37"/>
      <c r="N41" s="37"/>
      <c r="O41" s="37"/>
      <c r="P41" s="37"/>
      <c r="Q41" s="37"/>
      <c r="R41" s="37"/>
      <c r="S41" s="37"/>
      <c r="T41" s="37"/>
    </row>
    <row r="42" spans="1:20" ht="12.75" customHeight="1">
      <c r="A42" s="37"/>
      <c r="B42" s="160" t="s">
        <v>75</v>
      </c>
      <c r="C42" s="281" t="s">
        <v>126</v>
      </c>
      <c r="D42" s="459" t="s">
        <v>427</v>
      </c>
      <c r="E42" s="37"/>
      <c r="F42" s="37"/>
      <c r="G42" s="37"/>
      <c r="H42" s="37"/>
      <c r="I42" s="37"/>
      <c r="J42" s="37"/>
      <c r="K42" s="37"/>
      <c r="L42" s="37"/>
      <c r="M42" s="37"/>
      <c r="N42" s="37"/>
      <c r="O42" s="37"/>
      <c r="P42" s="37"/>
      <c r="Q42" s="37"/>
      <c r="R42" s="37"/>
      <c r="S42" s="37"/>
      <c r="T42" s="37"/>
    </row>
    <row r="43" spans="1:20" ht="12.75" customHeight="1">
      <c r="A43" s="37"/>
      <c r="B43" s="195" t="s">
        <v>47</v>
      </c>
      <c r="C43" s="280" t="s">
        <v>126</v>
      </c>
      <c r="D43" s="459"/>
      <c r="E43" s="37"/>
      <c r="F43" s="37"/>
      <c r="G43" s="37"/>
      <c r="H43" s="37"/>
      <c r="I43" s="37"/>
      <c r="J43" s="37"/>
      <c r="K43" s="37"/>
      <c r="L43" s="37"/>
      <c r="M43" s="37"/>
      <c r="N43" s="37"/>
      <c r="O43" s="37"/>
      <c r="P43" s="37"/>
      <c r="Q43" s="37"/>
      <c r="R43" s="37"/>
      <c r="S43" s="37"/>
      <c r="T43" s="37"/>
    </row>
    <row r="44" spans="1:20" ht="12.75" customHeight="1">
      <c r="A44" s="37"/>
      <c r="B44" s="195" t="s">
        <v>279</v>
      </c>
      <c r="C44" s="280" t="s">
        <v>72</v>
      </c>
      <c r="D44" s="459" t="s">
        <v>431</v>
      </c>
      <c r="E44" s="37"/>
      <c r="F44" s="37"/>
      <c r="G44" s="37"/>
      <c r="H44" s="37"/>
      <c r="I44" s="37"/>
      <c r="J44" s="37"/>
      <c r="K44" s="37"/>
      <c r="L44" s="37"/>
      <c r="M44" s="37"/>
      <c r="N44" s="37"/>
      <c r="O44" s="37"/>
      <c r="P44" s="37"/>
      <c r="Q44" s="37"/>
      <c r="R44" s="37"/>
      <c r="S44" s="37"/>
      <c r="T44" s="37"/>
    </row>
    <row r="45" spans="1:20" ht="12.75" customHeight="1">
      <c r="A45" s="37"/>
      <c r="B45" s="195" t="s">
        <v>280</v>
      </c>
      <c r="C45" s="281" t="s">
        <v>77</v>
      </c>
      <c r="D45" s="459"/>
      <c r="E45" s="37"/>
      <c r="F45" s="37"/>
      <c r="G45" s="37"/>
      <c r="H45" s="37"/>
      <c r="I45" s="37"/>
      <c r="J45" s="37"/>
      <c r="K45" s="37"/>
      <c r="L45" s="37"/>
      <c r="M45" s="37"/>
      <c r="N45" s="37"/>
      <c r="O45" s="37"/>
      <c r="P45" s="37"/>
      <c r="Q45" s="37"/>
      <c r="R45" s="37"/>
      <c r="S45" s="37"/>
      <c r="T45" s="37"/>
    </row>
    <row r="46" spans="1:20" ht="12.75" customHeight="1">
      <c r="A46" s="37"/>
      <c r="B46" s="195" t="s">
        <v>76</v>
      </c>
      <c r="C46" s="281" t="s">
        <v>77</v>
      </c>
      <c r="D46" s="459"/>
      <c r="E46" s="37"/>
      <c r="F46" s="37"/>
      <c r="G46" s="37"/>
      <c r="H46" s="37"/>
      <c r="I46" s="37"/>
      <c r="J46" s="37"/>
      <c r="K46" s="37"/>
      <c r="L46" s="37"/>
      <c r="M46" s="37"/>
      <c r="N46" s="37"/>
      <c r="O46" s="37"/>
      <c r="P46" s="37"/>
      <c r="Q46" s="37"/>
      <c r="R46" s="37"/>
      <c r="S46" s="37"/>
      <c r="T46" s="37"/>
    </row>
    <row r="47" spans="1:20" ht="12.75" customHeight="1">
      <c r="A47" s="37"/>
      <c r="B47" s="195" t="s">
        <v>440</v>
      </c>
      <c r="C47" s="281" t="s">
        <v>72</v>
      </c>
      <c r="D47" s="459"/>
      <c r="E47" s="37"/>
      <c r="F47" s="37"/>
      <c r="G47" s="37"/>
      <c r="H47" s="37"/>
      <c r="I47" s="37"/>
      <c r="J47" s="37"/>
      <c r="K47" s="37"/>
      <c r="L47" s="37"/>
      <c r="M47" s="37"/>
      <c r="N47" s="37"/>
      <c r="O47" s="37"/>
      <c r="P47" s="37"/>
      <c r="Q47" s="37"/>
      <c r="R47" s="37"/>
      <c r="S47" s="37"/>
      <c r="T47" s="37"/>
    </row>
    <row r="48" spans="1:20" ht="12.75" customHeight="1">
      <c r="A48" s="37"/>
      <c r="B48" s="160" t="s">
        <v>127</v>
      </c>
      <c r="C48" s="281" t="s">
        <v>77</v>
      </c>
      <c r="D48" s="459"/>
      <c r="E48" s="37"/>
      <c r="F48" s="37"/>
      <c r="G48" s="37"/>
      <c r="H48" s="37"/>
      <c r="I48" s="37"/>
      <c r="J48" s="37"/>
      <c r="K48" s="37"/>
      <c r="L48" s="37"/>
      <c r="M48" s="37"/>
      <c r="N48" s="37"/>
      <c r="O48" s="37"/>
      <c r="P48" s="37"/>
      <c r="Q48" s="37"/>
      <c r="R48" s="37"/>
      <c r="S48" s="37"/>
      <c r="T48" s="37"/>
    </row>
    <row r="49" spans="1:20" ht="12.75" customHeight="1">
      <c r="A49" s="37"/>
      <c r="B49" s="160" t="s">
        <v>128</v>
      </c>
      <c r="C49" s="281" t="s">
        <v>118</v>
      </c>
      <c r="D49" s="459"/>
      <c r="E49" s="37"/>
      <c r="F49" s="37"/>
      <c r="G49" s="37"/>
      <c r="H49" s="37"/>
      <c r="I49" s="37"/>
      <c r="J49" s="37"/>
      <c r="K49" s="37"/>
      <c r="L49" s="37"/>
      <c r="M49" s="37"/>
      <c r="N49" s="37"/>
      <c r="O49" s="37"/>
      <c r="P49" s="37"/>
      <c r="Q49" s="37"/>
      <c r="R49" s="37"/>
      <c r="S49" s="37"/>
      <c r="T49" s="37"/>
    </row>
    <row r="50" spans="1:20" ht="12.75" customHeight="1">
      <c r="A50" s="37"/>
      <c r="B50" s="97"/>
      <c r="C50" s="97"/>
      <c r="D50" s="37"/>
      <c r="E50" s="37"/>
      <c r="F50" s="37"/>
      <c r="G50" s="37"/>
      <c r="H50" s="37"/>
      <c r="I50" s="37"/>
      <c r="J50" s="37"/>
      <c r="K50" s="37"/>
      <c r="L50" s="37"/>
      <c r="M50" s="37"/>
      <c r="N50" s="37"/>
      <c r="O50" s="37"/>
      <c r="P50" s="37"/>
      <c r="Q50" s="37"/>
      <c r="R50" s="37"/>
      <c r="S50" s="37"/>
      <c r="T50" s="37"/>
    </row>
    <row r="51" spans="1:20" ht="12.75" customHeight="1">
      <c r="A51" s="37"/>
      <c r="B51" s="97"/>
      <c r="C51" s="97"/>
      <c r="D51" s="37"/>
      <c r="E51" s="37"/>
      <c r="F51" s="37"/>
      <c r="G51" s="37"/>
      <c r="H51" s="37"/>
      <c r="I51" s="37"/>
      <c r="J51" s="37"/>
      <c r="K51" s="37"/>
      <c r="L51" s="37"/>
      <c r="M51" s="37"/>
      <c r="N51" s="37"/>
      <c r="O51" s="37"/>
      <c r="P51" s="37"/>
      <c r="Q51" s="37"/>
      <c r="R51" s="37"/>
      <c r="S51" s="37"/>
      <c r="T51" s="37"/>
    </row>
    <row r="52" spans="1:20" ht="48" customHeight="1">
      <c r="A52" s="37"/>
      <c r="B52" s="560" t="s">
        <v>130</v>
      </c>
      <c r="C52" s="560"/>
      <c r="D52" s="560"/>
      <c r="E52" s="560"/>
      <c r="F52" s="560"/>
      <c r="G52" s="560"/>
      <c r="H52" s="560"/>
      <c r="I52" s="560"/>
      <c r="J52" s="560"/>
      <c r="K52" s="560"/>
      <c r="L52" s="37"/>
      <c r="M52" s="37"/>
      <c r="N52" s="37"/>
      <c r="O52" s="37"/>
      <c r="P52" s="37"/>
      <c r="Q52" s="37"/>
      <c r="R52" s="37"/>
      <c r="S52" s="37"/>
      <c r="T52" s="37"/>
    </row>
    <row r="53" spans="1:20">
      <c r="A53" s="37"/>
      <c r="B53" s="97"/>
      <c r="C53" s="97"/>
      <c r="D53" s="37"/>
      <c r="E53" s="37"/>
      <c r="F53" s="37"/>
      <c r="G53" s="37"/>
      <c r="H53" s="37"/>
      <c r="I53" s="37"/>
      <c r="J53" s="37"/>
      <c r="K53" s="37"/>
      <c r="L53" s="37"/>
      <c r="M53" s="37"/>
      <c r="N53" s="37"/>
      <c r="O53" s="37"/>
      <c r="P53" s="37"/>
      <c r="Q53" s="37"/>
      <c r="R53" s="37"/>
      <c r="S53" s="37"/>
      <c r="T53" s="37"/>
    </row>
    <row r="54" spans="1:20">
      <c r="A54" s="37"/>
      <c r="B54" s="97"/>
      <c r="C54" s="97"/>
      <c r="D54" s="37"/>
      <c r="E54" s="37"/>
      <c r="F54" s="37"/>
      <c r="G54" s="37"/>
      <c r="H54" s="37"/>
      <c r="I54" s="37"/>
      <c r="J54" s="37"/>
      <c r="K54" s="37"/>
      <c r="L54" s="37"/>
      <c r="M54" s="37"/>
      <c r="N54" s="37"/>
      <c r="O54" s="37"/>
      <c r="P54" s="37"/>
      <c r="Q54" s="37"/>
      <c r="R54" s="37"/>
      <c r="S54" s="37"/>
      <c r="T54" s="37"/>
    </row>
    <row r="55" spans="1:20" ht="12.75" customHeight="1">
      <c r="A55" s="37"/>
      <c r="B55" s="97"/>
      <c r="C55" s="97"/>
      <c r="D55" s="37"/>
      <c r="E55" s="37"/>
      <c r="F55" s="37"/>
      <c r="G55" s="37"/>
      <c r="H55" s="37"/>
      <c r="I55" s="37"/>
      <c r="J55" s="37"/>
      <c r="K55" s="37"/>
      <c r="L55" s="37"/>
      <c r="M55" s="37"/>
      <c r="N55" s="37"/>
      <c r="O55" s="37"/>
      <c r="P55" s="37"/>
      <c r="Q55" s="37"/>
      <c r="R55" s="37"/>
      <c r="S55" s="37"/>
      <c r="T55" s="37"/>
    </row>
    <row r="56" spans="1:20">
      <c r="A56" s="37"/>
      <c r="B56" s="97"/>
      <c r="C56" s="97"/>
      <c r="D56" s="37"/>
      <c r="E56" s="37"/>
      <c r="F56" s="37"/>
      <c r="G56" s="37"/>
      <c r="H56" s="37"/>
      <c r="I56" s="37"/>
      <c r="J56" s="37"/>
      <c r="K56" s="37"/>
      <c r="L56" s="37"/>
      <c r="M56" s="37"/>
      <c r="N56" s="37"/>
      <c r="O56" s="37"/>
      <c r="P56" s="37"/>
      <c r="Q56" s="37"/>
      <c r="R56" s="37"/>
      <c r="S56" s="37"/>
      <c r="T56" s="37"/>
    </row>
    <row r="57" spans="1:20">
      <c r="A57" s="37"/>
      <c r="B57" s="97"/>
      <c r="C57" s="97"/>
      <c r="D57" s="37"/>
      <c r="E57" s="37"/>
      <c r="F57" s="37"/>
      <c r="G57" s="37"/>
      <c r="H57" s="37"/>
      <c r="I57" s="37"/>
      <c r="J57" s="37"/>
      <c r="K57" s="37"/>
      <c r="L57" s="37"/>
      <c r="M57" s="37"/>
      <c r="N57" s="37"/>
      <c r="O57" s="37"/>
      <c r="P57" s="37"/>
      <c r="Q57" s="37"/>
      <c r="R57" s="37"/>
      <c r="S57" s="37"/>
      <c r="T57" s="37"/>
    </row>
    <row r="58" spans="1:20">
      <c r="A58" s="37"/>
      <c r="B58" s="97"/>
      <c r="C58" s="97"/>
      <c r="D58" s="37"/>
      <c r="E58" s="37"/>
      <c r="F58" s="37"/>
      <c r="G58" s="37"/>
      <c r="H58" s="37"/>
      <c r="I58" s="37"/>
      <c r="J58" s="37"/>
      <c r="K58" s="37"/>
      <c r="L58" s="37"/>
      <c r="M58" s="37"/>
      <c r="N58" s="37"/>
      <c r="O58" s="37"/>
      <c r="P58" s="37"/>
      <c r="Q58" s="37"/>
      <c r="R58" s="37"/>
      <c r="S58" s="37"/>
      <c r="T58" s="37"/>
    </row>
    <row r="59" spans="1:20">
      <c r="A59" s="37"/>
      <c r="B59" s="37"/>
      <c r="C59" s="37"/>
      <c r="D59" s="37"/>
      <c r="E59" s="37"/>
      <c r="F59" s="37"/>
      <c r="G59" s="37"/>
      <c r="H59" s="37"/>
      <c r="I59" s="37"/>
      <c r="J59" s="37"/>
      <c r="K59" s="37"/>
      <c r="L59" s="37"/>
      <c r="M59" s="37"/>
      <c r="N59" s="37"/>
      <c r="O59" s="37"/>
      <c r="P59" s="37"/>
      <c r="Q59" s="37"/>
      <c r="R59" s="37"/>
      <c r="S59" s="37"/>
      <c r="T59" s="37"/>
    </row>
    <row r="60" spans="1:20">
      <c r="A60" s="37"/>
      <c r="B60" s="37"/>
      <c r="C60" s="37"/>
      <c r="D60" s="37"/>
      <c r="E60" s="37"/>
      <c r="F60" s="37"/>
      <c r="G60" s="37"/>
      <c r="H60" s="37"/>
      <c r="I60" s="37"/>
      <c r="J60" s="37"/>
      <c r="K60" s="37"/>
      <c r="L60" s="37"/>
      <c r="M60" s="37"/>
      <c r="N60" s="37"/>
      <c r="O60" s="37"/>
      <c r="P60" s="37"/>
      <c r="Q60" s="37"/>
      <c r="R60" s="37"/>
      <c r="S60" s="37"/>
      <c r="T60" s="37"/>
    </row>
    <row r="61" spans="1:20">
      <c r="A61" s="37"/>
      <c r="B61" s="37"/>
      <c r="C61" s="37"/>
      <c r="D61" s="37"/>
      <c r="E61" s="37"/>
      <c r="F61" s="37"/>
      <c r="G61" s="37"/>
      <c r="H61" s="37"/>
      <c r="I61" s="37"/>
      <c r="J61" s="37"/>
      <c r="K61" s="37"/>
      <c r="L61" s="37"/>
      <c r="M61" s="37"/>
      <c r="N61" s="37"/>
      <c r="O61" s="37"/>
      <c r="P61" s="37"/>
      <c r="Q61" s="37"/>
      <c r="R61" s="37"/>
      <c r="S61" s="37"/>
      <c r="T61" s="37"/>
    </row>
    <row r="62" spans="1:20">
      <c r="A62" s="37"/>
      <c r="B62" s="37"/>
      <c r="C62" s="37"/>
      <c r="D62" s="37"/>
      <c r="E62" s="37"/>
      <c r="F62" s="37"/>
      <c r="G62" s="37"/>
      <c r="H62" s="37"/>
      <c r="I62" s="37"/>
      <c r="J62" s="37"/>
      <c r="K62" s="37"/>
      <c r="L62" s="37"/>
      <c r="M62" s="37"/>
      <c r="N62" s="37"/>
      <c r="O62" s="37"/>
      <c r="P62" s="37"/>
      <c r="Q62" s="37"/>
      <c r="R62" s="37"/>
      <c r="S62" s="37"/>
      <c r="T62" s="37"/>
    </row>
    <row r="63" spans="1:20">
      <c r="A63" s="37"/>
      <c r="B63" s="37"/>
      <c r="C63" s="37"/>
      <c r="D63" s="37"/>
      <c r="E63" s="37"/>
      <c r="F63" s="37"/>
      <c r="G63" s="37"/>
      <c r="H63" s="37"/>
      <c r="I63" s="37"/>
      <c r="J63" s="37"/>
      <c r="K63" s="37"/>
      <c r="L63" s="37"/>
      <c r="M63" s="37"/>
      <c r="N63" s="37"/>
      <c r="O63" s="37"/>
      <c r="P63" s="37"/>
      <c r="Q63" s="37"/>
      <c r="R63" s="37"/>
      <c r="S63" s="37"/>
      <c r="T63" s="37"/>
    </row>
    <row r="64" spans="1:20">
      <c r="A64" s="37"/>
      <c r="B64" s="37"/>
      <c r="C64" s="37"/>
      <c r="D64" s="37"/>
      <c r="E64" s="37"/>
      <c r="F64" s="37"/>
      <c r="G64" s="37"/>
      <c r="H64" s="37"/>
      <c r="I64" s="37"/>
      <c r="J64" s="37"/>
      <c r="K64" s="37"/>
      <c r="L64" s="37"/>
      <c r="M64" s="37"/>
      <c r="N64" s="37"/>
      <c r="O64" s="37"/>
      <c r="P64" s="37"/>
      <c r="Q64" s="37"/>
      <c r="R64" s="37"/>
      <c r="S64" s="37"/>
      <c r="T64" s="37"/>
    </row>
    <row r="65" spans="1:20">
      <c r="A65" s="37"/>
      <c r="B65" s="37"/>
      <c r="C65" s="37"/>
      <c r="D65" s="37"/>
      <c r="E65" s="37"/>
      <c r="F65" s="37"/>
      <c r="G65" s="37"/>
      <c r="H65" s="37"/>
      <c r="I65" s="37"/>
      <c r="J65" s="37"/>
      <c r="K65" s="37"/>
      <c r="L65" s="37"/>
      <c r="M65" s="37"/>
      <c r="N65" s="37"/>
      <c r="O65" s="37"/>
      <c r="P65" s="37"/>
      <c r="Q65" s="37"/>
      <c r="R65" s="37"/>
      <c r="S65" s="37"/>
      <c r="T65" s="37"/>
    </row>
    <row r="66" spans="1:20">
      <c r="A66" s="37"/>
      <c r="B66" s="37"/>
      <c r="C66" s="37"/>
      <c r="D66" s="37"/>
      <c r="E66" s="37"/>
      <c r="F66" s="37"/>
      <c r="G66" s="37"/>
      <c r="H66" s="37"/>
      <c r="I66" s="37"/>
      <c r="J66" s="37"/>
      <c r="K66" s="37"/>
      <c r="L66" s="37"/>
      <c r="M66" s="37"/>
      <c r="N66" s="37"/>
      <c r="O66" s="37"/>
      <c r="P66" s="37"/>
      <c r="Q66" s="37"/>
      <c r="R66" s="37"/>
      <c r="S66" s="37"/>
      <c r="T66" s="37"/>
    </row>
    <row r="67" spans="1:20">
      <c r="A67" s="37"/>
      <c r="B67" s="37"/>
      <c r="C67" s="37"/>
      <c r="D67" s="37"/>
      <c r="E67" s="37"/>
      <c r="F67" s="37"/>
      <c r="G67" s="37"/>
      <c r="H67" s="37"/>
      <c r="I67" s="37"/>
      <c r="J67" s="37"/>
      <c r="K67" s="37"/>
      <c r="L67" s="37"/>
      <c r="M67" s="37"/>
      <c r="N67" s="37"/>
      <c r="O67" s="37"/>
      <c r="P67" s="37"/>
      <c r="Q67" s="37"/>
      <c r="R67" s="37"/>
      <c r="S67" s="37"/>
      <c r="T67" s="37"/>
    </row>
    <row r="68" spans="1:20">
      <c r="A68" s="37"/>
      <c r="B68" s="37"/>
      <c r="C68" s="37"/>
      <c r="D68" s="37"/>
      <c r="E68" s="37"/>
      <c r="F68" s="37"/>
      <c r="G68" s="37"/>
      <c r="H68" s="37"/>
      <c r="I68" s="37"/>
      <c r="J68" s="37"/>
      <c r="K68" s="37"/>
      <c r="L68" s="37"/>
      <c r="M68" s="37"/>
      <c r="N68" s="37"/>
      <c r="O68" s="37"/>
      <c r="P68" s="37"/>
      <c r="Q68" s="37"/>
      <c r="R68" s="37"/>
      <c r="S68" s="37"/>
      <c r="T68" s="37"/>
    </row>
    <row r="69" spans="1:20">
      <c r="A69" s="37"/>
      <c r="B69" s="37"/>
      <c r="C69" s="37"/>
      <c r="D69" s="37"/>
      <c r="E69" s="37"/>
      <c r="F69" s="37"/>
      <c r="G69" s="37"/>
      <c r="H69" s="37"/>
      <c r="I69" s="37"/>
      <c r="J69" s="37"/>
      <c r="K69" s="37"/>
      <c r="L69" s="37"/>
      <c r="M69" s="37"/>
      <c r="N69" s="37"/>
      <c r="O69" s="37"/>
      <c r="P69" s="37"/>
      <c r="Q69" s="37"/>
      <c r="R69" s="37"/>
      <c r="S69" s="37"/>
      <c r="T69" s="37"/>
    </row>
    <row r="70" spans="1:20">
      <c r="A70" s="37"/>
      <c r="B70" s="37"/>
      <c r="C70" s="37"/>
      <c r="D70" s="37"/>
      <c r="E70" s="37"/>
      <c r="F70" s="37"/>
      <c r="G70" s="37"/>
      <c r="H70" s="37"/>
      <c r="I70" s="37"/>
      <c r="J70" s="37"/>
      <c r="K70" s="37"/>
      <c r="L70" s="37"/>
      <c r="M70" s="37"/>
      <c r="N70" s="37"/>
      <c r="O70" s="37"/>
      <c r="P70" s="37"/>
      <c r="Q70" s="37"/>
      <c r="R70" s="37"/>
      <c r="S70" s="37"/>
      <c r="T70" s="37"/>
    </row>
    <row r="71" spans="1:20">
      <c r="A71" s="37"/>
      <c r="B71" s="37"/>
      <c r="C71" s="37"/>
      <c r="D71" s="37"/>
      <c r="E71" s="37"/>
      <c r="F71" s="37"/>
      <c r="G71" s="37"/>
      <c r="H71" s="37"/>
      <c r="I71" s="37"/>
      <c r="J71" s="37"/>
      <c r="K71" s="37"/>
      <c r="L71" s="37"/>
      <c r="M71" s="37"/>
      <c r="N71" s="37"/>
      <c r="O71" s="37"/>
      <c r="P71" s="37"/>
      <c r="Q71" s="37"/>
      <c r="R71" s="37"/>
      <c r="S71" s="37"/>
      <c r="T71" s="37"/>
    </row>
    <row r="72" spans="1:20">
      <c r="A72" s="37"/>
      <c r="B72" s="37"/>
      <c r="C72" s="37"/>
      <c r="D72" s="37"/>
      <c r="E72" s="37"/>
      <c r="F72" s="37"/>
      <c r="G72" s="37"/>
      <c r="H72" s="37"/>
      <c r="I72" s="37"/>
      <c r="J72" s="37"/>
      <c r="K72" s="37"/>
      <c r="L72" s="37"/>
      <c r="M72" s="37"/>
      <c r="N72" s="37"/>
      <c r="O72" s="37"/>
      <c r="P72" s="37"/>
      <c r="Q72" s="37"/>
      <c r="R72" s="37"/>
      <c r="S72" s="37"/>
      <c r="T72" s="37"/>
    </row>
    <row r="73" spans="1:20">
      <c r="A73" s="37"/>
      <c r="B73" s="37"/>
      <c r="C73" s="37"/>
      <c r="D73" s="37"/>
      <c r="E73" s="37"/>
      <c r="F73" s="37"/>
      <c r="G73" s="37"/>
      <c r="H73" s="37"/>
      <c r="I73" s="37"/>
      <c r="J73" s="37"/>
      <c r="K73" s="37"/>
      <c r="L73" s="37"/>
      <c r="M73" s="37"/>
      <c r="N73" s="37"/>
      <c r="O73" s="37"/>
      <c r="P73" s="37"/>
      <c r="Q73" s="37"/>
      <c r="R73" s="37"/>
      <c r="S73" s="37"/>
      <c r="T73" s="37"/>
    </row>
    <row r="74" spans="1:20">
      <c r="A74" s="37"/>
      <c r="B74" s="37"/>
      <c r="C74" s="37"/>
      <c r="D74" s="37"/>
      <c r="E74" s="37"/>
      <c r="F74" s="37"/>
      <c r="G74" s="37"/>
      <c r="H74" s="37"/>
      <c r="I74" s="37"/>
      <c r="J74" s="37"/>
      <c r="K74" s="37"/>
      <c r="L74" s="37"/>
      <c r="M74" s="37"/>
      <c r="N74" s="37"/>
      <c r="O74" s="37"/>
      <c r="P74" s="37"/>
      <c r="Q74" s="37"/>
      <c r="R74" s="37"/>
      <c r="S74" s="37"/>
      <c r="T74" s="37"/>
    </row>
    <row r="75" spans="1:20">
      <c r="A75" s="37"/>
      <c r="B75" s="37"/>
      <c r="C75" s="37"/>
      <c r="D75" s="37"/>
      <c r="E75" s="37"/>
      <c r="F75" s="37"/>
      <c r="G75" s="37"/>
      <c r="H75" s="37"/>
      <c r="I75" s="37"/>
      <c r="J75" s="37"/>
      <c r="K75" s="37"/>
      <c r="L75" s="37"/>
      <c r="M75" s="37"/>
      <c r="N75" s="37"/>
      <c r="O75" s="37"/>
      <c r="P75" s="37"/>
      <c r="Q75" s="37"/>
      <c r="R75" s="37"/>
      <c r="S75" s="37"/>
      <c r="T75" s="37"/>
    </row>
    <row r="76" spans="1:20">
      <c r="A76" s="37"/>
      <c r="B76" s="37"/>
      <c r="C76" s="37"/>
      <c r="D76" s="37"/>
      <c r="E76" s="37"/>
      <c r="F76" s="37"/>
      <c r="G76" s="37"/>
      <c r="H76" s="37"/>
      <c r="I76" s="37"/>
      <c r="J76" s="37"/>
      <c r="K76" s="37"/>
      <c r="L76" s="37"/>
      <c r="M76" s="37"/>
      <c r="N76" s="37"/>
      <c r="O76" s="37"/>
      <c r="P76" s="37"/>
      <c r="Q76" s="37"/>
      <c r="R76" s="37"/>
      <c r="S76" s="37"/>
      <c r="T76" s="37"/>
    </row>
    <row r="77" spans="1:20">
      <c r="A77" s="37"/>
      <c r="B77" s="37"/>
      <c r="C77" s="37"/>
      <c r="D77" s="37"/>
      <c r="E77" s="37"/>
      <c r="F77" s="37"/>
      <c r="G77" s="37"/>
      <c r="H77" s="37"/>
      <c r="I77" s="37"/>
      <c r="J77" s="37"/>
      <c r="K77" s="37"/>
      <c r="L77" s="37"/>
      <c r="M77" s="37"/>
      <c r="N77" s="37"/>
      <c r="O77" s="37"/>
      <c r="P77" s="37"/>
      <c r="Q77" s="37"/>
      <c r="R77" s="37"/>
      <c r="S77" s="37"/>
      <c r="T77" s="37"/>
    </row>
    <row r="78" spans="1:20">
      <c r="A78" s="37"/>
      <c r="B78" s="37"/>
      <c r="C78" s="37"/>
      <c r="D78" s="37"/>
      <c r="E78" s="37"/>
      <c r="F78" s="37"/>
      <c r="G78" s="37"/>
      <c r="H78" s="37"/>
      <c r="I78" s="37"/>
      <c r="J78" s="37"/>
      <c r="K78" s="37"/>
      <c r="L78" s="37"/>
      <c r="M78" s="37"/>
      <c r="N78" s="37"/>
      <c r="O78" s="37"/>
      <c r="P78" s="37"/>
      <c r="Q78" s="37"/>
      <c r="R78" s="37"/>
      <c r="S78" s="37"/>
      <c r="T78" s="37"/>
    </row>
    <row r="79" spans="1:20">
      <c r="A79" s="37"/>
      <c r="B79" s="37"/>
      <c r="C79" s="37"/>
      <c r="D79" s="37"/>
      <c r="E79" s="37"/>
      <c r="F79" s="37"/>
      <c r="G79" s="37"/>
      <c r="H79" s="37"/>
      <c r="I79" s="37"/>
      <c r="J79" s="37"/>
      <c r="K79" s="37"/>
      <c r="L79" s="37"/>
      <c r="M79" s="37"/>
      <c r="N79" s="37"/>
      <c r="O79" s="37"/>
      <c r="P79" s="37"/>
      <c r="Q79" s="37"/>
      <c r="R79" s="37"/>
      <c r="S79" s="37"/>
      <c r="T79" s="37"/>
    </row>
    <row r="80" spans="1:20">
      <c r="A80" s="37"/>
      <c r="B80" s="37"/>
      <c r="C80" s="37"/>
      <c r="D80" s="37"/>
      <c r="E80" s="37"/>
      <c r="F80" s="37"/>
      <c r="G80" s="37"/>
      <c r="H80" s="37"/>
      <c r="I80" s="37"/>
      <c r="J80" s="37"/>
      <c r="K80" s="37"/>
      <c r="L80" s="37"/>
      <c r="M80" s="37"/>
      <c r="N80" s="37"/>
      <c r="O80" s="37"/>
      <c r="P80" s="37"/>
      <c r="Q80" s="37"/>
      <c r="R80" s="37"/>
      <c r="S80" s="37"/>
      <c r="T80" s="37"/>
    </row>
    <row r="81" spans="1:20">
      <c r="A81" s="37"/>
      <c r="B81" s="37"/>
      <c r="C81" s="37"/>
      <c r="D81" s="37"/>
      <c r="E81" s="37"/>
      <c r="F81" s="37"/>
      <c r="G81" s="37"/>
      <c r="H81" s="37"/>
      <c r="I81" s="37"/>
      <c r="J81" s="37"/>
      <c r="K81" s="37"/>
      <c r="L81" s="37"/>
      <c r="M81" s="37"/>
      <c r="N81" s="37"/>
      <c r="O81" s="37"/>
      <c r="P81" s="37"/>
      <c r="Q81" s="37"/>
      <c r="R81" s="37"/>
      <c r="S81" s="37"/>
      <c r="T81" s="37"/>
    </row>
    <row r="82" spans="1:20">
      <c r="A82" s="37"/>
      <c r="B82" s="37"/>
      <c r="C82" s="37"/>
      <c r="D82" s="37"/>
      <c r="E82" s="37"/>
      <c r="F82" s="37"/>
      <c r="G82" s="37"/>
      <c r="H82" s="37"/>
      <c r="I82" s="37"/>
      <c r="J82" s="37"/>
      <c r="K82" s="37"/>
      <c r="L82" s="37"/>
      <c r="M82" s="37"/>
      <c r="N82" s="37"/>
      <c r="O82" s="37"/>
      <c r="P82" s="37"/>
      <c r="Q82" s="37"/>
      <c r="R82" s="37"/>
      <c r="S82" s="37"/>
      <c r="T82" s="37"/>
    </row>
    <row r="83" spans="1:20">
      <c r="A83" s="37"/>
      <c r="B83" s="37"/>
      <c r="C83" s="37"/>
      <c r="D83" s="37"/>
      <c r="E83" s="37"/>
      <c r="F83" s="37"/>
      <c r="G83" s="37"/>
      <c r="H83" s="37"/>
      <c r="I83" s="37"/>
      <c r="J83" s="37"/>
      <c r="K83" s="37"/>
      <c r="L83" s="37"/>
      <c r="M83" s="37"/>
      <c r="N83" s="37"/>
      <c r="O83" s="37"/>
      <c r="P83" s="37"/>
      <c r="Q83" s="37"/>
      <c r="R83" s="37"/>
      <c r="S83" s="37"/>
      <c r="T83" s="37"/>
    </row>
    <row r="84" spans="1:20">
      <c r="A84" s="37"/>
      <c r="B84" s="37"/>
      <c r="C84" s="37"/>
      <c r="D84" s="37"/>
      <c r="E84" s="37"/>
      <c r="F84" s="37"/>
      <c r="G84" s="37"/>
      <c r="H84" s="37"/>
      <c r="I84" s="37"/>
      <c r="J84" s="37"/>
      <c r="K84" s="37"/>
      <c r="L84" s="37"/>
      <c r="M84" s="37"/>
      <c r="N84" s="37"/>
      <c r="O84" s="37"/>
      <c r="P84" s="37"/>
      <c r="Q84" s="37"/>
      <c r="R84" s="37"/>
      <c r="S84" s="37"/>
      <c r="T84" s="37"/>
    </row>
    <row r="85" spans="1:20">
      <c r="A85" s="37"/>
      <c r="B85" s="37"/>
      <c r="C85" s="37"/>
      <c r="D85" s="37"/>
      <c r="E85" s="37"/>
      <c r="F85" s="37"/>
      <c r="G85" s="37"/>
      <c r="H85" s="37"/>
      <c r="I85" s="37"/>
      <c r="J85" s="37"/>
      <c r="K85" s="37"/>
      <c r="L85" s="37"/>
      <c r="M85" s="37"/>
      <c r="N85" s="37"/>
      <c r="O85" s="37"/>
      <c r="P85" s="37"/>
      <c r="Q85" s="37"/>
      <c r="R85" s="37"/>
      <c r="S85" s="37"/>
      <c r="T85" s="37"/>
    </row>
  </sheetData>
  <mergeCells count="2">
    <mergeCell ref="B52:K52"/>
    <mergeCell ref="B6:K10"/>
  </mergeCells>
  <hyperlinks>
    <hyperlink ref="B64" r:id="rId1" display="info@lightcounting.com" xr:uid="{00000000-0004-0000-0000-000000000000}"/>
  </hyperlinks>
  <pageMargins left="0.7" right="0.7" top="0.75" bottom="0.75" header="0.3" footer="0.3"/>
  <pageSetup orientation="portrait"/>
  <cellWatches>
    <cellWatch r="F22"/>
  </cellWatch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M37"/>
  <sheetViews>
    <sheetView showGridLines="0" zoomScale="70" zoomScaleNormal="70" zoomScalePageLayoutView="70" workbookViewId="0"/>
  </sheetViews>
  <sheetFormatPr defaultColWidth="11.44140625" defaultRowHeight="13.2"/>
  <cols>
    <col min="1" max="1" width="4.44140625" customWidth="1"/>
    <col min="2" max="2" width="22.44140625" customWidth="1"/>
    <col min="3" max="13" width="13.21875" customWidth="1"/>
  </cols>
  <sheetData>
    <row r="2" spans="2:13" ht="17.399999999999999">
      <c r="B2" s="70" t="str">
        <f>Introduction!B2</f>
        <v xml:space="preserve">LightCounting Optical Components Market Forecast </v>
      </c>
    </row>
    <row r="3" spans="2:13" ht="15">
      <c r="B3" s="588" t="str">
        <f>Introduction!B3</f>
        <v>Published 31 October 2023 - Sample - for illustrative purposes only</v>
      </c>
    </row>
    <row r="4" spans="2:13" ht="15.6">
      <c r="B4" s="180" t="s">
        <v>382</v>
      </c>
    </row>
    <row r="5" spans="2:13">
      <c r="B5" s="251" t="s">
        <v>295</v>
      </c>
    </row>
    <row r="6" spans="2:13" ht="15">
      <c r="B6" s="98" t="s">
        <v>0</v>
      </c>
      <c r="F6" s="408"/>
      <c r="H6" s="500"/>
    </row>
    <row r="7" spans="2:13">
      <c r="B7" s="183" t="s">
        <v>154</v>
      </c>
      <c r="C7" s="103">
        <v>2018</v>
      </c>
      <c r="D7" s="103">
        <v>2019</v>
      </c>
      <c r="E7" s="103">
        <v>2020</v>
      </c>
      <c r="F7" s="103">
        <v>2021</v>
      </c>
      <c r="G7" s="103">
        <v>2022</v>
      </c>
      <c r="H7" s="103">
        <v>2023</v>
      </c>
      <c r="I7" s="103">
        <v>2024</v>
      </c>
      <c r="J7" s="103">
        <v>2025</v>
      </c>
      <c r="K7" s="103">
        <v>2026</v>
      </c>
      <c r="L7" s="103">
        <v>2027</v>
      </c>
      <c r="M7" s="103">
        <v>2028</v>
      </c>
    </row>
    <row r="8" spans="2:13">
      <c r="B8" s="211" t="s">
        <v>533</v>
      </c>
      <c r="C8" s="211">
        <v>344894</v>
      </c>
      <c r="D8" s="211">
        <v>315990.40000000002</v>
      </c>
      <c r="E8" s="211"/>
      <c r="F8" s="211"/>
      <c r="G8" s="211"/>
      <c r="H8" s="211"/>
      <c r="I8" s="211"/>
      <c r="J8" s="211"/>
      <c r="K8" s="211"/>
      <c r="L8" s="211"/>
      <c r="M8" s="211"/>
    </row>
    <row r="9" spans="2:13">
      <c r="B9" s="211" t="s">
        <v>534</v>
      </c>
      <c r="C9" s="211">
        <v>17500</v>
      </c>
      <c r="D9" s="211">
        <v>38782</v>
      </c>
      <c r="E9" s="211"/>
      <c r="F9" s="211"/>
      <c r="G9" s="211"/>
      <c r="H9" s="211"/>
      <c r="I9" s="211"/>
      <c r="J9" s="211"/>
      <c r="K9" s="211"/>
      <c r="L9" s="211"/>
      <c r="M9" s="211"/>
    </row>
    <row r="10" spans="2:13">
      <c r="B10" s="211" t="s">
        <v>535</v>
      </c>
      <c r="C10" s="211">
        <v>344894</v>
      </c>
      <c r="D10" s="211">
        <v>315990.40000000002</v>
      </c>
      <c r="E10" s="211"/>
      <c r="F10" s="211"/>
      <c r="G10" s="211"/>
      <c r="H10" s="211"/>
      <c r="I10" s="211"/>
      <c r="J10" s="211"/>
      <c r="K10" s="211"/>
      <c r="L10" s="211"/>
      <c r="M10" s="211"/>
    </row>
    <row r="11" spans="2:13">
      <c r="B11" s="211" t="s">
        <v>536</v>
      </c>
      <c r="C11" s="211">
        <v>17500</v>
      </c>
      <c r="D11" s="211">
        <v>38782</v>
      </c>
      <c r="E11" s="211"/>
      <c r="F11" s="211"/>
      <c r="G11" s="211"/>
      <c r="H11" s="211"/>
      <c r="I11" s="211"/>
      <c r="J11" s="211"/>
      <c r="K11" s="211"/>
      <c r="L11" s="211"/>
      <c r="M11" s="211"/>
    </row>
    <row r="12" spans="2:13">
      <c r="B12" s="211" t="s">
        <v>537</v>
      </c>
      <c r="C12" s="211">
        <v>107106</v>
      </c>
      <c r="D12" s="211">
        <v>208009.59999999998</v>
      </c>
      <c r="E12" s="211"/>
      <c r="F12" s="211"/>
      <c r="G12" s="211"/>
      <c r="H12" s="211"/>
      <c r="I12" s="211"/>
      <c r="J12" s="211"/>
      <c r="K12" s="211"/>
      <c r="L12" s="211"/>
      <c r="M12" s="211"/>
    </row>
    <row r="13" spans="2:13">
      <c r="B13" s="211" t="s">
        <v>538</v>
      </c>
      <c r="C13" s="211">
        <v>0</v>
      </c>
      <c r="D13" s="211">
        <v>300</v>
      </c>
      <c r="E13" s="211"/>
      <c r="F13" s="211"/>
      <c r="G13" s="211"/>
      <c r="H13" s="211"/>
      <c r="I13" s="211"/>
      <c r="J13" s="211"/>
      <c r="K13" s="211"/>
      <c r="L13" s="211"/>
      <c r="M13" s="211"/>
    </row>
    <row r="14" spans="2:13">
      <c r="B14" s="211" t="s">
        <v>539</v>
      </c>
      <c r="C14" s="211">
        <v>0</v>
      </c>
      <c r="D14" s="211">
        <v>0</v>
      </c>
      <c r="E14" s="211"/>
      <c r="F14" s="211"/>
      <c r="G14" s="211"/>
      <c r="H14" s="211"/>
      <c r="I14" s="211"/>
      <c r="J14" s="211"/>
      <c r="K14" s="211"/>
      <c r="L14" s="211"/>
      <c r="M14" s="211"/>
    </row>
    <row r="15" spans="2:13">
      <c r="B15" s="132" t="s">
        <v>93</v>
      </c>
      <c r="C15" s="214">
        <f t="shared" ref="C15:D15" si="0">SUM(C8:C14)</f>
        <v>831894</v>
      </c>
      <c r="D15" s="214">
        <f t="shared" si="0"/>
        <v>917854.4</v>
      </c>
      <c r="E15" s="214"/>
      <c r="F15" s="214"/>
      <c r="G15" s="214"/>
      <c r="H15" s="214"/>
      <c r="I15" s="214"/>
      <c r="J15" s="214"/>
      <c r="K15" s="214"/>
      <c r="L15" s="214"/>
      <c r="M15" s="214"/>
    </row>
    <row r="16" spans="2:13">
      <c r="C16" s="51"/>
      <c r="D16" s="51">
        <f t="shared" ref="D16" si="1">IF(C15=0,"",D15/C15-1)</f>
        <v>0.10333095322240582</v>
      </c>
      <c r="E16" s="51"/>
      <c r="F16" s="51"/>
      <c r="G16" s="51"/>
      <c r="H16" s="51"/>
      <c r="I16" s="51"/>
      <c r="J16" s="51"/>
      <c r="K16" s="51"/>
      <c r="L16" s="51"/>
      <c r="M16" s="51"/>
    </row>
    <row r="17" spans="2:13">
      <c r="B17" s="98" t="s">
        <v>104</v>
      </c>
    </row>
    <row r="18" spans="2:13">
      <c r="B18" s="183" t="s">
        <v>154</v>
      </c>
      <c r="C18" s="103">
        <v>2018</v>
      </c>
      <c r="D18" s="103">
        <v>2019</v>
      </c>
      <c r="E18" s="103">
        <v>2020</v>
      </c>
      <c r="F18" s="103">
        <v>2021</v>
      </c>
      <c r="G18" s="103">
        <v>2022</v>
      </c>
      <c r="H18" s="103">
        <v>2023</v>
      </c>
      <c r="I18" s="103">
        <f>I7</f>
        <v>2024</v>
      </c>
      <c r="J18" s="103">
        <f>J7</f>
        <v>2025</v>
      </c>
      <c r="K18" s="103">
        <f t="shared" ref="K18:M18" si="2">K7</f>
        <v>2026</v>
      </c>
      <c r="L18" s="103">
        <f t="shared" si="2"/>
        <v>2027</v>
      </c>
      <c r="M18" s="103">
        <f t="shared" si="2"/>
        <v>2028</v>
      </c>
    </row>
    <row r="19" spans="2:13">
      <c r="B19" s="384" t="str">
        <f>B8</f>
        <v>100/200G Modulators</v>
      </c>
      <c r="C19" s="105">
        <v>909.60799626969253</v>
      </c>
      <c r="D19" s="105">
        <v>726.31658548553514</v>
      </c>
      <c r="E19" s="105"/>
      <c r="F19" s="105"/>
      <c r="G19" s="105"/>
      <c r="H19" s="105"/>
      <c r="I19" s="105"/>
      <c r="J19" s="105"/>
      <c r="K19" s="105"/>
      <c r="L19" s="105"/>
      <c r="M19" s="105"/>
    </row>
    <row r="20" spans="2:13">
      <c r="B20" s="384" t="str">
        <f>B9</f>
        <v>400G and above Modulators</v>
      </c>
      <c r="C20" s="105">
        <v>1200</v>
      </c>
      <c r="D20" s="105">
        <v>939.53488372093022</v>
      </c>
      <c r="E20" s="105"/>
      <c r="F20" s="105"/>
      <c r="G20" s="105"/>
      <c r="H20" s="105"/>
      <c r="I20" s="105"/>
      <c r="J20" s="105"/>
      <c r="K20" s="105"/>
      <c r="L20" s="105"/>
      <c r="M20" s="105"/>
    </row>
    <row r="21" spans="2:13">
      <c r="B21" s="384" t="str">
        <f>B10</f>
        <v>100/200G Receivers</v>
      </c>
      <c r="C21" s="105">
        <v>740.00367283195931</v>
      </c>
      <c r="D21" s="105">
        <v>575.8378004313422</v>
      </c>
      <c r="E21" s="105"/>
      <c r="F21" s="105"/>
      <c r="G21" s="105"/>
      <c r="H21" s="105"/>
      <c r="I21" s="105"/>
      <c r="J21" s="105"/>
      <c r="K21" s="105"/>
      <c r="L21" s="105"/>
      <c r="M21" s="105"/>
    </row>
    <row r="22" spans="2:13">
      <c r="B22" s="384" t="str">
        <f>B11</f>
        <v>400G and above Receivers</v>
      </c>
      <c r="C22" s="105">
        <v>1200</v>
      </c>
      <c r="D22" s="105">
        <v>900</v>
      </c>
      <c r="E22" s="105"/>
      <c r="F22" s="105"/>
      <c r="G22" s="105"/>
      <c r="H22" s="105"/>
      <c r="I22" s="105"/>
      <c r="J22" s="105"/>
      <c r="K22" s="105"/>
      <c r="L22" s="105"/>
      <c r="M22" s="105"/>
    </row>
    <row r="23" spans="2:13">
      <c r="B23" s="132" t="str">
        <f>B12</f>
        <v>100/200G Integrated Modules</v>
      </c>
      <c r="C23" s="105">
        <v>1681.3310458797826</v>
      </c>
      <c r="D23" s="105">
        <v>1357.7454982846946</v>
      </c>
      <c r="E23" s="105"/>
      <c r="F23" s="105"/>
      <c r="G23" s="105"/>
      <c r="H23" s="105"/>
      <c r="I23" s="105"/>
      <c r="J23" s="105"/>
      <c r="K23" s="105"/>
      <c r="L23" s="105"/>
      <c r="M23" s="105"/>
    </row>
    <row r="24" spans="2:13">
      <c r="B24" s="132" t="str">
        <f t="shared" ref="B24:B25" si="3">B13</f>
        <v>400G Integrated Modules</v>
      </c>
      <c r="C24" s="105">
        <v>0</v>
      </c>
      <c r="D24" s="105">
        <v>2356.6666666666665</v>
      </c>
      <c r="E24" s="105"/>
      <c r="F24" s="105"/>
      <c r="G24" s="105"/>
      <c r="H24" s="105"/>
      <c r="I24" s="105"/>
      <c r="J24" s="105"/>
      <c r="K24" s="105"/>
      <c r="L24" s="105"/>
      <c r="M24" s="105"/>
    </row>
    <row r="25" spans="2:13">
      <c r="B25" s="132" t="str">
        <f t="shared" si="3"/>
        <v>800G Integrated Modules</v>
      </c>
      <c r="C25" s="105">
        <v>0</v>
      </c>
      <c r="D25" s="105">
        <v>0</v>
      </c>
      <c r="E25" s="105"/>
      <c r="F25" s="105"/>
      <c r="G25" s="105"/>
      <c r="H25" s="105"/>
      <c r="I25" s="105"/>
      <c r="J25" s="105"/>
      <c r="K25" s="105"/>
      <c r="L25" s="105"/>
      <c r="M25" s="105"/>
    </row>
    <row r="27" spans="2:13">
      <c r="B27" s="98" t="s">
        <v>1</v>
      </c>
    </row>
    <row r="28" spans="2:13">
      <c r="B28" s="183" t="s">
        <v>154</v>
      </c>
      <c r="C28" s="103">
        <v>2018</v>
      </c>
      <c r="D28" s="103">
        <v>2019</v>
      </c>
      <c r="E28" s="103">
        <v>2020</v>
      </c>
      <c r="F28" s="103">
        <v>2021</v>
      </c>
      <c r="G28" s="103">
        <v>2022</v>
      </c>
      <c r="H28" s="103">
        <v>2023</v>
      </c>
      <c r="I28" s="103">
        <f>I7</f>
        <v>2024</v>
      </c>
      <c r="J28" s="103">
        <f>J7</f>
        <v>2025</v>
      </c>
      <c r="K28" s="103">
        <f t="shared" ref="K28:M28" si="4">K7</f>
        <v>2026</v>
      </c>
      <c r="L28" s="103">
        <f t="shared" si="4"/>
        <v>2027</v>
      </c>
      <c r="M28" s="103">
        <f t="shared" si="4"/>
        <v>2028</v>
      </c>
    </row>
    <row r="29" spans="2:13">
      <c r="B29" s="384" t="str">
        <f>B8</f>
        <v>100/200G Modulators</v>
      </c>
      <c r="C29" s="192">
        <f t="shared" ref="C29" si="5">IF(C8=0,,C8*C19/10^6)</f>
        <v>313.71834026543934</v>
      </c>
      <c r="D29" s="192">
        <f t="shared" ref="D29" si="6">IF(D8=0,,D8*D19/10^6)</f>
        <v>229.50906837420845</v>
      </c>
      <c r="E29" s="192"/>
      <c r="F29" s="192"/>
      <c r="G29" s="192"/>
      <c r="H29" s="192"/>
      <c r="I29" s="192"/>
      <c r="J29" s="192"/>
      <c r="K29" s="192"/>
      <c r="L29" s="192"/>
      <c r="M29" s="192"/>
    </row>
    <row r="30" spans="2:13">
      <c r="B30" s="384" t="str">
        <f>B9</f>
        <v>400G and above Modulators</v>
      </c>
      <c r="C30" s="192">
        <f t="shared" ref="C30" si="7">IF(C9=0,,C9*C20/10^6)</f>
        <v>21</v>
      </c>
      <c r="D30" s="192">
        <f t="shared" ref="D30" si="8">IF(D9=0,,D9*D20/10^6)</f>
        <v>36.437041860465115</v>
      </c>
      <c r="E30" s="192"/>
      <c r="F30" s="192"/>
      <c r="G30" s="192"/>
      <c r="H30" s="192"/>
      <c r="I30" s="192"/>
      <c r="J30" s="192"/>
      <c r="K30" s="192"/>
      <c r="L30" s="192"/>
      <c r="M30" s="192"/>
    </row>
    <row r="31" spans="2:13">
      <c r="B31" s="384" t="str">
        <f>B10</f>
        <v>100/200G Receivers</v>
      </c>
      <c r="C31" s="192">
        <f t="shared" ref="C31" si="9">IF(C10=0,,C10*C21/10^6)</f>
        <v>255.22282673770576</v>
      </c>
      <c r="D31" s="192">
        <f t="shared" ref="D31" si="10">IF(D10=0,,D10*D21/10^6)</f>
        <v>181.95921689342001</v>
      </c>
      <c r="E31" s="192"/>
      <c r="F31" s="192"/>
      <c r="G31" s="192"/>
      <c r="H31" s="192"/>
      <c r="I31" s="192"/>
      <c r="J31" s="192"/>
      <c r="K31" s="192"/>
      <c r="L31" s="192"/>
      <c r="M31" s="192"/>
    </row>
    <row r="32" spans="2:13">
      <c r="B32" s="384" t="str">
        <f>B11</f>
        <v>400G and above Receivers</v>
      </c>
      <c r="C32" s="192">
        <f t="shared" ref="C32" si="11">IF(C11=0,,C11*C22/10^6)</f>
        <v>21</v>
      </c>
      <c r="D32" s="192">
        <f t="shared" ref="D32" si="12">IF(D11=0,,D11*D22/10^6)</f>
        <v>34.903799999999997</v>
      </c>
      <c r="E32" s="192"/>
      <c r="F32" s="192"/>
      <c r="G32" s="192"/>
      <c r="H32" s="192"/>
      <c r="I32" s="192"/>
      <c r="J32" s="192"/>
      <c r="K32" s="192"/>
      <c r="L32" s="192"/>
      <c r="M32" s="192"/>
    </row>
    <row r="33" spans="2:13">
      <c r="B33" s="132" t="str">
        <f>B12</f>
        <v>100/200G Integrated Modules</v>
      </c>
      <c r="C33" s="192">
        <f t="shared" ref="C33" si="13">IF(C12=0,,C12*C23/10^6)</f>
        <v>180.08064300000001</v>
      </c>
      <c r="D33" s="192">
        <f t="shared" ref="D33" si="14">IF(D12=0,,D12*D23/10^6)</f>
        <v>282.42409800000001</v>
      </c>
      <c r="E33" s="192"/>
      <c r="F33" s="192"/>
      <c r="G33" s="192"/>
      <c r="H33" s="192"/>
      <c r="I33" s="192"/>
      <c r="J33" s="192"/>
      <c r="K33" s="192"/>
      <c r="L33" s="192"/>
      <c r="M33" s="192"/>
    </row>
    <row r="34" spans="2:13">
      <c r="B34" s="132" t="str">
        <f t="shared" ref="B34:B35" si="15">B13</f>
        <v>400G Integrated Modules</v>
      </c>
      <c r="C34" s="192">
        <f t="shared" ref="C34" si="16">IF(C13=0,,C13*C24/10^6)</f>
        <v>0</v>
      </c>
      <c r="D34" s="192">
        <f t="shared" ref="D34" si="17">IF(D13=0,,D13*D24/10^6)</f>
        <v>0.70699999999999996</v>
      </c>
      <c r="E34" s="192"/>
      <c r="F34" s="192"/>
      <c r="G34" s="192"/>
      <c r="H34" s="192"/>
      <c r="I34" s="192"/>
      <c r="J34" s="192"/>
      <c r="K34" s="192"/>
      <c r="L34" s="192"/>
      <c r="M34" s="192"/>
    </row>
    <row r="35" spans="2:13">
      <c r="B35" s="132" t="str">
        <f t="shared" si="15"/>
        <v>800G Integrated Modules</v>
      </c>
      <c r="C35" s="192">
        <f t="shared" ref="C35" si="18">IF(C14=0,,C14*C25/10^6)</f>
        <v>0</v>
      </c>
      <c r="D35" s="192">
        <f t="shared" ref="D35" si="19">IF(D14=0,,D14*D25/10^6)</f>
        <v>0</v>
      </c>
      <c r="E35" s="192"/>
      <c r="F35" s="192"/>
      <c r="G35" s="192"/>
      <c r="H35" s="192"/>
      <c r="I35" s="192"/>
      <c r="J35" s="192"/>
      <c r="K35" s="192"/>
      <c r="L35" s="192"/>
      <c r="M35" s="192"/>
    </row>
    <row r="36" spans="2:13">
      <c r="B36" s="132" t="s">
        <v>93</v>
      </c>
      <c r="C36" s="193">
        <f>SUM(C29:C35)</f>
        <v>791.02181000314511</v>
      </c>
      <c r="D36" s="193">
        <f t="shared" ref="D36" si="20">SUM(D29:D35)</f>
        <v>765.94022512809363</v>
      </c>
      <c r="E36" s="193"/>
      <c r="F36" s="193"/>
      <c r="G36" s="193"/>
      <c r="H36" s="193"/>
      <c r="I36" s="193"/>
      <c r="J36" s="193"/>
      <c r="K36" s="193"/>
      <c r="L36" s="193"/>
      <c r="M36" s="193"/>
    </row>
    <row r="37" spans="2:13">
      <c r="B37" s="194" t="s">
        <v>63</v>
      </c>
      <c r="C37" s="51"/>
      <c r="D37" s="51">
        <f t="shared" ref="D37" si="21">IF(C36=0,"",D36/C36-1)</f>
        <v>-3.170782974359676E-2</v>
      </c>
      <c r="E37" s="51"/>
      <c r="F37" s="51"/>
      <c r="G37" s="51"/>
      <c r="H37" s="51"/>
      <c r="I37" s="51"/>
      <c r="J37" s="51"/>
      <c r="K37" s="51"/>
      <c r="L37" s="51"/>
      <c r="M37" s="51"/>
    </row>
  </sheetData>
  <pageMargins left="0.75" right="0.75" top="1" bottom="1" header="0.5" footer="0.5"/>
  <pageSetup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P51"/>
  <sheetViews>
    <sheetView showGridLines="0" zoomScale="70" zoomScaleNormal="70" zoomScalePageLayoutView="70" workbookViewId="0"/>
  </sheetViews>
  <sheetFormatPr defaultColWidth="8.44140625" defaultRowHeight="13.2"/>
  <cols>
    <col min="1" max="1" width="4.44140625" customWidth="1"/>
    <col min="2" max="2" width="12.21875" customWidth="1"/>
    <col min="3" max="3" width="13" customWidth="1"/>
    <col min="4" max="4" width="10.44140625" customWidth="1"/>
    <col min="5" max="5" width="13.21875" style="149" customWidth="1"/>
    <col min="6" max="16" width="13.21875" customWidth="1"/>
  </cols>
  <sheetData>
    <row r="2" spans="2:16" ht="17.399999999999999">
      <c r="B2" s="70" t="str">
        <f>Introduction!B2</f>
        <v xml:space="preserve">LightCounting Optical Components Market Forecast </v>
      </c>
    </row>
    <row r="3" spans="2:16" ht="15">
      <c r="B3" s="588" t="str">
        <f>Introduction!B3</f>
        <v>Published 31 October 2023 - Sample - for illustrative purposes only</v>
      </c>
    </row>
    <row r="4" spans="2:16" ht="15.6">
      <c r="B4" s="180" t="s">
        <v>298</v>
      </c>
      <c r="F4" s="552"/>
      <c r="G4" s="552"/>
      <c r="H4" s="552"/>
      <c r="I4" s="552"/>
      <c r="J4" s="552"/>
      <c r="K4" s="552"/>
      <c r="L4" s="552"/>
      <c r="M4" s="552"/>
      <c r="N4" s="552"/>
      <c r="O4" s="552"/>
      <c r="P4" s="552"/>
    </row>
    <row r="6" spans="2:16" ht="15">
      <c r="B6" s="185" t="s">
        <v>0</v>
      </c>
      <c r="G6" s="408"/>
      <c r="J6" s="505"/>
    </row>
    <row r="7" spans="2:16" ht="14.25" customHeight="1">
      <c r="B7" s="4" t="s">
        <v>22</v>
      </c>
      <c r="C7" s="4" t="s">
        <v>11</v>
      </c>
      <c r="D7" s="4" t="s">
        <v>12</v>
      </c>
      <c r="E7" s="171" t="s">
        <v>242</v>
      </c>
      <c r="F7" s="103">
        <v>2018</v>
      </c>
      <c r="G7" s="103">
        <v>2019</v>
      </c>
      <c r="H7" s="103">
        <v>2020</v>
      </c>
      <c r="I7" s="103">
        <v>2021</v>
      </c>
      <c r="J7" s="103">
        <v>2022</v>
      </c>
      <c r="K7" s="103">
        <v>2023</v>
      </c>
      <c r="L7" s="103">
        <v>2024</v>
      </c>
      <c r="M7" s="103">
        <v>2025</v>
      </c>
      <c r="N7" s="103">
        <v>2026</v>
      </c>
      <c r="O7" s="103">
        <v>2027</v>
      </c>
      <c r="P7" s="103">
        <v>2028</v>
      </c>
    </row>
    <row r="8" spans="2:16" ht="12.75" customHeight="1">
      <c r="B8" s="574" t="s">
        <v>289</v>
      </c>
      <c r="C8" s="12" t="s">
        <v>516</v>
      </c>
      <c r="D8" s="224" t="s">
        <v>70</v>
      </c>
      <c r="E8" s="220" t="s">
        <v>70</v>
      </c>
      <c r="F8" s="506">
        <v>7401851.8200361906</v>
      </c>
      <c r="G8" s="506">
        <v>7610509.7457169611</v>
      </c>
      <c r="H8" s="506"/>
      <c r="I8" s="506"/>
      <c r="J8" s="506"/>
      <c r="K8" s="506"/>
      <c r="L8" s="506"/>
      <c r="M8" s="506"/>
      <c r="N8" s="506"/>
      <c r="O8" s="506"/>
      <c r="P8" s="506"/>
    </row>
    <row r="9" spans="2:16" ht="12.75" customHeight="1">
      <c r="B9" s="575"/>
      <c r="C9" s="212" t="s">
        <v>78</v>
      </c>
      <c r="D9" s="224" t="s">
        <v>70</v>
      </c>
      <c r="E9" s="220" t="s">
        <v>243</v>
      </c>
      <c r="F9" s="506">
        <v>8636709.2416260391</v>
      </c>
      <c r="G9" s="506">
        <v>20482301.220813021</v>
      </c>
      <c r="H9" s="506"/>
      <c r="I9" s="506"/>
      <c r="J9" s="506"/>
      <c r="K9" s="506"/>
      <c r="L9" s="506"/>
      <c r="M9" s="506"/>
      <c r="N9" s="506"/>
      <c r="O9" s="506"/>
      <c r="P9" s="506"/>
    </row>
    <row r="10" spans="2:16" ht="12.75" customHeight="1">
      <c r="B10" s="575"/>
      <c r="C10" s="212" t="s">
        <v>231</v>
      </c>
      <c r="D10" s="367" t="s">
        <v>317</v>
      </c>
      <c r="E10" s="368" t="s">
        <v>384</v>
      </c>
      <c r="F10" s="507">
        <v>0</v>
      </c>
      <c r="G10" s="507">
        <v>5000</v>
      </c>
      <c r="H10" s="507"/>
      <c r="I10" s="507"/>
      <c r="J10" s="507"/>
      <c r="K10" s="507"/>
      <c r="L10" s="507"/>
      <c r="M10" s="507"/>
      <c r="N10" s="507"/>
      <c r="O10" s="507"/>
      <c r="P10" s="507"/>
    </row>
    <row r="11" spans="2:16" ht="12.75" customHeight="1">
      <c r="B11" s="575"/>
      <c r="C11" s="369" t="s">
        <v>231</v>
      </c>
      <c r="D11" s="370" t="s">
        <v>318</v>
      </c>
      <c r="E11" s="371" t="s">
        <v>385</v>
      </c>
      <c r="F11" s="508">
        <v>26336</v>
      </c>
      <c r="G11" s="508">
        <v>513234</v>
      </c>
      <c r="H11" s="508"/>
      <c r="I11" s="508"/>
      <c r="J11" s="508"/>
      <c r="K11" s="508"/>
      <c r="L11" s="508"/>
      <c r="M11" s="508"/>
      <c r="N11" s="508"/>
      <c r="O11" s="508"/>
      <c r="P11" s="508"/>
    </row>
    <row r="12" spans="2:16" ht="12.75" customHeight="1">
      <c r="B12" s="575"/>
      <c r="C12" s="369" t="s">
        <v>231</v>
      </c>
      <c r="D12" s="370" t="s">
        <v>387</v>
      </c>
      <c r="E12" s="371" t="s">
        <v>386</v>
      </c>
      <c r="F12" s="508">
        <v>228269.95</v>
      </c>
      <c r="G12" s="508">
        <v>2046908.68</v>
      </c>
      <c r="H12" s="508"/>
      <c r="I12" s="508"/>
      <c r="J12" s="508"/>
      <c r="K12" s="508"/>
      <c r="L12" s="508"/>
      <c r="M12" s="508"/>
      <c r="N12" s="508"/>
      <c r="O12" s="508"/>
      <c r="P12" s="508"/>
    </row>
    <row r="13" spans="2:16">
      <c r="B13" s="575"/>
      <c r="C13" s="372" t="s">
        <v>231</v>
      </c>
      <c r="D13" s="373" t="s">
        <v>387</v>
      </c>
      <c r="E13" s="374" t="s">
        <v>372</v>
      </c>
      <c r="F13" s="509">
        <v>12436.05</v>
      </c>
      <c r="G13" s="509">
        <v>378482.81999999995</v>
      </c>
      <c r="H13" s="509"/>
      <c r="I13" s="509"/>
      <c r="J13" s="509"/>
      <c r="K13" s="509"/>
      <c r="L13" s="509"/>
      <c r="M13" s="509"/>
      <c r="N13" s="509"/>
      <c r="O13" s="509"/>
      <c r="P13" s="509"/>
    </row>
    <row r="14" spans="2:16">
      <c r="B14" s="575"/>
      <c r="C14" s="212" t="s">
        <v>288</v>
      </c>
      <c r="D14" s="224" t="s">
        <v>70</v>
      </c>
      <c r="E14" s="220" t="s">
        <v>243</v>
      </c>
      <c r="F14" s="506">
        <v>0</v>
      </c>
      <c r="G14" s="506">
        <v>0</v>
      </c>
      <c r="H14" s="506"/>
      <c r="I14" s="506"/>
      <c r="J14" s="506"/>
      <c r="K14" s="506"/>
      <c r="L14" s="506"/>
      <c r="M14" s="506"/>
      <c r="N14" s="506"/>
      <c r="O14" s="506"/>
      <c r="P14" s="506"/>
    </row>
    <row r="15" spans="2:16">
      <c r="B15" s="575"/>
      <c r="C15" s="212" t="s">
        <v>30</v>
      </c>
      <c r="D15" s="224" t="s">
        <v>70</v>
      </c>
      <c r="E15" s="220" t="s">
        <v>243</v>
      </c>
      <c r="F15" s="506">
        <v>0</v>
      </c>
      <c r="G15" s="506">
        <v>2200</v>
      </c>
      <c r="H15" s="506"/>
      <c r="I15" s="506"/>
      <c r="J15" s="506"/>
      <c r="K15" s="506"/>
      <c r="L15" s="506"/>
      <c r="M15" s="506"/>
      <c r="N15" s="506"/>
      <c r="O15" s="506"/>
      <c r="P15" s="506"/>
    </row>
    <row r="16" spans="2:16">
      <c r="B16" s="575"/>
      <c r="C16" s="147" t="s">
        <v>78</v>
      </c>
      <c r="D16" s="224" t="s">
        <v>70</v>
      </c>
      <c r="E16" s="220" t="s">
        <v>189</v>
      </c>
      <c r="F16" s="506">
        <v>87026</v>
      </c>
      <c r="G16" s="506">
        <v>646707</v>
      </c>
      <c r="H16" s="506"/>
      <c r="I16" s="506"/>
      <c r="J16" s="506"/>
      <c r="K16" s="506"/>
      <c r="L16" s="506"/>
      <c r="M16" s="506"/>
      <c r="N16" s="506"/>
      <c r="O16" s="506"/>
      <c r="P16" s="506"/>
    </row>
    <row r="17" spans="1:16">
      <c r="B17" s="575"/>
      <c r="C17" s="147" t="s">
        <v>231</v>
      </c>
      <c r="D17" s="224" t="s">
        <v>70</v>
      </c>
      <c r="E17" s="220" t="s">
        <v>189</v>
      </c>
      <c r="F17" s="506">
        <v>72040</v>
      </c>
      <c r="G17" s="506">
        <v>651557.5</v>
      </c>
      <c r="H17" s="506"/>
      <c r="I17" s="506"/>
      <c r="J17" s="506"/>
      <c r="K17" s="506"/>
      <c r="L17" s="506"/>
      <c r="M17" s="506"/>
      <c r="N17" s="506"/>
      <c r="O17" s="506"/>
      <c r="P17" s="506"/>
    </row>
    <row r="18" spans="1:16">
      <c r="B18" s="575"/>
      <c r="C18" s="147"/>
      <c r="D18" s="224"/>
      <c r="E18" s="220"/>
      <c r="F18" s="506"/>
      <c r="G18" s="506"/>
      <c r="H18" s="506"/>
      <c r="I18" s="506"/>
      <c r="J18" s="506"/>
      <c r="K18" s="506"/>
      <c r="L18" s="506"/>
      <c r="M18" s="506"/>
      <c r="N18" s="506"/>
      <c r="O18" s="506"/>
      <c r="P18" s="506"/>
    </row>
    <row r="19" spans="1:16">
      <c r="A19" s="7"/>
      <c r="B19" s="213" t="s">
        <v>79</v>
      </c>
      <c r="C19" s="12" t="s">
        <v>23</v>
      </c>
      <c r="D19" s="12" t="s">
        <v>23</v>
      </c>
      <c r="E19" s="12" t="s">
        <v>23</v>
      </c>
      <c r="F19" s="197">
        <f>SUM(F8:F18)</f>
        <v>16464669.061662231</v>
      </c>
      <c r="G19" s="197">
        <f t="shared" ref="G19" si="0">SUM(G8:G18)</f>
        <v>32336900.96652998</v>
      </c>
      <c r="H19" s="197"/>
      <c r="I19" s="197"/>
      <c r="J19" s="197"/>
      <c r="K19" s="197"/>
      <c r="L19" s="197"/>
      <c r="M19" s="197"/>
      <c r="N19" s="197"/>
      <c r="O19" s="197"/>
      <c r="P19" s="197"/>
    </row>
    <row r="20" spans="1:16">
      <c r="A20" s="84"/>
      <c r="F20" s="51">
        <v>0.26655640431231697</v>
      </c>
      <c r="G20" s="51">
        <f t="shared" ref="G20" si="1">IF(F19=0,"",G19/F19-1)</f>
        <v>0.96401766992244231</v>
      </c>
      <c r="H20" s="51"/>
      <c r="I20" s="51"/>
      <c r="J20" s="51"/>
      <c r="K20" s="51"/>
      <c r="L20" s="51"/>
      <c r="M20" s="51"/>
      <c r="N20" s="51"/>
      <c r="O20" s="51"/>
      <c r="P20" s="51"/>
    </row>
    <row r="21" spans="1:16">
      <c r="A21" s="7"/>
      <c r="B21" s="98" t="s">
        <v>65</v>
      </c>
      <c r="E21"/>
    </row>
    <row r="22" spans="1:16" ht="12.75" customHeight="1">
      <c r="A22" s="85"/>
      <c r="B22" s="1" t="s">
        <v>22</v>
      </c>
      <c r="C22" s="1" t="s">
        <v>11</v>
      </c>
      <c r="D22" s="1" t="s">
        <v>12</v>
      </c>
      <c r="E22" s="176" t="str">
        <f t="shared" ref="E22:E27" si="2">E7</f>
        <v>Wavelengths</v>
      </c>
      <c r="F22" s="1">
        <v>2018</v>
      </c>
      <c r="G22" s="1">
        <v>2019</v>
      </c>
      <c r="H22" s="1">
        <v>2020</v>
      </c>
      <c r="I22" s="1">
        <v>2021</v>
      </c>
      <c r="J22" s="1">
        <v>2022</v>
      </c>
      <c r="K22" s="1">
        <v>2023</v>
      </c>
      <c r="L22" s="1">
        <f t="shared" ref="L22:M22" si="3">L7</f>
        <v>2024</v>
      </c>
      <c r="M22" s="1">
        <f t="shared" si="3"/>
        <v>2025</v>
      </c>
      <c r="N22" s="1">
        <f t="shared" ref="N22:P22" si="4">N7</f>
        <v>2026</v>
      </c>
      <c r="O22" s="1">
        <f t="shared" si="4"/>
        <v>2027</v>
      </c>
      <c r="P22" s="1">
        <f t="shared" si="4"/>
        <v>2028</v>
      </c>
    </row>
    <row r="23" spans="1:16" ht="12.75" customHeight="1">
      <c r="A23" s="85"/>
      <c r="B23" s="574" t="str">
        <f>B8</f>
        <v>CPRI/eCPRI Fronthaul (grey &amp; WDM optics)</v>
      </c>
      <c r="C23" s="147" t="str">
        <f t="shared" ref="C23:D34" si="5">C8</f>
        <v>1,3,6 Gbps</v>
      </c>
      <c r="D23" s="224" t="str">
        <f t="shared" si="5"/>
        <v>all</v>
      </c>
      <c r="E23" s="220" t="str">
        <f t="shared" si="2"/>
        <v>all</v>
      </c>
      <c r="F23" s="222">
        <f t="shared" ref="F23:G24" si="6">IF(F8=0,,F36*10^6/F8)</f>
        <v>13.531647388757277</v>
      </c>
      <c r="G23" s="222">
        <f t="shared" si="6"/>
        <v>10.58138623171258</v>
      </c>
      <c r="H23" s="222"/>
      <c r="I23" s="222"/>
      <c r="J23" s="222"/>
      <c r="K23" s="222"/>
      <c r="L23" s="222"/>
      <c r="M23" s="222"/>
      <c r="N23" s="222"/>
      <c r="O23" s="222"/>
      <c r="P23" s="222"/>
    </row>
    <row r="24" spans="1:16">
      <c r="A24" s="85"/>
      <c r="B24" s="575"/>
      <c r="C24" s="212" t="str">
        <f t="shared" si="5"/>
        <v>10 Gbps</v>
      </c>
      <c r="D24" s="224" t="str">
        <f t="shared" si="5"/>
        <v>all</v>
      </c>
      <c r="E24" s="220" t="str">
        <f t="shared" si="2"/>
        <v>grey</v>
      </c>
      <c r="F24" s="222">
        <f t="shared" si="6"/>
        <v>19.26118686562452</v>
      </c>
      <c r="G24" s="222">
        <f t="shared" si="6"/>
        <v>15.980564280168432</v>
      </c>
      <c r="H24" s="222"/>
      <c r="I24" s="222"/>
      <c r="J24" s="222"/>
      <c r="K24" s="222"/>
      <c r="L24" s="222"/>
      <c r="M24" s="222"/>
      <c r="N24" s="222"/>
      <c r="O24" s="222"/>
      <c r="P24" s="222"/>
    </row>
    <row r="25" spans="1:16">
      <c r="A25" s="85"/>
      <c r="B25" s="575"/>
      <c r="C25" s="212" t="str">
        <f t="shared" si="5"/>
        <v>25 Gbps</v>
      </c>
      <c r="D25" s="367" t="str">
        <f t="shared" si="5"/>
        <v>≤ 0.5 km</v>
      </c>
      <c r="E25" s="368" t="str">
        <f t="shared" si="2"/>
        <v>grey MMF</v>
      </c>
      <c r="F25" s="222">
        <f t="shared" ref="F25:G25" si="7">IF(F10=0,,F38*10^6/F10)</f>
        <v>0</v>
      </c>
      <c r="G25" s="222">
        <f t="shared" si="7"/>
        <v>60</v>
      </c>
      <c r="H25" s="222"/>
      <c r="I25" s="222"/>
      <c r="J25" s="222"/>
      <c r="K25" s="222"/>
      <c r="L25" s="222"/>
      <c r="M25" s="222"/>
      <c r="N25" s="222"/>
      <c r="O25" s="222"/>
      <c r="P25" s="222"/>
    </row>
    <row r="26" spans="1:16">
      <c r="A26" s="85"/>
      <c r="B26" s="575"/>
      <c r="C26" s="369" t="str">
        <f t="shared" si="5"/>
        <v>25 Gbps</v>
      </c>
      <c r="D26" s="370" t="str">
        <f t="shared" si="5"/>
        <v>300 m</v>
      </c>
      <c r="E26" s="371" t="str">
        <f t="shared" si="2"/>
        <v>grey SMF</v>
      </c>
      <c r="F26" s="342">
        <f t="shared" ref="F26:G26" si="8">IF(F11=0,,F39*10^6/F11)</f>
        <v>56</v>
      </c>
      <c r="G26" s="342">
        <f t="shared" si="8"/>
        <v>55.018597476283453</v>
      </c>
      <c r="H26" s="342"/>
      <c r="I26" s="342"/>
      <c r="J26" s="342"/>
      <c r="K26" s="342"/>
      <c r="L26" s="342"/>
      <c r="M26" s="342"/>
      <c r="N26" s="342"/>
      <c r="O26" s="342"/>
      <c r="P26" s="342"/>
    </row>
    <row r="27" spans="1:16">
      <c r="A27" s="85"/>
      <c r="B27" s="575"/>
      <c r="C27" s="369" t="str">
        <f t="shared" si="5"/>
        <v>25 Gbps</v>
      </c>
      <c r="D27" s="370" t="str">
        <f t="shared" si="5"/>
        <v>1-20 km</v>
      </c>
      <c r="E27" s="371" t="str">
        <f t="shared" si="2"/>
        <v>Duplex</v>
      </c>
      <c r="F27" s="342">
        <f t="shared" ref="F27:G27" si="9">IF(F12=0,,F40*10^6/F12)</f>
        <v>68.327574993463031</v>
      </c>
      <c r="G27" s="342">
        <f t="shared" si="9"/>
        <v>62.581137233025004</v>
      </c>
      <c r="H27" s="342"/>
      <c r="I27" s="342"/>
      <c r="J27" s="342"/>
      <c r="K27" s="342"/>
      <c r="L27" s="342"/>
      <c r="M27" s="342"/>
      <c r="N27" s="342"/>
      <c r="O27" s="342"/>
      <c r="P27" s="342"/>
    </row>
    <row r="28" spans="1:16">
      <c r="A28" s="85"/>
      <c r="B28" s="575"/>
      <c r="C28" s="372" t="str">
        <f t="shared" si="5"/>
        <v>25 Gbps</v>
      </c>
      <c r="D28" s="373" t="str">
        <f t="shared" si="5"/>
        <v>1-20 km</v>
      </c>
      <c r="E28" s="374" t="str">
        <f t="shared" ref="E28:E33" si="10">E13</f>
        <v>BiDi</v>
      </c>
      <c r="F28" s="346">
        <f t="shared" ref="F28:G28" si="11">IF(F13=0,,F41*10^6/F13)</f>
        <v>106.07403557047789</v>
      </c>
      <c r="G28" s="346">
        <f t="shared" si="11"/>
        <v>99.832420389099155</v>
      </c>
      <c r="H28" s="346"/>
      <c r="I28" s="346"/>
      <c r="J28" s="346"/>
      <c r="K28" s="346"/>
      <c r="L28" s="346"/>
      <c r="M28" s="346"/>
      <c r="N28" s="346"/>
      <c r="O28" s="346"/>
      <c r="P28" s="346"/>
    </row>
    <row r="29" spans="1:16">
      <c r="A29" s="85"/>
      <c r="B29" s="575"/>
      <c r="C29" s="212" t="str">
        <f t="shared" si="5"/>
        <v>50 Gbps</v>
      </c>
      <c r="D29" s="224" t="str">
        <f t="shared" si="5"/>
        <v>all</v>
      </c>
      <c r="E29" s="220" t="str">
        <f t="shared" si="10"/>
        <v>grey</v>
      </c>
      <c r="F29" s="222">
        <f t="shared" ref="F29:G30" si="12">IF(F14=0,,F42*10^6/F14)</f>
        <v>0</v>
      </c>
      <c r="G29" s="222">
        <f t="shared" si="12"/>
        <v>0</v>
      </c>
      <c r="H29" s="222"/>
      <c r="I29" s="222"/>
      <c r="J29" s="222"/>
      <c r="K29" s="222"/>
      <c r="L29" s="222"/>
      <c r="M29" s="222"/>
      <c r="N29" s="222"/>
      <c r="O29" s="222"/>
      <c r="P29" s="222"/>
    </row>
    <row r="30" spans="1:16">
      <c r="A30" s="85"/>
      <c r="B30" s="575"/>
      <c r="C30" s="212" t="str">
        <f t="shared" si="5"/>
        <v>100 Gbps</v>
      </c>
      <c r="D30" s="224" t="str">
        <f t="shared" si="5"/>
        <v>all</v>
      </c>
      <c r="E30" s="220" t="str">
        <f t="shared" si="10"/>
        <v>grey</v>
      </c>
      <c r="F30" s="222">
        <f t="shared" si="12"/>
        <v>0</v>
      </c>
      <c r="G30" s="222">
        <f t="shared" si="12"/>
        <v>630</v>
      </c>
      <c r="H30" s="222"/>
      <c r="I30" s="222"/>
      <c r="J30" s="222"/>
      <c r="K30" s="222"/>
      <c r="L30" s="222"/>
      <c r="M30" s="222"/>
      <c r="N30" s="222"/>
      <c r="O30" s="222"/>
      <c r="P30" s="222"/>
    </row>
    <row r="31" spans="1:16">
      <c r="A31" s="85"/>
      <c r="B31" s="575"/>
      <c r="C31" s="147" t="str">
        <f t="shared" si="5"/>
        <v>10 Gbps</v>
      </c>
      <c r="D31" s="224" t="str">
        <f t="shared" si="5"/>
        <v>all</v>
      </c>
      <c r="E31" s="220" t="str">
        <f t="shared" si="10"/>
        <v>WDM</v>
      </c>
      <c r="F31" s="222">
        <f t="shared" ref="F31:G32" si="13">IF(F16=0,,F44*10^6/F16)</f>
        <v>350</v>
      </c>
      <c r="G31" s="222">
        <f t="shared" si="13"/>
        <v>263.7833800942326</v>
      </c>
      <c r="H31" s="222"/>
      <c r="I31" s="222"/>
      <c r="J31" s="222"/>
      <c r="K31" s="222"/>
      <c r="L31" s="222"/>
      <c r="M31" s="222"/>
      <c r="N31" s="222"/>
      <c r="O31" s="222"/>
      <c r="P31" s="222"/>
    </row>
    <row r="32" spans="1:16">
      <c r="A32" s="85"/>
      <c r="B32" s="575"/>
      <c r="C32" s="147" t="str">
        <f t="shared" si="5"/>
        <v>25 Gbps</v>
      </c>
      <c r="D32" s="224" t="str">
        <f t="shared" si="5"/>
        <v>all</v>
      </c>
      <c r="E32" s="220" t="str">
        <f t="shared" si="10"/>
        <v>WDM</v>
      </c>
      <c r="F32" s="222">
        <f t="shared" si="13"/>
        <v>700</v>
      </c>
      <c r="G32" s="222">
        <f t="shared" si="13"/>
        <v>220.76371240636763</v>
      </c>
      <c r="H32" s="222"/>
      <c r="I32" s="222"/>
      <c r="J32" s="222"/>
      <c r="K32" s="222"/>
      <c r="L32" s="222"/>
      <c r="M32" s="222"/>
      <c r="N32" s="222"/>
      <c r="O32" s="222"/>
      <c r="P32" s="222"/>
    </row>
    <row r="33" spans="1:16">
      <c r="A33" s="85"/>
      <c r="B33" s="576"/>
      <c r="C33" s="147">
        <f t="shared" si="5"/>
        <v>0</v>
      </c>
      <c r="D33" s="224">
        <f t="shared" si="5"/>
        <v>0</v>
      </c>
      <c r="E33" s="220">
        <f t="shared" si="10"/>
        <v>0</v>
      </c>
      <c r="F33" s="223"/>
      <c r="G33" s="223"/>
      <c r="H33" s="223"/>
      <c r="I33" s="223"/>
      <c r="J33" s="223"/>
      <c r="K33" s="223"/>
      <c r="L33" s="223"/>
      <c r="M33" s="223"/>
      <c r="N33" s="223"/>
      <c r="O33" s="223"/>
      <c r="P33" s="223"/>
    </row>
    <row r="34" spans="1:16">
      <c r="B34" s="98" t="s">
        <v>1</v>
      </c>
      <c r="C34" t="str">
        <f t="shared" si="5"/>
        <v>All</v>
      </c>
      <c r="D34" t="str">
        <f t="shared" si="5"/>
        <v>All</v>
      </c>
    </row>
    <row r="35" spans="1:16">
      <c r="B35" s="1" t="s">
        <v>22</v>
      </c>
      <c r="C35" s="1" t="s">
        <v>11</v>
      </c>
      <c r="D35" s="1" t="s">
        <v>12</v>
      </c>
      <c r="E35" s="176" t="str">
        <f t="shared" ref="E35:E46" si="14">E7</f>
        <v>Wavelengths</v>
      </c>
      <c r="F35" s="1">
        <v>2018</v>
      </c>
      <c r="G35" s="1">
        <v>2019</v>
      </c>
      <c r="H35" s="1">
        <v>2020</v>
      </c>
      <c r="I35" s="1">
        <v>2021</v>
      </c>
      <c r="J35" s="1">
        <v>2022</v>
      </c>
      <c r="K35" s="1">
        <v>2023</v>
      </c>
      <c r="L35" s="1">
        <f t="shared" ref="L35:P35" si="15">L7</f>
        <v>2024</v>
      </c>
      <c r="M35" s="1">
        <f t="shared" si="15"/>
        <v>2025</v>
      </c>
      <c r="N35" s="1">
        <f t="shared" si="15"/>
        <v>2026</v>
      </c>
      <c r="O35" s="1">
        <f t="shared" si="15"/>
        <v>2027</v>
      </c>
      <c r="P35" s="1">
        <f t="shared" si="15"/>
        <v>2028</v>
      </c>
    </row>
    <row r="36" spans="1:16" ht="12.75" customHeight="1">
      <c r="B36" s="574" t="str">
        <f>B8</f>
        <v>CPRI/eCPRI Fronthaul (grey &amp; WDM optics)</v>
      </c>
      <c r="C36" s="12" t="str">
        <f t="shared" ref="C36:D47" si="16">C8</f>
        <v>1,3,6 Gbps</v>
      </c>
      <c r="D36" s="220" t="str">
        <f t="shared" si="16"/>
        <v>all</v>
      </c>
      <c r="E36" s="198" t="str">
        <f t="shared" si="14"/>
        <v>all</v>
      </c>
      <c r="F36" s="510">
        <v>100.15924885256101</v>
      </c>
      <c r="G36" s="510">
        <v>80.529743039643847</v>
      </c>
      <c r="H36" s="510"/>
      <c r="I36" s="510"/>
      <c r="J36" s="510"/>
      <c r="K36" s="510"/>
      <c r="L36" s="510"/>
      <c r="M36" s="510"/>
      <c r="N36" s="510"/>
      <c r="O36" s="510"/>
      <c r="P36" s="510"/>
    </row>
    <row r="37" spans="1:16">
      <c r="B37" s="575"/>
      <c r="C37" s="212" t="str">
        <f t="shared" si="16"/>
        <v>10 Gbps</v>
      </c>
      <c r="D37" s="199" t="str">
        <f t="shared" si="16"/>
        <v>all</v>
      </c>
      <c r="E37" s="199" t="str">
        <f t="shared" si="14"/>
        <v>grey</v>
      </c>
      <c r="F37" s="510">
        <v>166.35327060702539</v>
      </c>
      <c r="G37" s="510">
        <v>327.31873126497482</v>
      </c>
      <c r="H37" s="510"/>
      <c r="I37" s="510"/>
      <c r="J37" s="510"/>
      <c r="K37" s="510"/>
      <c r="L37" s="510"/>
      <c r="M37" s="510"/>
      <c r="N37" s="510"/>
      <c r="O37" s="510"/>
      <c r="P37" s="510"/>
    </row>
    <row r="38" spans="1:16">
      <c r="B38" s="575"/>
      <c r="C38" s="212" t="str">
        <f t="shared" si="16"/>
        <v>25 Gbps</v>
      </c>
      <c r="D38" s="367" t="str">
        <f t="shared" si="16"/>
        <v>≤ 0.5 km</v>
      </c>
      <c r="E38" s="367" t="str">
        <f t="shared" si="14"/>
        <v>grey MMF</v>
      </c>
      <c r="F38" s="510">
        <v>0</v>
      </c>
      <c r="G38" s="510">
        <v>0.3</v>
      </c>
      <c r="H38" s="510"/>
      <c r="I38" s="510"/>
      <c r="J38" s="510"/>
      <c r="K38" s="510"/>
      <c r="L38" s="510"/>
      <c r="M38" s="510"/>
      <c r="N38" s="510"/>
      <c r="O38" s="510"/>
      <c r="P38" s="510"/>
    </row>
    <row r="39" spans="1:16">
      <c r="B39" s="575"/>
      <c r="C39" s="369" t="str">
        <f t="shared" si="16"/>
        <v>25 Gbps</v>
      </c>
      <c r="D39" s="370" t="str">
        <f t="shared" si="16"/>
        <v>300 m</v>
      </c>
      <c r="E39" s="370" t="str">
        <f t="shared" si="14"/>
        <v>grey SMF</v>
      </c>
      <c r="F39" s="511">
        <v>1.4748159999999999</v>
      </c>
      <c r="G39" s="511">
        <v>28.237414857142863</v>
      </c>
      <c r="H39" s="511"/>
      <c r="I39" s="511"/>
      <c r="J39" s="511"/>
      <c r="K39" s="511"/>
      <c r="L39" s="511"/>
      <c r="M39" s="511"/>
      <c r="N39" s="511"/>
      <c r="O39" s="511"/>
      <c r="P39" s="511"/>
    </row>
    <row r="40" spans="1:16">
      <c r="B40" s="575"/>
      <c r="C40" s="369" t="str">
        <f t="shared" si="16"/>
        <v>25 Gbps</v>
      </c>
      <c r="D40" s="370" t="str">
        <f t="shared" si="16"/>
        <v>1-20 km</v>
      </c>
      <c r="E40" s="370" t="str">
        <f t="shared" si="14"/>
        <v>Duplex</v>
      </c>
      <c r="F40" s="511">
        <v>15.597132127379059</v>
      </c>
      <c r="G40" s="511">
        <v>128.09787300655006</v>
      </c>
      <c r="H40" s="511"/>
      <c r="I40" s="511"/>
      <c r="J40" s="511"/>
      <c r="K40" s="511"/>
      <c r="L40" s="511"/>
      <c r="M40" s="511"/>
      <c r="N40" s="511"/>
      <c r="O40" s="511"/>
      <c r="P40" s="511"/>
    </row>
    <row r="41" spans="1:16">
      <c r="B41" s="575"/>
      <c r="C41" s="372" t="str">
        <f t="shared" si="16"/>
        <v>25 Gbps</v>
      </c>
      <c r="D41" s="373" t="str">
        <f t="shared" si="16"/>
        <v>1-20 km</v>
      </c>
      <c r="E41" s="373" t="str">
        <f t="shared" si="14"/>
        <v>BiDi</v>
      </c>
      <c r="F41" s="511">
        <v>1.3191420100562414</v>
      </c>
      <c r="G41" s="511">
        <v>37.784855996291739</v>
      </c>
      <c r="H41" s="511"/>
      <c r="I41" s="511"/>
      <c r="J41" s="511"/>
      <c r="K41" s="511"/>
      <c r="L41" s="511"/>
      <c r="M41" s="511"/>
      <c r="N41" s="511"/>
      <c r="O41" s="511"/>
      <c r="P41" s="511"/>
    </row>
    <row r="42" spans="1:16">
      <c r="B42" s="575"/>
      <c r="C42" s="212" t="str">
        <f t="shared" si="16"/>
        <v>50 Gbps</v>
      </c>
      <c r="D42" s="199" t="str">
        <f t="shared" si="16"/>
        <v>all</v>
      </c>
      <c r="E42" s="199" t="str">
        <f t="shared" si="14"/>
        <v>grey</v>
      </c>
      <c r="F42" s="510">
        <v>0</v>
      </c>
      <c r="G42" s="510">
        <v>0</v>
      </c>
      <c r="H42" s="510"/>
      <c r="I42" s="510"/>
      <c r="J42" s="510"/>
      <c r="K42" s="510"/>
      <c r="L42" s="510"/>
      <c r="M42" s="510"/>
      <c r="N42" s="510"/>
      <c r="O42" s="510"/>
      <c r="P42" s="510"/>
    </row>
    <row r="43" spans="1:16">
      <c r="B43" s="575"/>
      <c r="C43" s="212" t="str">
        <f t="shared" si="16"/>
        <v>100 Gbps</v>
      </c>
      <c r="D43" s="224" t="str">
        <f t="shared" si="16"/>
        <v>all</v>
      </c>
      <c r="E43" s="199" t="str">
        <f t="shared" si="14"/>
        <v>grey</v>
      </c>
      <c r="F43" s="510">
        <v>0</v>
      </c>
      <c r="G43" s="510">
        <v>1.3859999999999999</v>
      </c>
      <c r="H43" s="510"/>
      <c r="I43" s="510"/>
      <c r="J43" s="510"/>
      <c r="K43" s="510"/>
      <c r="L43" s="510"/>
      <c r="M43" s="510"/>
      <c r="N43" s="510"/>
      <c r="O43" s="510"/>
      <c r="P43" s="510"/>
    </row>
    <row r="44" spans="1:16">
      <c r="B44" s="575"/>
      <c r="C44" s="147" t="str">
        <f t="shared" si="16"/>
        <v>10 Gbps</v>
      </c>
      <c r="D44" s="199" t="str">
        <f t="shared" si="16"/>
        <v>all</v>
      </c>
      <c r="E44" s="199" t="str">
        <f t="shared" si="14"/>
        <v>WDM</v>
      </c>
      <c r="F44" s="510">
        <v>30.459099999999999</v>
      </c>
      <c r="G44" s="510">
        <v>170.59055839060088</v>
      </c>
      <c r="H44" s="510"/>
      <c r="I44" s="510"/>
      <c r="J44" s="510"/>
      <c r="K44" s="510"/>
      <c r="L44" s="510"/>
      <c r="M44" s="510"/>
      <c r="N44" s="510"/>
      <c r="O44" s="510"/>
      <c r="P44" s="510"/>
    </row>
    <row r="45" spans="1:16">
      <c r="B45" s="575"/>
      <c r="C45" s="147" t="str">
        <f t="shared" si="16"/>
        <v>25 Gbps</v>
      </c>
      <c r="D45" s="199" t="str">
        <f t="shared" si="16"/>
        <v>all</v>
      </c>
      <c r="E45" s="199" t="str">
        <f t="shared" si="14"/>
        <v>WDM</v>
      </c>
      <c r="F45" s="510">
        <v>50.427999999999997</v>
      </c>
      <c r="G45" s="510">
        <v>143.84025254621187</v>
      </c>
      <c r="H45" s="510"/>
      <c r="I45" s="510"/>
      <c r="J45" s="510"/>
      <c r="K45" s="510"/>
      <c r="L45" s="510"/>
      <c r="M45" s="510"/>
      <c r="N45" s="510"/>
      <c r="O45" s="510"/>
      <c r="P45" s="510"/>
    </row>
    <row r="46" spans="1:16">
      <c r="B46" s="575"/>
      <c r="C46" s="147">
        <f t="shared" si="16"/>
        <v>0</v>
      </c>
      <c r="D46" s="199">
        <f t="shared" si="16"/>
        <v>0</v>
      </c>
      <c r="E46" s="199">
        <f t="shared" si="14"/>
        <v>0</v>
      </c>
      <c r="F46" s="259"/>
      <c r="G46" s="259">
        <v>0</v>
      </c>
      <c r="H46" s="259"/>
      <c r="I46" s="259"/>
      <c r="J46" s="259"/>
      <c r="K46" s="259"/>
      <c r="L46" s="259"/>
      <c r="M46" s="259"/>
      <c r="N46" s="259"/>
      <c r="O46" s="259"/>
      <c r="P46" s="259"/>
    </row>
    <row r="47" spans="1:16">
      <c r="B47" s="213" t="s">
        <v>79</v>
      </c>
      <c r="C47" s="12" t="str">
        <f t="shared" si="16"/>
        <v>All</v>
      </c>
      <c r="D47" s="12" t="str">
        <f t="shared" si="16"/>
        <v>All</v>
      </c>
      <c r="E47" s="12" t="s">
        <v>23</v>
      </c>
      <c r="F47" s="221">
        <f t="shared" ref="F47:G47" si="17">SUM(F36:F46)</f>
        <v>365.79070959702165</v>
      </c>
      <c r="G47" s="221">
        <f t="shared" si="17"/>
        <v>918.08542910141614</v>
      </c>
      <c r="H47" s="221"/>
      <c r="I47" s="221"/>
      <c r="J47" s="221"/>
      <c r="K47" s="221"/>
      <c r="L47" s="221"/>
      <c r="M47" s="221"/>
      <c r="N47" s="221"/>
      <c r="O47" s="221"/>
      <c r="P47" s="221"/>
    </row>
    <row r="48" spans="1:16">
      <c r="F48" s="51">
        <v>0.47884496198616944</v>
      </c>
      <c r="G48" s="51">
        <f t="shared" ref="G48" si="18">IF(F47=0,"",G47/F47-1)</f>
        <v>1.5098653547347816</v>
      </c>
      <c r="H48" s="51"/>
      <c r="I48" s="51"/>
      <c r="J48" s="51"/>
      <c r="K48" s="51"/>
      <c r="L48" s="51"/>
      <c r="M48" s="51"/>
      <c r="N48" s="51"/>
      <c r="O48" s="51"/>
      <c r="P48" s="51"/>
    </row>
    <row r="49" spans="5:16">
      <c r="E49"/>
    </row>
    <row r="50" spans="5:16">
      <c r="E50"/>
    </row>
    <row r="51" spans="5:16">
      <c r="K51" s="63"/>
      <c r="L51" s="63"/>
      <c r="M51" s="63"/>
      <c r="N51" s="63"/>
      <c r="O51" s="63"/>
      <c r="P51" s="63"/>
    </row>
  </sheetData>
  <mergeCells count="3">
    <mergeCell ref="B8:B18"/>
    <mergeCell ref="B23:B33"/>
    <mergeCell ref="B36:B4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P35"/>
  <sheetViews>
    <sheetView showGridLines="0" zoomScale="70" zoomScaleNormal="70" zoomScalePageLayoutView="70" workbookViewId="0"/>
  </sheetViews>
  <sheetFormatPr defaultColWidth="8.44140625" defaultRowHeight="13.2"/>
  <cols>
    <col min="1" max="1" width="4.44140625" customWidth="1"/>
    <col min="2" max="2" width="13.77734375" customWidth="1"/>
    <col min="3" max="3" width="13" customWidth="1"/>
    <col min="4" max="4" width="11.44140625" customWidth="1"/>
    <col min="5" max="5" width="13.21875" style="149" customWidth="1"/>
    <col min="6" max="16" width="10.77734375" customWidth="1"/>
  </cols>
  <sheetData>
    <row r="2" spans="1:16" ht="17.399999999999999">
      <c r="B2" s="70" t="str">
        <f>Introduction!B2</f>
        <v xml:space="preserve">LightCounting Optical Components Market Forecast </v>
      </c>
    </row>
    <row r="3" spans="1:16" ht="15">
      <c r="B3" s="587" t="str">
        <f>Introduction!B3</f>
        <v>Published 31 October 2023 - Sample - for illustrative purposes only</v>
      </c>
    </row>
    <row r="4" spans="1:16" ht="15.6">
      <c r="B4" s="180" t="s">
        <v>325</v>
      </c>
    </row>
    <row r="5" spans="1:16" ht="15.6">
      <c r="B5" s="94"/>
    </row>
    <row r="6" spans="1:16" ht="15">
      <c r="B6" s="185" t="s">
        <v>0</v>
      </c>
      <c r="J6" s="505"/>
    </row>
    <row r="7" spans="1:16" ht="14.25" customHeight="1">
      <c r="B7" s="102" t="s">
        <v>22</v>
      </c>
      <c r="C7" s="102" t="s">
        <v>11</v>
      </c>
      <c r="D7" s="102" t="s">
        <v>12</v>
      </c>
      <c r="E7" s="375" t="s">
        <v>14</v>
      </c>
      <c r="F7" s="103">
        <v>2018</v>
      </c>
      <c r="G7" s="103">
        <v>2019</v>
      </c>
      <c r="H7" s="103">
        <v>2020</v>
      </c>
      <c r="I7" s="103">
        <v>2021</v>
      </c>
      <c r="J7" s="103">
        <v>2022</v>
      </c>
      <c r="K7" s="103">
        <v>2023</v>
      </c>
      <c r="L7" s="103">
        <v>2024</v>
      </c>
      <c r="M7" s="103">
        <v>2025</v>
      </c>
      <c r="N7" s="103">
        <v>2026</v>
      </c>
      <c r="O7" s="103">
        <v>2027</v>
      </c>
      <c r="P7" s="103">
        <v>2028</v>
      </c>
    </row>
    <row r="8" spans="1:16" ht="12.75" customHeight="1">
      <c r="B8" s="574" t="s">
        <v>321</v>
      </c>
      <c r="C8" s="113" t="s">
        <v>39</v>
      </c>
      <c r="D8" s="376" t="s">
        <v>332</v>
      </c>
      <c r="E8" s="377" t="s">
        <v>24</v>
      </c>
      <c r="F8" s="512">
        <v>666557.69230769225</v>
      </c>
      <c r="G8" s="512">
        <v>533246.15384615387</v>
      </c>
      <c r="H8" s="512"/>
      <c r="I8" s="512"/>
      <c r="J8" s="512"/>
      <c r="K8" s="512"/>
      <c r="L8" s="512"/>
      <c r="M8" s="512"/>
      <c r="N8" s="512"/>
      <c r="O8" s="512"/>
      <c r="P8" s="512"/>
    </row>
    <row r="9" spans="1:16" ht="12.75" customHeight="1">
      <c r="B9" s="575"/>
      <c r="C9" s="239" t="s">
        <v>78</v>
      </c>
      <c r="D9" s="376" t="s">
        <v>332</v>
      </c>
      <c r="E9" s="377" t="s">
        <v>15</v>
      </c>
      <c r="F9" s="512">
        <v>705000</v>
      </c>
      <c r="G9" s="512">
        <v>1594858.577488</v>
      </c>
      <c r="H9" s="512"/>
      <c r="I9" s="512"/>
      <c r="J9" s="512"/>
      <c r="K9" s="512"/>
      <c r="L9" s="512"/>
      <c r="M9" s="512"/>
      <c r="N9" s="512"/>
      <c r="O9" s="512"/>
      <c r="P9" s="512"/>
    </row>
    <row r="10" spans="1:16">
      <c r="B10" s="575"/>
      <c r="C10" s="239" t="s">
        <v>231</v>
      </c>
      <c r="D10" s="376" t="s">
        <v>332</v>
      </c>
      <c r="E10" s="377" t="s">
        <v>230</v>
      </c>
      <c r="F10" s="512">
        <v>18180</v>
      </c>
      <c r="G10" s="512">
        <v>37251.656393120014</v>
      </c>
      <c r="H10" s="512"/>
      <c r="I10" s="512"/>
      <c r="J10" s="512"/>
      <c r="K10" s="512"/>
      <c r="L10" s="512"/>
      <c r="M10" s="512"/>
      <c r="N10" s="512"/>
      <c r="O10" s="512"/>
      <c r="P10" s="512"/>
    </row>
    <row r="11" spans="1:16">
      <c r="B11" s="575"/>
      <c r="C11" s="239" t="s">
        <v>288</v>
      </c>
      <c r="D11" s="376" t="s">
        <v>332</v>
      </c>
      <c r="E11" s="377" t="s">
        <v>250</v>
      </c>
      <c r="F11" s="512">
        <v>0</v>
      </c>
      <c r="G11" s="512">
        <v>110894</v>
      </c>
      <c r="H11" s="512"/>
      <c r="I11" s="512"/>
      <c r="J11" s="512"/>
      <c r="K11" s="512"/>
      <c r="L11" s="512"/>
      <c r="M11" s="512"/>
      <c r="N11" s="512"/>
      <c r="O11" s="512"/>
      <c r="P11" s="512"/>
    </row>
    <row r="12" spans="1:16">
      <c r="B12" s="575"/>
      <c r="C12" s="239" t="s">
        <v>30</v>
      </c>
      <c r="D12" s="376" t="s">
        <v>332</v>
      </c>
      <c r="E12" s="377" t="s">
        <v>250</v>
      </c>
      <c r="F12" s="512">
        <v>0</v>
      </c>
      <c r="G12" s="512">
        <v>10000</v>
      </c>
      <c r="H12" s="512"/>
      <c r="I12" s="512"/>
      <c r="J12" s="512"/>
      <c r="K12" s="512"/>
      <c r="L12" s="512"/>
      <c r="M12" s="512"/>
      <c r="N12" s="512"/>
      <c r="O12" s="512"/>
      <c r="P12" s="512"/>
    </row>
    <row r="13" spans="1:16">
      <c r="B13" s="304"/>
      <c r="C13" s="239" t="s">
        <v>248</v>
      </c>
      <c r="D13" s="376" t="s">
        <v>23</v>
      </c>
      <c r="E13" s="377" t="s">
        <v>23</v>
      </c>
      <c r="F13" s="512">
        <v>0</v>
      </c>
      <c r="G13" s="512">
        <v>0</v>
      </c>
      <c r="H13" s="512"/>
      <c r="I13" s="512"/>
      <c r="J13" s="512"/>
      <c r="K13" s="512"/>
      <c r="L13" s="512"/>
      <c r="M13" s="512"/>
      <c r="N13" s="512"/>
      <c r="O13" s="512"/>
      <c r="P13" s="512"/>
    </row>
    <row r="14" spans="1:16">
      <c r="A14" s="7"/>
      <c r="B14" s="213"/>
      <c r="C14" s="113" t="s">
        <v>23</v>
      </c>
      <c r="D14" s="376" t="s">
        <v>332</v>
      </c>
      <c r="E14" s="113" t="s">
        <v>23</v>
      </c>
      <c r="F14" s="379">
        <f t="shared" ref="F14:G14" si="0">SUM(F8:F13)</f>
        <v>1389737.6923076923</v>
      </c>
      <c r="G14" s="379">
        <f t="shared" si="0"/>
        <v>2286250.3877272741</v>
      </c>
      <c r="H14" s="379"/>
      <c r="I14" s="379"/>
      <c r="J14" s="379"/>
      <c r="K14" s="379"/>
      <c r="L14" s="379"/>
      <c r="M14" s="379"/>
      <c r="N14" s="379"/>
      <c r="O14" s="379"/>
      <c r="P14" s="379"/>
    </row>
    <row r="15" spans="1:16">
      <c r="A15" s="84"/>
      <c r="F15" s="51">
        <v>8.8372986919168506E-2</v>
      </c>
      <c r="G15" s="51">
        <f t="shared" ref="G15" si="1">IF(F14=0,"",G14/F14-1)</f>
        <v>0.64509489839834555</v>
      </c>
      <c r="H15" s="51"/>
      <c r="I15" s="51"/>
      <c r="J15" s="51"/>
      <c r="K15" s="51"/>
      <c r="L15" s="51"/>
      <c r="M15" s="51"/>
      <c r="N15" s="51"/>
      <c r="O15" s="51"/>
      <c r="P15" s="51"/>
    </row>
    <row r="16" spans="1:16">
      <c r="A16" s="7"/>
      <c r="B16" s="98" t="s">
        <v>65</v>
      </c>
      <c r="E16"/>
    </row>
    <row r="17" spans="1:16" ht="12.75" customHeight="1">
      <c r="A17" s="85"/>
      <c r="B17" s="103" t="s">
        <v>22</v>
      </c>
      <c r="C17" s="103" t="s">
        <v>11</v>
      </c>
      <c r="D17" s="103" t="s">
        <v>12</v>
      </c>
      <c r="E17" s="191" t="str">
        <f t="shared" ref="E17:E23" si="2">E7</f>
        <v>Form Factor</v>
      </c>
      <c r="F17" s="103">
        <v>2018</v>
      </c>
      <c r="G17" s="103">
        <v>2019</v>
      </c>
      <c r="H17" s="103">
        <v>2020</v>
      </c>
      <c r="I17" s="103">
        <v>2021</v>
      </c>
      <c r="J17" s="103">
        <v>2022</v>
      </c>
      <c r="K17" s="103">
        <v>2023</v>
      </c>
      <c r="L17" s="103">
        <v>2024</v>
      </c>
      <c r="M17" s="103">
        <f>M$7</f>
        <v>2025</v>
      </c>
      <c r="N17" s="103">
        <f t="shared" ref="N17:P17" si="3">N$7</f>
        <v>2026</v>
      </c>
      <c r="O17" s="103">
        <f t="shared" si="3"/>
        <v>2027</v>
      </c>
      <c r="P17" s="103">
        <f t="shared" si="3"/>
        <v>2028</v>
      </c>
    </row>
    <row r="18" spans="1:16" ht="12.75" customHeight="1">
      <c r="A18" s="85"/>
      <c r="B18" s="574" t="str">
        <f>B8</f>
        <v>Mobile mid-haul and backhaul</v>
      </c>
      <c r="C18" s="147" t="str">
        <f>C8</f>
        <v>1 Gbps</v>
      </c>
      <c r="D18" s="224" t="str">
        <f>D8</f>
        <v>10-80 km</v>
      </c>
      <c r="E18" s="220" t="str">
        <f t="shared" si="2"/>
        <v>SFP</v>
      </c>
      <c r="F18" s="222">
        <f t="shared" ref="F18:G18" si="4">IF(F8=0,,F27*10^6/F8)</f>
        <v>12.348060682522538</v>
      </c>
      <c r="G18" s="222">
        <f t="shared" si="4"/>
        <v>8.2967433945449898</v>
      </c>
      <c r="H18" s="222"/>
      <c r="I18" s="222"/>
      <c r="J18" s="222"/>
      <c r="K18" s="222"/>
      <c r="L18" s="222"/>
      <c r="M18" s="222"/>
      <c r="N18" s="222"/>
      <c r="O18" s="222"/>
      <c r="P18" s="222"/>
    </row>
    <row r="19" spans="1:16">
      <c r="A19" s="85"/>
      <c r="B19" s="575"/>
      <c r="C19" s="212" t="str">
        <f t="shared" ref="C19:D23" si="5">C9</f>
        <v>10 Gbps</v>
      </c>
      <c r="D19" s="224" t="str">
        <f t="shared" si="5"/>
        <v>10-80 km</v>
      </c>
      <c r="E19" s="220" t="str">
        <f t="shared" si="2"/>
        <v>SFP+</v>
      </c>
      <c r="F19" s="222">
        <f t="shared" ref="F19:G23" si="6">IF(F9=0,,F28*10^6/F9)</f>
        <v>100.04147560892065</v>
      </c>
      <c r="G19" s="222">
        <f t="shared" si="6"/>
        <v>48.956671180422468</v>
      </c>
      <c r="H19" s="222"/>
      <c r="I19" s="222"/>
      <c r="J19" s="222"/>
      <c r="K19" s="222"/>
      <c r="L19" s="222"/>
      <c r="M19" s="222"/>
      <c r="N19" s="222"/>
      <c r="O19" s="222"/>
      <c r="P19" s="222"/>
    </row>
    <row r="20" spans="1:16">
      <c r="A20" s="85"/>
      <c r="B20" s="575"/>
      <c r="C20" s="212" t="str">
        <f t="shared" si="5"/>
        <v>25 Gbps</v>
      </c>
      <c r="D20" s="224" t="str">
        <f t="shared" si="5"/>
        <v>10-80 km</v>
      </c>
      <c r="E20" s="220" t="str">
        <f t="shared" si="2"/>
        <v>SFP28</v>
      </c>
      <c r="F20" s="222">
        <f t="shared" si="6"/>
        <v>194.92552284906316</v>
      </c>
      <c r="G20" s="222">
        <f t="shared" si="6"/>
        <v>118.08209065529998</v>
      </c>
      <c r="H20" s="222"/>
      <c r="I20" s="222"/>
      <c r="J20" s="222"/>
      <c r="K20" s="222"/>
      <c r="L20" s="222"/>
      <c r="M20" s="222"/>
      <c r="N20" s="222"/>
      <c r="O20" s="222"/>
      <c r="P20" s="222"/>
    </row>
    <row r="21" spans="1:16">
      <c r="A21" s="85"/>
      <c r="B21" s="575"/>
      <c r="C21" s="212" t="str">
        <f t="shared" si="5"/>
        <v>50 Gbps</v>
      </c>
      <c r="D21" s="224" t="str">
        <f t="shared" si="5"/>
        <v>10-80 km</v>
      </c>
      <c r="E21" s="220" t="str">
        <f t="shared" si="2"/>
        <v>QSFP28</v>
      </c>
      <c r="F21" s="222">
        <f t="shared" si="6"/>
        <v>0</v>
      </c>
      <c r="G21" s="222">
        <f t="shared" si="6"/>
        <v>473.51193438739</v>
      </c>
      <c r="H21" s="222"/>
      <c r="I21" s="222"/>
      <c r="J21" s="222"/>
      <c r="K21" s="222"/>
      <c r="L21" s="222"/>
      <c r="M21" s="222"/>
      <c r="N21" s="222"/>
      <c r="O21" s="222"/>
      <c r="P21" s="222"/>
    </row>
    <row r="22" spans="1:16">
      <c r="A22" s="85"/>
      <c r="B22" s="575"/>
      <c r="C22" s="147" t="str">
        <f t="shared" si="5"/>
        <v>100 Gbps</v>
      </c>
      <c r="D22" s="224" t="str">
        <f t="shared" si="5"/>
        <v>10-80 km</v>
      </c>
      <c r="E22" s="220" t="str">
        <f t="shared" si="2"/>
        <v>QSFP28</v>
      </c>
      <c r="F22" s="222">
        <f t="shared" si="6"/>
        <v>0</v>
      </c>
      <c r="G22" s="222">
        <f t="shared" si="6"/>
        <v>527.08718409117773</v>
      </c>
      <c r="H22" s="222"/>
      <c r="I22" s="222"/>
      <c r="J22" s="222"/>
      <c r="K22" s="222"/>
      <c r="L22" s="222"/>
      <c r="M22" s="222"/>
      <c r="N22" s="222"/>
      <c r="O22" s="222"/>
      <c r="P22" s="222"/>
    </row>
    <row r="23" spans="1:16">
      <c r="A23" s="85"/>
      <c r="B23" s="576"/>
      <c r="C23" s="147" t="str">
        <f t="shared" si="5"/>
        <v>200 Gbps</v>
      </c>
      <c r="D23" s="224" t="str">
        <f t="shared" si="5"/>
        <v>All</v>
      </c>
      <c r="E23" s="220" t="str">
        <f t="shared" si="2"/>
        <v>All</v>
      </c>
      <c r="F23" s="223">
        <f t="shared" si="6"/>
        <v>0</v>
      </c>
      <c r="G23" s="223">
        <f t="shared" si="6"/>
        <v>0</v>
      </c>
      <c r="H23" s="223"/>
      <c r="I23" s="223"/>
      <c r="J23" s="223"/>
      <c r="K23" s="223"/>
      <c r="L23" s="223"/>
      <c r="M23" s="223"/>
      <c r="N23" s="223"/>
      <c r="O23" s="223"/>
      <c r="P23" s="223"/>
    </row>
    <row r="24" spans="1:16">
      <c r="A24" s="85"/>
      <c r="B24" s="172"/>
      <c r="C24" s="380"/>
      <c r="D24" s="198"/>
      <c r="E24" s="198"/>
      <c r="F24" s="381"/>
      <c r="G24" s="381"/>
      <c r="H24" s="381"/>
      <c r="I24" s="381"/>
      <c r="J24" s="381"/>
      <c r="K24" s="381"/>
      <c r="L24" s="381"/>
      <c r="M24" s="381"/>
      <c r="N24" s="381"/>
      <c r="O24" s="381"/>
      <c r="P24" s="381"/>
    </row>
    <row r="25" spans="1:16">
      <c r="B25" s="98" t="s">
        <v>1</v>
      </c>
    </row>
    <row r="26" spans="1:16">
      <c r="B26" s="103" t="s">
        <v>22</v>
      </c>
      <c r="C26" s="103" t="s">
        <v>11</v>
      </c>
      <c r="D26" s="103" t="s">
        <v>12</v>
      </c>
      <c r="E26" s="191" t="str">
        <f t="shared" ref="E26:E32" si="7">E7</f>
        <v>Form Factor</v>
      </c>
      <c r="F26" s="103">
        <v>2018</v>
      </c>
      <c r="G26" s="103">
        <v>2019</v>
      </c>
      <c r="H26" s="103">
        <v>2020</v>
      </c>
      <c r="I26" s="103">
        <v>2021</v>
      </c>
      <c r="J26" s="103">
        <v>2022</v>
      </c>
      <c r="K26" s="103">
        <v>2023</v>
      </c>
      <c r="L26" s="103">
        <v>2024</v>
      </c>
      <c r="M26" s="103">
        <f>M$7</f>
        <v>2025</v>
      </c>
      <c r="N26" s="103">
        <f t="shared" ref="N26:P26" si="8">N$7</f>
        <v>2026</v>
      </c>
      <c r="O26" s="103">
        <f t="shared" si="8"/>
        <v>2027</v>
      </c>
      <c r="P26" s="103">
        <f t="shared" si="8"/>
        <v>2028</v>
      </c>
    </row>
    <row r="27" spans="1:16" ht="12.75" customHeight="1">
      <c r="A27">
        <v>1</v>
      </c>
      <c r="B27" s="574" t="str">
        <f>B8</f>
        <v>Mobile mid-haul and backhaul</v>
      </c>
      <c r="C27" s="147" t="str">
        <f>C8</f>
        <v>1 Gbps</v>
      </c>
      <c r="D27" s="220" t="str">
        <f>D8</f>
        <v>10-80 km</v>
      </c>
      <c r="E27" s="198" t="str">
        <f t="shared" si="7"/>
        <v>SFP</v>
      </c>
      <c r="F27" s="513">
        <v>8.2306948330175711</v>
      </c>
      <c r="G27" s="513">
        <v>4.4242065045895984</v>
      </c>
      <c r="H27" s="513"/>
      <c r="I27" s="513"/>
      <c r="J27" s="513"/>
      <c r="K27" s="513"/>
      <c r="L27" s="513"/>
      <c r="M27" s="513"/>
      <c r="N27" s="513"/>
      <c r="O27" s="513"/>
      <c r="P27" s="513"/>
    </row>
    <row r="28" spans="1:16" ht="13.8">
      <c r="A28">
        <v>10</v>
      </c>
      <c r="B28" s="575"/>
      <c r="C28" s="212" t="str">
        <f t="shared" ref="C28:D32" si="9">C9</f>
        <v>10 Gbps</v>
      </c>
      <c r="D28" s="224" t="str">
        <f t="shared" si="9"/>
        <v>10-80 km</v>
      </c>
      <c r="E28" s="224" t="str">
        <f t="shared" si="7"/>
        <v>SFP+</v>
      </c>
      <c r="F28" s="513">
        <v>70.529240304289061</v>
      </c>
      <c r="G28" s="513">
        <v>78.078966957356343</v>
      </c>
      <c r="H28" s="513"/>
      <c r="I28" s="513"/>
      <c r="J28" s="513"/>
      <c r="K28" s="513"/>
      <c r="L28" s="513"/>
      <c r="M28" s="513"/>
      <c r="N28" s="513"/>
      <c r="O28" s="513"/>
      <c r="P28" s="513"/>
    </row>
    <row r="29" spans="1:16" ht="13.8">
      <c r="A29">
        <v>25</v>
      </c>
      <c r="B29" s="575"/>
      <c r="C29" s="212" t="str">
        <f t="shared" si="9"/>
        <v>25 Gbps</v>
      </c>
      <c r="D29" s="224" t="str">
        <f t="shared" si="9"/>
        <v>10-80 km</v>
      </c>
      <c r="E29" s="224" t="str">
        <f t="shared" si="7"/>
        <v>SFP28</v>
      </c>
      <c r="F29" s="513">
        <v>3.5437460053959682</v>
      </c>
      <c r="G29" s="513">
        <v>4.3987534672724831</v>
      </c>
      <c r="H29" s="513"/>
      <c r="I29" s="513"/>
      <c r="J29" s="513"/>
      <c r="K29" s="513"/>
      <c r="L29" s="513"/>
      <c r="M29" s="513"/>
      <c r="N29" s="513"/>
      <c r="O29" s="513"/>
      <c r="P29" s="513"/>
    </row>
    <row r="30" spans="1:16" ht="13.8">
      <c r="A30">
        <v>50</v>
      </c>
      <c r="B30" s="575"/>
      <c r="C30" s="212" t="str">
        <f t="shared" si="9"/>
        <v>50 Gbps</v>
      </c>
      <c r="D30" s="224" t="str">
        <f t="shared" si="9"/>
        <v>10-80 km</v>
      </c>
      <c r="E30" s="224" t="str">
        <f t="shared" si="7"/>
        <v>QSFP28</v>
      </c>
      <c r="F30" s="513">
        <v>0</v>
      </c>
      <c r="G30" s="513">
        <v>52.509632451955227</v>
      </c>
      <c r="H30" s="513"/>
      <c r="I30" s="513"/>
      <c r="J30" s="513"/>
      <c r="K30" s="513"/>
      <c r="L30" s="513"/>
      <c r="M30" s="513"/>
      <c r="N30" s="513"/>
      <c r="O30" s="513"/>
      <c r="P30" s="513"/>
    </row>
    <row r="31" spans="1:16" ht="13.8">
      <c r="A31">
        <v>100</v>
      </c>
      <c r="B31" s="575"/>
      <c r="C31" s="212" t="str">
        <f t="shared" si="9"/>
        <v>100 Gbps</v>
      </c>
      <c r="D31" s="224" t="str">
        <f t="shared" si="9"/>
        <v>10-80 km</v>
      </c>
      <c r="E31" s="224" t="str">
        <f t="shared" si="7"/>
        <v>QSFP28</v>
      </c>
      <c r="F31" s="513">
        <v>0</v>
      </c>
      <c r="G31" s="513">
        <v>5.2708718409117781</v>
      </c>
      <c r="H31" s="513"/>
      <c r="I31" s="513"/>
      <c r="J31" s="513"/>
      <c r="K31" s="513"/>
      <c r="L31" s="513"/>
      <c r="M31" s="513"/>
      <c r="N31" s="513"/>
      <c r="O31" s="513"/>
      <c r="P31" s="513"/>
    </row>
    <row r="32" spans="1:16" ht="13.8">
      <c r="A32">
        <v>200</v>
      </c>
      <c r="B32" s="304"/>
      <c r="C32" s="212" t="str">
        <f t="shared" si="9"/>
        <v>200 Gbps</v>
      </c>
      <c r="D32" s="224" t="str">
        <f t="shared" si="9"/>
        <v>All</v>
      </c>
      <c r="E32" s="224" t="str">
        <f t="shared" si="7"/>
        <v>All</v>
      </c>
      <c r="F32" s="513">
        <v>0</v>
      </c>
      <c r="G32" s="513">
        <v>0</v>
      </c>
      <c r="H32" s="513"/>
      <c r="I32" s="513"/>
      <c r="J32" s="513"/>
      <c r="K32" s="513"/>
      <c r="L32" s="513"/>
      <c r="M32" s="513"/>
      <c r="N32" s="513"/>
      <c r="O32" s="513"/>
      <c r="P32" s="513"/>
    </row>
    <row r="33" spans="2:16">
      <c r="B33" s="213"/>
      <c r="C33" s="147" t="str">
        <f t="shared" ref="C33:D33" si="10">C14</f>
        <v>All</v>
      </c>
      <c r="D33" s="147" t="str">
        <f t="shared" si="10"/>
        <v>10-80 km</v>
      </c>
      <c r="E33" s="147" t="s">
        <v>23</v>
      </c>
      <c r="F33" s="382">
        <f t="shared" ref="F33:G33" si="11">SUM(F27:F32)</f>
        <v>82.303681142702601</v>
      </c>
      <c r="G33" s="382">
        <f t="shared" si="11"/>
        <v>144.68243122208546</v>
      </c>
      <c r="H33" s="382"/>
      <c r="I33" s="382"/>
      <c r="J33" s="382"/>
      <c r="K33" s="382"/>
      <c r="L33" s="382"/>
      <c r="M33" s="382"/>
      <c r="N33" s="382"/>
      <c r="O33" s="382"/>
      <c r="P33" s="382"/>
    </row>
    <row r="34" spans="2:16">
      <c r="F34" s="51">
        <v>-0.20632021756266417</v>
      </c>
      <c r="G34" s="51">
        <f t="shared" ref="G34" si="12">IF(F33=0,"",G33/F33-1)</f>
        <v>0.75790960031577659</v>
      </c>
      <c r="H34" s="51"/>
      <c r="I34" s="51"/>
      <c r="J34" s="51"/>
      <c r="K34" s="51"/>
      <c r="L34" s="51"/>
      <c r="M34" s="51"/>
      <c r="N34" s="51"/>
      <c r="O34" s="51"/>
      <c r="P34" s="51"/>
    </row>
    <row r="35" spans="2:16">
      <c r="E35"/>
    </row>
  </sheetData>
  <mergeCells count="3">
    <mergeCell ref="B8:B12"/>
    <mergeCell ref="B27:B31"/>
    <mergeCell ref="B18:B2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2:M86"/>
  <sheetViews>
    <sheetView showGridLines="0" zoomScale="70" zoomScaleNormal="70" zoomScalePageLayoutView="70" workbookViewId="0"/>
  </sheetViews>
  <sheetFormatPr defaultColWidth="9.21875" defaultRowHeight="13.2"/>
  <cols>
    <col min="1" max="1" width="4.44140625" customWidth="1"/>
    <col min="2" max="2" width="37.77734375" customWidth="1"/>
    <col min="3" max="13" width="12.33203125" customWidth="1"/>
    <col min="14" max="14" width="15.21875" bestFit="1" customWidth="1"/>
    <col min="16" max="17" width="15.44140625" customWidth="1"/>
  </cols>
  <sheetData>
    <row r="2" spans="1:13" ht="17.399999999999999">
      <c r="B2" s="179" t="str">
        <f>Introduction!B2</f>
        <v xml:space="preserve">LightCounting Optical Components Market Forecast </v>
      </c>
    </row>
    <row r="3" spans="1:13" ht="15">
      <c r="B3" s="588" t="str">
        <f>Introduction!B3</f>
        <v>Published 31 October 2023 - Sample - for illustrative purposes only</v>
      </c>
    </row>
    <row r="4" spans="1:13" ht="15.6">
      <c r="B4" s="181" t="s">
        <v>151</v>
      </c>
    </row>
    <row r="5" spans="1:13">
      <c r="C5" s="2"/>
      <c r="D5" s="2"/>
      <c r="E5" s="2"/>
      <c r="F5" s="2"/>
      <c r="G5" s="2"/>
      <c r="H5" s="2"/>
      <c r="I5" s="2"/>
      <c r="J5" s="2"/>
      <c r="K5" s="2"/>
      <c r="L5" s="2"/>
      <c r="M5" s="2"/>
    </row>
    <row r="6" spans="1:13" ht="15">
      <c r="A6" s="3"/>
      <c r="B6" s="185" t="s">
        <v>0</v>
      </c>
      <c r="G6" s="505"/>
      <c r="K6" s="2"/>
    </row>
    <row r="7" spans="1:13">
      <c r="A7" s="3"/>
      <c r="B7" s="102" t="s">
        <v>18</v>
      </c>
      <c r="C7" s="4">
        <v>2018</v>
      </c>
      <c r="D7" s="4">
        <v>2019</v>
      </c>
      <c r="E7" s="4">
        <v>2020</v>
      </c>
      <c r="F7" s="4">
        <v>2021</v>
      </c>
      <c r="G7" s="4">
        <v>2022</v>
      </c>
      <c r="H7" s="4">
        <v>2023</v>
      </c>
      <c r="I7" s="4">
        <v>2024</v>
      </c>
      <c r="J7" s="4">
        <v>2025</v>
      </c>
      <c r="K7" s="4">
        <v>2026</v>
      </c>
      <c r="L7" s="4">
        <v>2027</v>
      </c>
      <c r="M7" s="4">
        <v>2028</v>
      </c>
    </row>
    <row r="8" spans="1:13">
      <c r="A8" s="299"/>
      <c r="B8" s="461" t="s">
        <v>540</v>
      </c>
      <c r="C8" s="462">
        <v>8689373</v>
      </c>
      <c r="D8" s="462">
        <v>5214122</v>
      </c>
      <c r="E8" s="462">
        <v>3716658</v>
      </c>
      <c r="F8" s="462"/>
      <c r="G8" s="462"/>
      <c r="H8" s="462"/>
      <c r="I8" s="462"/>
      <c r="J8" s="462"/>
      <c r="K8" s="462"/>
      <c r="L8" s="462"/>
      <c r="M8" s="462"/>
    </row>
    <row r="9" spans="1:13">
      <c r="A9" s="299"/>
      <c r="B9" s="295" t="s">
        <v>541</v>
      </c>
      <c r="C9" s="463">
        <v>69600000</v>
      </c>
      <c r="D9" s="463">
        <v>55680000</v>
      </c>
      <c r="E9" s="463">
        <v>58464000</v>
      </c>
      <c r="F9" s="463"/>
      <c r="G9" s="463"/>
      <c r="H9" s="463"/>
      <c r="I9" s="463"/>
      <c r="J9" s="463"/>
      <c r="K9" s="463"/>
      <c r="L9" s="463"/>
      <c r="M9" s="463"/>
    </row>
    <row r="10" spans="1:13">
      <c r="A10" s="299"/>
      <c r="B10" s="295" t="s">
        <v>542</v>
      </c>
      <c r="C10" s="463">
        <v>3051000</v>
      </c>
      <c r="D10" s="463">
        <v>3161669.75</v>
      </c>
      <c r="E10" s="463">
        <v>2065095</v>
      </c>
      <c r="F10" s="463"/>
      <c r="G10" s="463"/>
      <c r="H10" s="463"/>
      <c r="I10" s="463"/>
      <c r="J10" s="463"/>
      <c r="K10" s="463"/>
      <c r="L10" s="463"/>
      <c r="M10" s="463"/>
    </row>
    <row r="11" spans="1:13">
      <c r="A11" s="299"/>
      <c r="B11" s="296" t="s">
        <v>543</v>
      </c>
      <c r="C11" s="464">
        <v>150000</v>
      </c>
      <c r="D11" s="464">
        <v>0</v>
      </c>
      <c r="E11" s="464">
        <v>0</v>
      </c>
      <c r="F11" s="464"/>
      <c r="G11" s="464"/>
      <c r="H11" s="464"/>
      <c r="I11" s="464"/>
      <c r="J11" s="464"/>
      <c r="K11" s="464"/>
      <c r="L11" s="464"/>
      <c r="M11" s="464"/>
    </row>
    <row r="12" spans="1:13">
      <c r="A12" s="299"/>
      <c r="B12" s="297" t="s">
        <v>544</v>
      </c>
      <c r="C12" s="462">
        <v>1051504</v>
      </c>
      <c r="D12" s="462">
        <v>421509</v>
      </c>
      <c r="E12" s="462">
        <v>185000</v>
      </c>
      <c r="F12" s="462"/>
      <c r="G12" s="462"/>
      <c r="H12" s="462"/>
      <c r="I12" s="462"/>
      <c r="J12" s="462"/>
      <c r="K12" s="462"/>
      <c r="L12" s="462"/>
      <c r="M12" s="462"/>
    </row>
    <row r="13" spans="1:13">
      <c r="A13" s="299"/>
      <c r="B13" s="295" t="s">
        <v>545</v>
      </c>
      <c r="C13" s="463">
        <v>6754457.9423999991</v>
      </c>
      <c r="D13" s="463">
        <v>3377228.9711999996</v>
      </c>
      <c r="E13" s="463">
        <v>2364060.2798399995</v>
      </c>
      <c r="F13" s="463"/>
      <c r="G13" s="463"/>
      <c r="H13" s="463"/>
      <c r="I13" s="463"/>
      <c r="J13" s="463"/>
      <c r="K13" s="463"/>
      <c r="L13" s="463"/>
      <c r="M13" s="463"/>
    </row>
    <row r="14" spans="1:13">
      <c r="A14" s="299"/>
      <c r="B14" s="296" t="s">
        <v>546</v>
      </c>
      <c r="C14" s="464">
        <v>253000</v>
      </c>
      <c r="D14" s="464">
        <v>237223.25</v>
      </c>
      <c r="E14" s="464">
        <v>79000</v>
      </c>
      <c r="F14" s="464"/>
      <c r="G14" s="464"/>
      <c r="H14" s="464"/>
      <c r="I14" s="464"/>
      <c r="J14" s="464"/>
      <c r="K14" s="464"/>
      <c r="L14" s="464"/>
      <c r="M14" s="464"/>
    </row>
    <row r="15" spans="1:13">
      <c r="A15" s="299"/>
      <c r="B15" s="550" t="s">
        <v>517</v>
      </c>
      <c r="C15" s="462">
        <v>175000</v>
      </c>
      <c r="D15" s="462">
        <v>350000</v>
      </c>
      <c r="E15" s="462">
        <v>700000</v>
      </c>
      <c r="F15" s="462"/>
      <c r="G15" s="462"/>
      <c r="H15" s="462"/>
      <c r="I15" s="462"/>
      <c r="J15" s="462"/>
      <c r="K15" s="462"/>
      <c r="L15" s="462"/>
      <c r="M15" s="462"/>
    </row>
    <row r="16" spans="1:13">
      <c r="A16" s="299"/>
      <c r="B16" s="551" t="s">
        <v>518</v>
      </c>
      <c r="C16" s="464">
        <v>17500</v>
      </c>
      <c r="D16" s="464">
        <v>35000</v>
      </c>
      <c r="E16" s="464">
        <v>70000</v>
      </c>
      <c r="F16" s="464"/>
      <c r="G16" s="464"/>
      <c r="H16" s="464"/>
      <c r="I16" s="464"/>
      <c r="J16" s="464"/>
      <c r="K16" s="464"/>
      <c r="L16" s="464"/>
      <c r="M16" s="464"/>
    </row>
    <row r="17" spans="1:13">
      <c r="A17" s="299"/>
      <c r="B17" s="295" t="s">
        <v>547</v>
      </c>
      <c r="C17" s="462">
        <v>700000</v>
      </c>
      <c r="D17" s="462">
        <v>1946204.4255319149</v>
      </c>
      <c r="E17" s="462">
        <v>3317000</v>
      </c>
      <c r="F17" s="462"/>
      <c r="G17" s="462"/>
      <c r="H17" s="462"/>
      <c r="I17" s="462"/>
      <c r="J17" s="462"/>
      <c r="K17" s="462"/>
      <c r="L17" s="462"/>
      <c r="M17" s="462"/>
    </row>
    <row r="18" spans="1:13">
      <c r="A18" s="299"/>
      <c r="B18" s="295" t="s">
        <v>548</v>
      </c>
      <c r="C18" s="463">
        <v>0</v>
      </c>
      <c r="D18" s="463">
        <v>0</v>
      </c>
      <c r="E18" s="463">
        <v>2470521</v>
      </c>
      <c r="F18" s="463"/>
      <c r="G18" s="463"/>
      <c r="H18" s="463"/>
      <c r="I18" s="463"/>
      <c r="J18" s="463"/>
      <c r="K18" s="463"/>
      <c r="L18" s="463"/>
      <c r="M18" s="463"/>
    </row>
    <row r="19" spans="1:13">
      <c r="A19" s="299"/>
      <c r="B19" s="295" t="s">
        <v>549</v>
      </c>
      <c r="C19" s="463">
        <v>850232</v>
      </c>
      <c r="D19" s="463">
        <v>520386.57446808508</v>
      </c>
      <c r="E19" s="463">
        <v>396405.9031914894</v>
      </c>
      <c r="F19" s="463"/>
      <c r="G19" s="463"/>
      <c r="H19" s="463"/>
      <c r="I19" s="463"/>
      <c r="J19" s="463"/>
      <c r="K19" s="463"/>
      <c r="L19" s="463"/>
      <c r="M19" s="463"/>
    </row>
    <row r="20" spans="1:13">
      <c r="A20" s="299"/>
      <c r="B20" s="295" t="s">
        <v>550</v>
      </c>
      <c r="C20" s="463">
        <v>0</v>
      </c>
      <c r="D20" s="463">
        <v>0</v>
      </c>
      <c r="E20" s="463">
        <v>500000</v>
      </c>
      <c r="F20" s="463"/>
      <c r="G20" s="463"/>
      <c r="H20" s="463"/>
      <c r="I20" s="463"/>
      <c r="J20" s="463"/>
      <c r="K20" s="463"/>
      <c r="L20" s="463"/>
      <c r="M20" s="463"/>
    </row>
    <row r="21" spans="1:13">
      <c r="A21" s="299"/>
      <c r="B21" s="296" t="s">
        <v>551</v>
      </c>
      <c r="C21" s="464">
        <v>763268</v>
      </c>
      <c r="D21" s="464">
        <v>1368538</v>
      </c>
      <c r="E21" s="464">
        <v>2274893</v>
      </c>
      <c r="F21" s="464"/>
      <c r="G21" s="464"/>
      <c r="H21" s="464"/>
      <c r="I21" s="464"/>
      <c r="J21" s="464"/>
      <c r="K21" s="464"/>
      <c r="L21" s="464"/>
      <c r="M21" s="464"/>
    </row>
    <row r="22" spans="1:13">
      <c r="A22" s="299"/>
      <c r="B22" s="295" t="s">
        <v>552</v>
      </c>
      <c r="C22" s="462">
        <v>1000</v>
      </c>
      <c r="D22" s="462">
        <v>3600</v>
      </c>
      <c r="E22" s="462">
        <v>75000</v>
      </c>
      <c r="F22" s="462"/>
      <c r="G22" s="462"/>
      <c r="H22" s="462"/>
      <c r="I22" s="462"/>
      <c r="J22" s="462"/>
      <c r="K22" s="462"/>
      <c r="L22" s="462"/>
      <c r="M22" s="462"/>
    </row>
    <row r="23" spans="1:13">
      <c r="A23" s="299"/>
      <c r="B23" s="296" t="s">
        <v>553</v>
      </c>
      <c r="C23" s="464">
        <v>150</v>
      </c>
      <c r="D23" s="464">
        <v>600</v>
      </c>
      <c r="E23" s="464">
        <v>25000</v>
      </c>
      <c r="F23" s="464"/>
      <c r="G23" s="464"/>
      <c r="H23" s="464"/>
      <c r="I23" s="464"/>
      <c r="J23" s="464"/>
      <c r="K23" s="464"/>
      <c r="L23" s="464"/>
      <c r="M23" s="464"/>
    </row>
    <row r="24" spans="1:13">
      <c r="A24" s="299"/>
      <c r="B24" s="295" t="s">
        <v>554</v>
      </c>
      <c r="C24" s="462">
        <v>0</v>
      </c>
      <c r="D24" s="462">
        <v>0</v>
      </c>
      <c r="E24" s="462">
        <v>0</v>
      </c>
      <c r="F24" s="462"/>
      <c r="G24" s="462"/>
      <c r="H24" s="462"/>
      <c r="I24" s="462"/>
      <c r="J24" s="462"/>
      <c r="K24" s="462"/>
      <c r="L24" s="462"/>
      <c r="M24" s="462"/>
    </row>
    <row r="25" spans="1:13">
      <c r="A25" s="299"/>
      <c r="B25" s="296" t="s">
        <v>555</v>
      </c>
      <c r="C25" s="464">
        <v>0</v>
      </c>
      <c r="D25" s="464">
        <v>0</v>
      </c>
      <c r="E25" s="464">
        <v>0</v>
      </c>
      <c r="F25" s="464"/>
      <c r="G25" s="464"/>
      <c r="H25" s="464"/>
      <c r="I25" s="464"/>
      <c r="J25" s="464"/>
      <c r="K25" s="464"/>
      <c r="L25" s="464"/>
      <c r="M25" s="464"/>
    </row>
    <row r="26" spans="1:13">
      <c r="A26" s="299"/>
      <c r="B26" s="295" t="s">
        <v>556</v>
      </c>
      <c r="C26" s="462">
        <v>0</v>
      </c>
      <c r="D26" s="462">
        <v>0</v>
      </c>
      <c r="E26" s="462">
        <v>0</v>
      </c>
      <c r="F26" s="462"/>
      <c r="G26" s="462"/>
      <c r="H26" s="462"/>
      <c r="I26" s="462"/>
      <c r="J26" s="462"/>
      <c r="K26" s="462"/>
      <c r="L26" s="462"/>
      <c r="M26" s="462"/>
    </row>
    <row r="27" spans="1:13">
      <c r="A27" s="299"/>
      <c r="B27" s="296" t="s">
        <v>557</v>
      </c>
      <c r="C27" s="464">
        <v>0</v>
      </c>
      <c r="D27" s="464">
        <v>0</v>
      </c>
      <c r="E27" s="464">
        <v>0</v>
      </c>
      <c r="F27" s="464"/>
      <c r="G27" s="464"/>
      <c r="H27" s="464"/>
      <c r="I27" s="464"/>
      <c r="J27" s="464"/>
      <c r="K27" s="464"/>
      <c r="L27" s="464"/>
      <c r="M27" s="464"/>
    </row>
    <row r="28" spans="1:13">
      <c r="A28" s="299"/>
      <c r="B28" s="295" t="s">
        <v>471</v>
      </c>
      <c r="C28" s="462"/>
      <c r="D28" s="462"/>
      <c r="E28" s="462"/>
      <c r="F28" s="462"/>
      <c r="G28" s="462"/>
      <c r="H28" s="462"/>
      <c r="I28" s="462"/>
      <c r="J28" s="462"/>
      <c r="K28" s="462"/>
      <c r="L28" s="462"/>
      <c r="M28" s="462"/>
    </row>
    <row r="29" spans="1:13">
      <c r="A29" s="299"/>
      <c r="B29" s="296" t="s">
        <v>471</v>
      </c>
      <c r="C29" s="464"/>
      <c r="D29" s="464"/>
      <c r="E29" s="464"/>
      <c r="F29" s="464"/>
      <c r="G29" s="464"/>
      <c r="H29" s="464"/>
      <c r="I29" s="464"/>
      <c r="J29" s="464"/>
      <c r="K29" s="464"/>
      <c r="L29" s="464"/>
      <c r="M29" s="464"/>
    </row>
    <row r="30" spans="1:13">
      <c r="A30" s="299"/>
      <c r="B30" s="298" t="s">
        <v>93</v>
      </c>
      <c r="C30" s="112">
        <f t="shared" ref="C30:E30" si="0">SUM(C8:C29)</f>
        <v>92056484.942399994</v>
      </c>
      <c r="D30" s="112">
        <f t="shared" si="0"/>
        <v>72316081.971200004</v>
      </c>
      <c r="E30" s="112">
        <f t="shared" si="0"/>
        <v>76702633.183031484</v>
      </c>
      <c r="F30" s="112"/>
      <c r="G30" s="112"/>
      <c r="H30" s="112"/>
      <c r="I30" s="112"/>
      <c r="J30" s="112"/>
      <c r="K30" s="112"/>
      <c r="L30" s="112"/>
      <c r="M30" s="112"/>
    </row>
    <row r="31" spans="1:13">
      <c r="A31" s="300"/>
      <c r="C31" s="6">
        <v>0.1799736799540923</v>
      </c>
      <c r="D31" s="6">
        <f t="shared" ref="D31:E31" si="1">IF(C30=0,"",D30/C30-1)</f>
        <v>-0.21443793974483838</v>
      </c>
      <c r="E31" s="6">
        <f t="shared" si="1"/>
        <v>6.0658031965537429E-2</v>
      </c>
      <c r="F31" s="6"/>
      <c r="G31" s="6"/>
      <c r="H31" s="6"/>
      <c r="I31" s="6"/>
      <c r="J31" s="6"/>
      <c r="K31" s="6"/>
      <c r="L31" s="6"/>
      <c r="M31" s="6"/>
    </row>
    <row r="32" spans="1:13">
      <c r="B32" s="185" t="s">
        <v>65</v>
      </c>
      <c r="C32" s="2"/>
      <c r="D32" s="2"/>
      <c r="E32" s="2"/>
      <c r="F32" s="2"/>
      <c r="G32" s="2"/>
      <c r="H32" s="2"/>
      <c r="I32" s="2"/>
      <c r="J32" s="2"/>
      <c r="K32" s="2"/>
      <c r="L32" s="2"/>
      <c r="M32" s="2"/>
    </row>
    <row r="33" spans="1:13">
      <c r="A33" s="3"/>
      <c r="B33" s="102" t="s">
        <v>18</v>
      </c>
      <c r="C33" s="4">
        <v>2018</v>
      </c>
      <c r="D33" s="4">
        <v>2019</v>
      </c>
      <c r="E33" s="4">
        <v>2020</v>
      </c>
      <c r="F33" s="4">
        <v>2021</v>
      </c>
      <c r="G33" s="4">
        <v>2022</v>
      </c>
      <c r="H33" s="4">
        <v>2023</v>
      </c>
      <c r="I33" s="4">
        <f t="shared" ref="I33:M33" si="2">I7</f>
        <v>2024</v>
      </c>
      <c r="J33" s="4">
        <f t="shared" si="2"/>
        <v>2025</v>
      </c>
      <c r="K33" s="4">
        <f t="shared" si="2"/>
        <v>2026</v>
      </c>
      <c r="L33" s="4">
        <f t="shared" si="2"/>
        <v>2027</v>
      </c>
      <c r="M33" s="4">
        <f t="shared" si="2"/>
        <v>2028</v>
      </c>
    </row>
    <row r="34" spans="1:13">
      <c r="A34" s="56"/>
      <c r="B34" s="297" t="str">
        <f t="shared" ref="B34:B40" si="3">B8</f>
        <v>GPON ONU transceiver</v>
      </c>
      <c r="C34" s="466">
        <f>IF(C8=0,,10^6*C59/C8)</f>
        <v>0</v>
      </c>
      <c r="D34" s="467">
        <f t="shared" ref="D34:E34" si="4">IF(D8=0,,10^6*D59/D8)</f>
        <v>8.3007120554274412</v>
      </c>
      <c r="E34" s="467">
        <f t="shared" si="4"/>
        <v>7.7547086656883684</v>
      </c>
      <c r="F34" s="467"/>
      <c r="G34" s="467"/>
      <c r="H34" s="467"/>
      <c r="I34" s="467"/>
      <c r="J34" s="467"/>
      <c r="K34" s="468"/>
      <c r="L34" s="468"/>
      <c r="M34" s="468"/>
    </row>
    <row r="35" spans="1:13">
      <c r="A35" s="56"/>
      <c r="B35" s="295" t="str">
        <f t="shared" si="3"/>
        <v>GPON ONU BOSA</v>
      </c>
      <c r="C35" s="469">
        <f t="shared" ref="C35:E35" si="5">IF(C9=0,,10^6*C60/C9)</f>
        <v>5</v>
      </c>
      <c r="D35" s="470">
        <f t="shared" si="5"/>
        <v>3.8213182404355925</v>
      </c>
      <c r="E35" s="470">
        <f t="shared" si="5"/>
        <v>2</v>
      </c>
      <c r="F35" s="470"/>
      <c r="G35" s="471"/>
      <c r="H35" s="470"/>
      <c r="I35" s="470"/>
      <c r="J35" s="470"/>
      <c r="K35" s="470"/>
      <c r="L35" s="470"/>
      <c r="M35" s="470"/>
    </row>
    <row r="36" spans="1:13">
      <c r="A36" s="56"/>
      <c r="B36" s="295" t="str">
        <f t="shared" si="3"/>
        <v>GPON OLT</v>
      </c>
      <c r="C36" s="469">
        <f t="shared" ref="C36:E36" si="6">IF(C10=0,,10^6*C61/C10)</f>
        <v>19.96015405207508</v>
      </c>
      <c r="D36" s="470">
        <f t="shared" si="6"/>
        <v>16.464188503558919</v>
      </c>
      <c r="E36" s="470">
        <f t="shared" si="6"/>
        <v>13.341289383781376</v>
      </c>
      <c r="F36" s="470"/>
      <c r="G36" s="470"/>
      <c r="H36" s="470"/>
      <c r="I36" s="470"/>
      <c r="J36" s="470"/>
      <c r="K36" s="470"/>
      <c r="L36" s="470"/>
      <c r="M36" s="470"/>
    </row>
    <row r="37" spans="1:13">
      <c r="A37" s="56"/>
      <c r="B37" s="296" t="str">
        <f t="shared" si="3"/>
        <v>GPON Triplexer</v>
      </c>
      <c r="C37" s="472">
        <f t="shared" ref="C37:E37" si="7">IF(C11=0,,10^6*C62/C11)</f>
        <v>26.829915495750676</v>
      </c>
      <c r="D37" s="473">
        <f t="shared" si="7"/>
        <v>0</v>
      </c>
      <c r="E37" s="473">
        <f t="shared" si="7"/>
        <v>0</v>
      </c>
      <c r="F37" s="473"/>
      <c r="G37" s="473"/>
      <c r="H37" s="473"/>
      <c r="I37" s="473"/>
      <c r="J37" s="473"/>
      <c r="K37" s="473"/>
      <c r="L37" s="473"/>
      <c r="M37" s="473"/>
    </row>
    <row r="38" spans="1:13">
      <c r="A38" s="56"/>
      <c r="B38" s="297" t="str">
        <f t="shared" si="3"/>
        <v>EPON ONU transceiver</v>
      </c>
      <c r="C38" s="465">
        <f t="shared" ref="C38:E38" si="8">IF(C12=0,,10^6*C63/C12)</f>
        <v>6.2018755991418004</v>
      </c>
      <c r="D38" s="468">
        <f t="shared" si="8"/>
        <v>6.1160924203279174</v>
      </c>
      <c r="E38" s="468">
        <f t="shared" si="8"/>
        <v>5</v>
      </c>
      <c r="F38" s="468"/>
      <c r="G38" s="468"/>
      <c r="H38" s="468"/>
      <c r="I38" s="468"/>
      <c r="J38" s="468"/>
      <c r="K38" s="468"/>
      <c r="L38" s="468"/>
      <c r="M38" s="468"/>
    </row>
    <row r="39" spans="1:13">
      <c r="A39" s="56"/>
      <c r="B39" s="295" t="str">
        <f t="shared" si="3"/>
        <v>EPON ONU BOSA</v>
      </c>
      <c r="C39" s="469">
        <f t="shared" ref="C39:E39" si="9">IF(C13=0,,10^6*C64/C13)</f>
        <v>5</v>
      </c>
      <c r="D39" s="470">
        <f t="shared" si="9"/>
        <v>3.8213182404355925</v>
      </c>
      <c r="E39" s="470">
        <f t="shared" si="9"/>
        <v>2</v>
      </c>
      <c r="F39" s="470"/>
      <c r="G39" s="470"/>
      <c r="H39" s="470"/>
      <c r="I39" s="470"/>
      <c r="J39" s="470"/>
      <c r="K39" s="470"/>
      <c r="L39" s="470"/>
      <c r="M39" s="470"/>
    </row>
    <row r="40" spans="1:13">
      <c r="A40" s="56"/>
      <c r="B40" s="296" t="str">
        <f t="shared" si="3"/>
        <v>EPON OLTs</v>
      </c>
      <c r="C40" s="472">
        <f t="shared" ref="C40:E40" si="10">IF(C14=0,,10^6*C65/C14)</f>
        <v>16.772501981375914</v>
      </c>
      <c r="D40" s="473">
        <f t="shared" si="10"/>
        <v>14.073652139914616</v>
      </c>
      <c r="E40" s="473">
        <f t="shared" si="10"/>
        <v>12.518987341772151</v>
      </c>
      <c r="F40" s="473"/>
      <c r="G40" s="473"/>
      <c r="H40" s="473"/>
      <c r="I40" s="473"/>
      <c r="J40" s="473"/>
      <c r="K40" s="473"/>
      <c r="L40" s="473"/>
      <c r="M40" s="473"/>
    </row>
    <row r="41" spans="1:13">
      <c r="A41" s="56"/>
      <c r="B41" s="550" t="str">
        <f t="shared" ref="B41:B42" si="11">B15</f>
        <v>10G EPON ONUs</v>
      </c>
      <c r="C41" s="469">
        <f t="shared" ref="C41:E41" si="12">IF(C15=0,,10^6*C66/C15)</f>
        <v>23.249999999999996</v>
      </c>
      <c r="D41" s="470">
        <f t="shared" si="12"/>
        <v>22</v>
      </c>
      <c r="E41" s="470">
        <f t="shared" si="12"/>
        <v>20</v>
      </c>
      <c r="F41" s="470"/>
      <c r="G41" s="470"/>
      <c r="H41" s="470"/>
      <c r="I41" s="470"/>
      <c r="J41" s="470"/>
      <c r="K41" s="470"/>
      <c r="L41" s="470"/>
      <c r="M41" s="470"/>
    </row>
    <row r="42" spans="1:13">
      <c r="A42" s="56"/>
      <c r="B42" s="551" t="str">
        <f t="shared" si="11"/>
        <v>10G EPON OLTs</v>
      </c>
      <c r="C42" s="469">
        <f t="shared" ref="C42:E42" si="13">IF(C16=0,,10^6*C67/C16)</f>
        <v>136.97624265168002</v>
      </c>
      <c r="D42" s="470">
        <f t="shared" si="13"/>
        <v>100.88102026700814</v>
      </c>
      <c r="E42" s="470">
        <f t="shared" si="13"/>
        <v>78.157614440978605</v>
      </c>
      <c r="F42" s="470"/>
      <c r="G42" s="470"/>
      <c r="H42" s="470"/>
      <c r="I42" s="470"/>
      <c r="J42" s="470"/>
      <c r="K42" s="470"/>
      <c r="L42" s="470"/>
      <c r="M42" s="470"/>
    </row>
    <row r="43" spans="1:13">
      <c r="A43" s="56"/>
      <c r="B43" s="295" t="str">
        <f t="shared" ref="B43:B55" si="14">B17</f>
        <v>XG-PON ONU transceiver (10G/1G or 2.5G)</v>
      </c>
      <c r="C43" s="465">
        <f t="shared" ref="C43:E43" si="15">IF(C17=0,,10^6*C68/C17)</f>
        <v>43</v>
      </c>
      <c r="D43" s="468">
        <f t="shared" si="15"/>
        <v>40</v>
      </c>
      <c r="E43" s="468">
        <f t="shared" si="15"/>
        <v>30</v>
      </c>
      <c r="F43" s="468"/>
      <c r="G43" s="468"/>
      <c r="H43" s="468"/>
      <c r="I43" s="468"/>
      <c r="J43" s="468"/>
      <c r="K43" s="468"/>
      <c r="L43" s="468"/>
      <c r="M43" s="468"/>
    </row>
    <row r="44" spans="1:13">
      <c r="A44" s="56"/>
      <c r="B44" s="295" t="str">
        <f t="shared" si="14"/>
        <v>XG-PON ONU BOSA (10G/1G or 2.5G)</v>
      </c>
      <c r="C44" s="469">
        <f t="shared" ref="C44:E44" si="16">IF(C18=0,,10^6*C69/C18)</f>
        <v>0</v>
      </c>
      <c r="D44" s="470">
        <f t="shared" si="16"/>
        <v>0</v>
      </c>
      <c r="E44" s="470">
        <f t="shared" si="16"/>
        <v>12</v>
      </c>
      <c r="F44" s="470"/>
      <c r="G44" s="471"/>
      <c r="H44" s="470"/>
      <c r="I44" s="470"/>
      <c r="J44" s="470"/>
      <c r="K44" s="470"/>
      <c r="L44" s="470"/>
      <c r="M44" s="470"/>
    </row>
    <row r="45" spans="1:13">
      <c r="A45" s="56"/>
      <c r="B45" s="295" t="str">
        <f t="shared" si="14"/>
        <v>XGS-PON ONU transceiver (10G/10G)</v>
      </c>
      <c r="C45" s="469">
        <f t="shared" ref="C45:E45" si="17">IF(C19=0,,10^6*C70/C19)</f>
        <v>50</v>
      </c>
      <c r="D45" s="470">
        <f t="shared" si="17"/>
        <v>48</v>
      </c>
      <c r="E45" s="470">
        <f t="shared" si="17"/>
        <v>45</v>
      </c>
      <c r="F45" s="470"/>
      <c r="G45" s="470"/>
      <c r="H45" s="470"/>
      <c r="I45" s="470"/>
      <c r="J45" s="470"/>
      <c r="K45" s="470"/>
      <c r="L45" s="470"/>
      <c r="M45" s="470"/>
    </row>
    <row r="46" spans="1:13">
      <c r="A46" s="56"/>
      <c r="B46" s="295" t="str">
        <f t="shared" si="14"/>
        <v>XGS-PON ONU BOSA (10G/10G)</v>
      </c>
      <c r="C46" s="469">
        <f t="shared" ref="C46:E46" si="18">IF(C20=0,,10^6*C71/C20)</f>
        <v>0</v>
      </c>
      <c r="D46" s="470">
        <f t="shared" si="18"/>
        <v>0</v>
      </c>
      <c r="E46" s="470">
        <f t="shared" si="18"/>
        <v>25</v>
      </c>
      <c r="F46" s="470"/>
      <c r="G46" s="470"/>
      <c r="H46" s="470"/>
      <c r="I46" s="470"/>
      <c r="J46" s="470"/>
      <c r="K46" s="470"/>
      <c r="L46" s="470"/>
      <c r="M46" s="470"/>
    </row>
    <row r="47" spans="1:13">
      <c r="A47" s="56"/>
      <c r="B47" s="296" t="str">
        <f t="shared" si="14"/>
        <v>XG/XGS-PON OLTs (incl CombiPON)</v>
      </c>
      <c r="C47" s="472">
        <f t="shared" ref="C47:E47" si="19">IF(C21=0,,10^6*C72/C21)</f>
        <v>136.97624265168002</v>
      </c>
      <c r="D47" s="473">
        <f t="shared" si="19"/>
        <v>100.88102026700814</v>
      </c>
      <c r="E47" s="473">
        <f t="shared" si="19"/>
        <v>78.157614440978605</v>
      </c>
      <c r="F47" s="473"/>
      <c r="G47" s="473"/>
      <c r="H47" s="473"/>
      <c r="I47" s="473"/>
      <c r="J47" s="473"/>
      <c r="K47" s="473"/>
      <c r="L47" s="473"/>
      <c r="M47" s="473"/>
    </row>
    <row r="48" spans="1:13">
      <c r="A48" s="56"/>
      <c r="B48" s="295" t="str">
        <f t="shared" si="14"/>
        <v>NG-PON2 ONUs</v>
      </c>
      <c r="C48" s="272">
        <f t="shared" ref="C48:E48" si="20">IF(C22=0,,10^6*C73/C22)</f>
        <v>575</v>
      </c>
      <c r="D48" s="259">
        <f t="shared" si="20"/>
        <v>550</v>
      </c>
      <c r="E48" s="259">
        <f t="shared" si="20"/>
        <v>495</v>
      </c>
      <c r="F48" s="259"/>
      <c r="G48" s="259"/>
      <c r="H48" s="259"/>
      <c r="I48" s="259"/>
      <c r="J48" s="259"/>
      <c r="K48" s="259"/>
      <c r="L48" s="259"/>
      <c r="M48" s="259"/>
    </row>
    <row r="49" spans="1:13">
      <c r="A49" s="56"/>
      <c r="B49" s="296" t="str">
        <f t="shared" si="14"/>
        <v>NG-PON2 OLTs</v>
      </c>
      <c r="C49" s="146">
        <f t="shared" ref="C49:E49" si="21">IF(C23=0,,10^6*C74/C23)</f>
        <v>1350</v>
      </c>
      <c r="D49" s="270">
        <f t="shared" si="21"/>
        <v>1300</v>
      </c>
      <c r="E49" s="270">
        <f t="shared" si="21"/>
        <v>1150</v>
      </c>
      <c r="F49" s="270"/>
      <c r="G49" s="270"/>
      <c r="H49" s="270"/>
      <c r="I49" s="270"/>
      <c r="J49" s="270"/>
      <c r="K49" s="270"/>
      <c r="L49" s="270"/>
      <c r="M49" s="270"/>
    </row>
    <row r="50" spans="1:13">
      <c r="A50" s="56"/>
      <c r="B50" s="295" t="str">
        <f t="shared" si="14"/>
        <v>25G PON ONUs</v>
      </c>
      <c r="C50" s="272">
        <f t="shared" ref="C50:E50" si="22">IF(C24=0,,10^6*C75/C24)</f>
        <v>0</v>
      </c>
      <c r="D50" s="259">
        <f t="shared" si="22"/>
        <v>0</v>
      </c>
      <c r="E50" s="259">
        <f t="shared" si="22"/>
        <v>0</v>
      </c>
      <c r="F50" s="259"/>
      <c r="G50" s="259"/>
      <c r="H50" s="259"/>
      <c r="I50" s="259"/>
      <c r="J50" s="259"/>
      <c r="K50" s="259"/>
      <c r="L50" s="259"/>
      <c r="M50" s="259"/>
    </row>
    <row r="51" spans="1:13">
      <c r="A51" s="56"/>
      <c r="B51" s="296" t="str">
        <f t="shared" si="14"/>
        <v>25G PON OLTs</v>
      </c>
      <c r="C51" s="146">
        <f t="shared" ref="C51:E51" si="23">IF(C25=0,,10^6*C76/C25)</f>
        <v>0</v>
      </c>
      <c r="D51" s="270">
        <f t="shared" si="23"/>
        <v>0</v>
      </c>
      <c r="E51" s="270">
        <f t="shared" si="23"/>
        <v>0</v>
      </c>
      <c r="F51" s="270"/>
      <c r="G51" s="270"/>
      <c r="H51" s="270"/>
      <c r="I51" s="270"/>
      <c r="J51" s="270"/>
      <c r="K51" s="270"/>
      <c r="L51" s="270"/>
      <c r="M51" s="270"/>
    </row>
    <row r="52" spans="1:13">
      <c r="A52" s="56"/>
      <c r="B52" s="295" t="str">
        <f t="shared" si="14"/>
        <v>50G PON ONUs</v>
      </c>
      <c r="C52" s="272">
        <f t="shared" ref="C52:E52" si="24">IF(C26=0,,10^6*C77/C26)</f>
        <v>0</v>
      </c>
      <c r="D52" s="259">
        <f t="shared" si="24"/>
        <v>0</v>
      </c>
      <c r="E52" s="259">
        <f t="shared" si="24"/>
        <v>0</v>
      </c>
      <c r="F52" s="259"/>
      <c r="G52" s="259"/>
      <c r="H52" s="259"/>
      <c r="I52" s="259"/>
      <c r="J52" s="259"/>
      <c r="K52" s="259"/>
      <c r="L52" s="259"/>
      <c r="M52" s="259"/>
    </row>
    <row r="53" spans="1:13">
      <c r="A53" s="56"/>
      <c r="B53" s="296" t="str">
        <f t="shared" si="14"/>
        <v>50G PON OLTs</v>
      </c>
      <c r="C53" s="146">
        <f t="shared" ref="C53:E53" si="25">IF(C27=0,,10^6*C78/C27)</f>
        <v>0</v>
      </c>
      <c r="D53" s="270">
        <f t="shared" si="25"/>
        <v>0</v>
      </c>
      <c r="E53" s="270">
        <f t="shared" si="25"/>
        <v>0</v>
      </c>
      <c r="F53" s="270"/>
      <c r="G53" s="270"/>
      <c r="H53" s="270"/>
      <c r="I53" s="270"/>
      <c r="J53" s="270"/>
      <c r="K53" s="270"/>
      <c r="L53" s="270"/>
      <c r="M53" s="270"/>
    </row>
    <row r="54" spans="1:13">
      <c r="A54" s="56"/>
      <c r="B54" s="295" t="str">
        <f t="shared" si="14"/>
        <v>placeholder</v>
      </c>
      <c r="C54" s="272">
        <f t="shared" ref="C54:E54" si="26">IF(C28=0,,10^6*C79/C28)</f>
        <v>0</v>
      </c>
      <c r="D54" s="259">
        <f t="shared" si="26"/>
        <v>0</v>
      </c>
      <c r="E54" s="259">
        <f t="shared" si="26"/>
        <v>0</v>
      </c>
      <c r="F54" s="259"/>
      <c r="G54" s="259"/>
      <c r="H54" s="259"/>
      <c r="I54" s="259"/>
      <c r="J54" s="259"/>
      <c r="K54" s="259"/>
      <c r="L54" s="259"/>
      <c r="M54" s="259"/>
    </row>
    <row r="55" spans="1:13">
      <c r="A55" s="56"/>
      <c r="B55" s="296" t="str">
        <f t="shared" si="14"/>
        <v>placeholder</v>
      </c>
      <c r="C55" s="146">
        <f t="shared" ref="C55:E55" si="27">IF(C29=0,,10^6*C80/C29)</f>
        <v>0</v>
      </c>
      <c r="D55" s="270">
        <f t="shared" si="27"/>
        <v>0</v>
      </c>
      <c r="E55" s="270">
        <f t="shared" si="27"/>
        <v>0</v>
      </c>
      <c r="F55" s="270"/>
      <c r="G55" s="270"/>
      <c r="H55" s="270"/>
      <c r="I55" s="270"/>
      <c r="J55" s="270"/>
      <c r="K55" s="270"/>
      <c r="L55" s="270"/>
      <c r="M55" s="270"/>
    </row>
    <row r="56" spans="1:13">
      <c r="C56" s="429"/>
      <c r="D56" s="429"/>
      <c r="E56" s="429"/>
      <c r="F56" s="429"/>
      <c r="G56" s="429"/>
      <c r="H56" s="429"/>
      <c r="I56" s="429"/>
      <c r="J56" s="429"/>
      <c r="K56" s="429"/>
      <c r="L56" s="429"/>
      <c r="M56" s="429"/>
    </row>
    <row r="57" spans="1:13">
      <c r="B57" s="185" t="s">
        <v>1</v>
      </c>
    </row>
    <row r="58" spans="1:13">
      <c r="A58" s="3"/>
      <c r="B58" s="102" t="s">
        <v>18</v>
      </c>
      <c r="C58" s="4">
        <v>2018</v>
      </c>
      <c r="D58" s="4">
        <v>2019</v>
      </c>
      <c r="E58" s="4">
        <v>2020</v>
      </c>
      <c r="F58" s="4">
        <v>2021</v>
      </c>
      <c r="G58" s="4">
        <v>2022</v>
      </c>
      <c r="H58" s="4">
        <v>2023</v>
      </c>
      <c r="I58" s="4">
        <f t="shared" ref="I58:M58" si="28">I33</f>
        <v>2024</v>
      </c>
      <c r="J58" s="4">
        <f t="shared" si="28"/>
        <v>2025</v>
      </c>
      <c r="K58" s="4">
        <f t="shared" si="28"/>
        <v>2026</v>
      </c>
      <c r="L58" s="4">
        <f t="shared" si="28"/>
        <v>2027</v>
      </c>
      <c r="M58" s="4">
        <f t="shared" si="28"/>
        <v>2028</v>
      </c>
    </row>
    <row r="59" spans="1:13">
      <c r="A59" s="91"/>
      <c r="B59" s="297" t="str">
        <f t="shared" ref="B59:B65" si="29">B34</f>
        <v>GPON ONU transceiver</v>
      </c>
      <c r="C59" s="514">
        <v>0</v>
      </c>
      <c r="D59" s="515">
        <v>43.280925343869441</v>
      </c>
      <c r="E59" s="515">
        <v>28.8216</v>
      </c>
      <c r="F59" s="515"/>
      <c r="G59" s="515"/>
      <c r="H59" s="515"/>
      <c r="I59" s="515"/>
      <c r="J59" s="515"/>
      <c r="K59" s="515"/>
      <c r="L59" s="515"/>
      <c r="M59" s="515"/>
    </row>
    <row r="60" spans="1:13">
      <c r="A60" s="91"/>
      <c r="B60" s="295" t="str">
        <f t="shared" si="29"/>
        <v>GPON ONU BOSA</v>
      </c>
      <c r="C60" s="516">
        <v>348</v>
      </c>
      <c r="D60" s="517">
        <v>212.77099962745379</v>
      </c>
      <c r="E60" s="517">
        <v>116.928</v>
      </c>
      <c r="F60" s="517"/>
      <c r="G60" s="517"/>
      <c r="H60" s="517"/>
      <c r="I60" s="517"/>
      <c r="J60" s="517"/>
      <c r="K60" s="517"/>
      <c r="L60" s="517"/>
      <c r="M60" s="517"/>
    </row>
    <row r="61" spans="1:13">
      <c r="A61" s="91"/>
      <c r="B61" s="295" t="str">
        <f t="shared" si="29"/>
        <v>GPON OLT</v>
      </c>
      <c r="C61" s="516">
        <v>60.898430012881072</v>
      </c>
      <c r="D61" s="517">
        <v>52.054326750000001</v>
      </c>
      <c r="E61" s="517">
        <v>27.551030000000001</v>
      </c>
      <c r="F61" s="517"/>
      <c r="G61" s="517"/>
      <c r="H61" s="517"/>
      <c r="I61" s="517"/>
      <c r="J61" s="517"/>
      <c r="K61" s="517"/>
      <c r="L61" s="517"/>
      <c r="M61" s="517"/>
    </row>
    <row r="62" spans="1:13">
      <c r="A62" s="91"/>
      <c r="B62" s="296" t="str">
        <f t="shared" si="29"/>
        <v>GPON Triplexer</v>
      </c>
      <c r="C62" s="518">
        <v>4.0244873243626014</v>
      </c>
      <c r="D62" s="519">
        <v>0</v>
      </c>
      <c r="E62" s="519">
        <v>0</v>
      </c>
      <c r="F62" s="519"/>
      <c r="G62" s="519"/>
      <c r="H62" s="519"/>
      <c r="I62" s="519"/>
      <c r="J62" s="519"/>
      <c r="K62" s="519"/>
      <c r="L62" s="519"/>
      <c r="M62" s="519"/>
    </row>
    <row r="63" spans="1:13">
      <c r="A63" s="91"/>
      <c r="B63" s="297" t="str">
        <f t="shared" si="29"/>
        <v>EPON ONU transceiver</v>
      </c>
      <c r="C63" s="514">
        <v>6.5212969999999997</v>
      </c>
      <c r="D63" s="515">
        <v>2.5779879999999999</v>
      </c>
      <c r="E63" s="515">
        <v>0.92500000000000004</v>
      </c>
      <c r="F63" s="515"/>
      <c r="G63" s="515"/>
      <c r="H63" s="515"/>
      <c r="I63" s="515"/>
      <c r="J63" s="515"/>
      <c r="K63" s="515"/>
      <c r="L63" s="515"/>
      <c r="M63" s="515"/>
    </row>
    <row r="64" spans="1:13">
      <c r="A64" s="91"/>
      <c r="B64" s="295" t="str">
        <f t="shared" si="29"/>
        <v>EPON ONU BOSA</v>
      </c>
      <c r="C64" s="516">
        <v>33.772289711999996</v>
      </c>
      <c r="D64" s="517">
        <v>12.905466669774089</v>
      </c>
      <c r="E64" s="517">
        <v>4.7281205596799989</v>
      </c>
      <c r="F64" s="517"/>
      <c r="G64" s="517"/>
      <c r="H64" s="517"/>
      <c r="I64" s="517"/>
      <c r="J64" s="517"/>
      <c r="K64" s="517"/>
      <c r="L64" s="517"/>
      <c r="M64" s="517"/>
    </row>
    <row r="65" spans="1:13">
      <c r="A65" s="91"/>
      <c r="B65" s="296" t="str">
        <f t="shared" si="29"/>
        <v>EPON OLTs</v>
      </c>
      <c r="C65" s="518">
        <v>4.2434430012881066</v>
      </c>
      <c r="D65" s="519">
        <v>3.3385975000000001</v>
      </c>
      <c r="E65" s="519">
        <v>0.98899999999999988</v>
      </c>
      <c r="F65" s="519"/>
      <c r="G65" s="519"/>
      <c r="H65" s="519"/>
      <c r="I65" s="519"/>
      <c r="J65" s="519"/>
      <c r="K65" s="519"/>
      <c r="L65" s="519"/>
      <c r="M65" s="519"/>
    </row>
    <row r="66" spans="1:13">
      <c r="A66" s="91"/>
      <c r="B66" s="550" t="str">
        <f t="shared" ref="B66:B67" si="30">B15</f>
        <v>10G EPON ONUs</v>
      </c>
      <c r="C66" s="516">
        <v>4.0687499999999996</v>
      </c>
      <c r="D66" s="517">
        <v>7.7</v>
      </c>
      <c r="E66" s="517">
        <v>14</v>
      </c>
      <c r="F66" s="517"/>
      <c r="G66" s="517"/>
      <c r="H66" s="517"/>
      <c r="I66" s="517"/>
      <c r="J66" s="517"/>
      <c r="K66" s="517"/>
      <c r="L66" s="517"/>
      <c r="M66" s="517"/>
    </row>
    <row r="67" spans="1:13">
      <c r="A67" s="91"/>
      <c r="B67" s="551" t="str">
        <f t="shared" si="30"/>
        <v>10G EPON OLTs</v>
      </c>
      <c r="C67" s="518">
        <v>2.3970842464044004</v>
      </c>
      <c r="D67" s="519">
        <v>3.5308357093452849</v>
      </c>
      <c r="E67" s="519">
        <v>5.4710330108685028</v>
      </c>
      <c r="F67" s="519"/>
      <c r="G67" s="519"/>
      <c r="H67" s="519"/>
      <c r="I67" s="519"/>
      <c r="J67" s="519"/>
      <c r="K67" s="519"/>
      <c r="L67" s="519"/>
      <c r="M67" s="519"/>
    </row>
    <row r="68" spans="1:13">
      <c r="A68" s="91"/>
      <c r="B68" s="295" t="str">
        <f t="shared" ref="B68:B80" si="31">B43</f>
        <v>XG-PON ONU transceiver (10G/1G or 2.5G)</v>
      </c>
      <c r="C68" s="514">
        <v>30.1</v>
      </c>
      <c r="D68" s="515">
        <v>77.848177021276598</v>
      </c>
      <c r="E68" s="515">
        <v>99.51</v>
      </c>
      <c r="F68" s="515"/>
      <c r="G68" s="515"/>
      <c r="H68" s="515"/>
      <c r="I68" s="515"/>
      <c r="J68" s="515"/>
      <c r="K68" s="515"/>
      <c r="L68" s="515"/>
      <c r="M68" s="515"/>
    </row>
    <row r="69" spans="1:13">
      <c r="A69" s="91"/>
      <c r="B69" s="295" t="str">
        <f t="shared" si="31"/>
        <v>XG-PON ONU BOSA (10G/1G or 2.5G)</v>
      </c>
      <c r="C69" s="516">
        <v>0</v>
      </c>
      <c r="D69" s="517">
        <v>0</v>
      </c>
      <c r="E69" s="517">
        <v>29.646252</v>
      </c>
      <c r="F69" s="517"/>
      <c r="G69" s="517"/>
      <c r="H69" s="517"/>
      <c r="I69" s="517"/>
      <c r="J69" s="517"/>
      <c r="K69" s="517"/>
      <c r="L69" s="517"/>
      <c r="M69" s="517"/>
    </row>
    <row r="70" spans="1:13">
      <c r="A70" s="91"/>
      <c r="B70" s="295" t="str">
        <f t="shared" si="31"/>
        <v>XGS-PON ONU transceiver (10G/10G)</v>
      </c>
      <c r="C70" s="516">
        <v>42.511600000000001</v>
      </c>
      <c r="D70" s="517">
        <v>24.978555574468082</v>
      </c>
      <c r="E70" s="517">
        <v>17.838265643617024</v>
      </c>
      <c r="F70" s="517"/>
      <c r="G70" s="517"/>
      <c r="H70" s="517"/>
      <c r="I70" s="517"/>
      <c r="J70" s="517"/>
      <c r="K70" s="517"/>
      <c r="L70" s="517"/>
      <c r="M70" s="517"/>
    </row>
    <row r="71" spans="1:13">
      <c r="A71" s="91"/>
      <c r="B71" s="295" t="str">
        <f t="shared" si="31"/>
        <v>XGS-PON ONU BOSA (10G/10G)</v>
      </c>
      <c r="C71" s="516">
        <v>0</v>
      </c>
      <c r="D71" s="517">
        <v>0</v>
      </c>
      <c r="E71" s="517">
        <v>12.5</v>
      </c>
      <c r="F71" s="517"/>
      <c r="G71" s="517"/>
      <c r="H71" s="517"/>
      <c r="I71" s="517"/>
      <c r="J71" s="517"/>
      <c r="K71" s="517"/>
      <c r="L71" s="517"/>
      <c r="M71" s="517"/>
    </row>
    <row r="72" spans="1:13">
      <c r="A72" s="91"/>
      <c r="B72" s="296" t="str">
        <f t="shared" si="31"/>
        <v>XG/XGS-PON OLTs (incl CombiPON)</v>
      </c>
      <c r="C72" s="518">
        <v>104.54958277626251</v>
      </c>
      <c r="D72" s="519">
        <v>138.05950971417079</v>
      </c>
      <c r="E72" s="519">
        <v>177.80020998848113</v>
      </c>
      <c r="F72" s="519"/>
      <c r="G72" s="519"/>
      <c r="H72" s="519"/>
      <c r="I72" s="519"/>
      <c r="J72" s="519"/>
      <c r="K72" s="519"/>
      <c r="L72" s="519"/>
      <c r="M72" s="519"/>
    </row>
    <row r="73" spans="1:13">
      <c r="A73" s="91"/>
      <c r="B73" s="295" t="str">
        <f t="shared" si="31"/>
        <v>NG-PON2 ONUs</v>
      </c>
      <c r="C73" s="514">
        <v>0.57499999999999996</v>
      </c>
      <c r="D73" s="515">
        <v>1.98</v>
      </c>
      <c r="E73" s="515">
        <v>37.125</v>
      </c>
      <c r="F73" s="515"/>
      <c r="G73" s="515"/>
      <c r="H73" s="515"/>
      <c r="I73" s="515"/>
      <c r="J73" s="515"/>
      <c r="K73" s="515"/>
      <c r="L73" s="515"/>
      <c r="M73" s="515"/>
    </row>
    <row r="74" spans="1:13">
      <c r="A74" s="91"/>
      <c r="B74" s="296" t="str">
        <f t="shared" si="31"/>
        <v>NG-PON2 OLTs</v>
      </c>
      <c r="C74" s="518">
        <v>0.20250000000000001</v>
      </c>
      <c r="D74" s="519">
        <v>0.78</v>
      </c>
      <c r="E74" s="519">
        <v>28.75</v>
      </c>
      <c r="F74" s="519"/>
      <c r="G74" s="519"/>
      <c r="H74" s="519"/>
      <c r="I74" s="519"/>
      <c r="J74" s="519"/>
      <c r="K74" s="519"/>
      <c r="L74" s="519"/>
      <c r="M74" s="519"/>
    </row>
    <row r="75" spans="1:13">
      <c r="A75" s="91"/>
      <c r="B75" s="295" t="str">
        <f t="shared" si="31"/>
        <v>25G PON ONUs</v>
      </c>
      <c r="C75" s="514">
        <v>0</v>
      </c>
      <c r="D75" s="515">
        <v>0</v>
      </c>
      <c r="E75" s="515">
        <v>0</v>
      </c>
      <c r="F75" s="515"/>
      <c r="G75" s="520"/>
      <c r="H75" s="515"/>
      <c r="I75" s="515"/>
      <c r="J75" s="515"/>
      <c r="K75" s="515"/>
      <c r="L75" s="515"/>
      <c r="M75" s="515"/>
    </row>
    <row r="76" spans="1:13">
      <c r="A76" s="91"/>
      <c r="B76" s="296" t="str">
        <f t="shared" si="31"/>
        <v>25G PON OLTs</v>
      </c>
      <c r="C76" s="518">
        <v>0</v>
      </c>
      <c r="D76" s="519">
        <v>0</v>
      </c>
      <c r="E76" s="519">
        <v>0</v>
      </c>
      <c r="F76" s="519"/>
      <c r="G76" s="521"/>
      <c r="H76" s="519"/>
      <c r="I76" s="519"/>
      <c r="J76" s="519"/>
      <c r="K76" s="519"/>
      <c r="L76" s="519"/>
      <c r="M76" s="519"/>
    </row>
    <row r="77" spans="1:13">
      <c r="A77" s="91"/>
      <c r="B77" s="295" t="str">
        <f t="shared" si="31"/>
        <v>50G PON ONUs</v>
      </c>
      <c r="C77" s="514">
        <v>0</v>
      </c>
      <c r="D77" s="515">
        <v>0</v>
      </c>
      <c r="E77" s="515">
        <v>0</v>
      </c>
      <c r="F77" s="515"/>
      <c r="G77" s="515"/>
      <c r="H77" s="515"/>
      <c r="I77" s="515"/>
      <c r="J77" s="515"/>
      <c r="K77" s="515"/>
      <c r="L77" s="515"/>
      <c r="M77" s="515"/>
    </row>
    <row r="78" spans="1:13">
      <c r="A78" s="91"/>
      <c r="B78" s="296" t="str">
        <f t="shared" si="31"/>
        <v>50G PON OLTs</v>
      </c>
      <c r="C78" s="518">
        <v>0</v>
      </c>
      <c r="D78" s="519">
        <v>0</v>
      </c>
      <c r="E78" s="519">
        <v>0</v>
      </c>
      <c r="F78" s="519"/>
      <c r="G78" s="519"/>
      <c r="H78" s="519"/>
      <c r="I78" s="519"/>
      <c r="J78" s="519"/>
      <c r="K78" s="519"/>
      <c r="L78" s="519"/>
      <c r="M78" s="519"/>
    </row>
    <row r="79" spans="1:13">
      <c r="A79" s="91"/>
      <c r="B79" s="295" t="str">
        <f t="shared" si="31"/>
        <v>placeholder</v>
      </c>
      <c r="C79" s="272">
        <f t="shared" ref="C79:E79" si="32">IF(C28=0,0,C28*C54/10^6)</f>
        <v>0</v>
      </c>
      <c r="D79" s="259">
        <f t="shared" si="32"/>
        <v>0</v>
      </c>
      <c r="E79" s="259">
        <f t="shared" si="32"/>
        <v>0</v>
      </c>
      <c r="F79" s="259"/>
      <c r="G79" s="259"/>
      <c r="H79" s="259"/>
      <c r="I79" s="259"/>
      <c r="J79" s="259"/>
      <c r="K79" s="259"/>
      <c r="L79" s="259"/>
      <c r="M79" s="259"/>
    </row>
    <row r="80" spans="1:13">
      <c r="A80" s="91"/>
      <c r="B80" s="296" t="str">
        <f t="shared" si="31"/>
        <v>placeholder</v>
      </c>
      <c r="C80" s="146">
        <f t="shared" ref="C80:E80" si="33">IF(C29=0,0,C29*C55/10^6)</f>
        <v>0</v>
      </c>
      <c r="D80" s="270">
        <f t="shared" si="33"/>
        <v>0</v>
      </c>
      <c r="E80" s="270">
        <f t="shared" si="33"/>
        <v>0</v>
      </c>
      <c r="F80" s="270"/>
      <c r="G80" s="270"/>
      <c r="H80" s="270"/>
      <c r="I80" s="270"/>
      <c r="J80" s="270"/>
      <c r="K80" s="270"/>
      <c r="L80" s="270"/>
      <c r="M80" s="270"/>
    </row>
    <row r="81" spans="1:13">
      <c r="A81" s="91"/>
      <c r="B81" s="301" t="s">
        <v>93</v>
      </c>
      <c r="C81" s="192">
        <f>SUM(C59:C80)</f>
        <v>641.86446407319875</v>
      </c>
      <c r="D81" s="192">
        <f t="shared" ref="D81:E81" si="34">SUM(D59:D80)</f>
        <v>581.80538191035816</v>
      </c>
      <c r="E81" s="192">
        <f t="shared" si="34"/>
        <v>602.5835112026466</v>
      </c>
      <c r="F81" s="192"/>
      <c r="G81" s="192"/>
      <c r="H81" s="192"/>
      <c r="I81" s="192"/>
      <c r="J81" s="192"/>
      <c r="K81" s="192"/>
      <c r="L81" s="192"/>
      <c r="M81" s="192"/>
    </row>
    <row r="82" spans="1:13">
      <c r="A82" s="3"/>
      <c r="C82" s="6">
        <v>-0.29984691606871361</v>
      </c>
      <c r="D82" s="6">
        <f t="shared" ref="D82:E82" si="35">IF(C81=0,"",D81/C81-1)</f>
        <v>-9.3569726203118431E-2</v>
      </c>
      <c r="E82" s="6">
        <f t="shared" si="35"/>
        <v>3.5713195405761677E-2</v>
      </c>
      <c r="F82" s="6"/>
      <c r="G82" s="6"/>
      <c r="H82" s="6"/>
      <c r="I82" s="6"/>
      <c r="J82" s="6"/>
      <c r="K82" s="6"/>
      <c r="L82" s="6"/>
      <c r="M82" s="6"/>
    </row>
    <row r="83" spans="1:13" ht="15.6">
      <c r="B83" s="405" t="s">
        <v>363</v>
      </c>
    </row>
    <row r="84" spans="1:13">
      <c r="B84" s="402" t="s">
        <v>362</v>
      </c>
      <c r="C84" s="403">
        <f t="shared" ref="C84:E84" si="36">+C59+C60+C62+C63+C64+C69+C70+C73+C79</f>
        <v>435.40467403636256</v>
      </c>
      <c r="D84" s="403">
        <f t="shared" si="36"/>
        <v>298.49393521556544</v>
      </c>
      <c r="E84" s="403">
        <f t="shared" si="36"/>
        <v>236.01223820329704</v>
      </c>
      <c r="F84" s="403"/>
      <c r="G84" s="403"/>
      <c r="H84" s="403"/>
      <c r="I84" s="403"/>
      <c r="J84" s="403"/>
      <c r="K84" s="403"/>
      <c r="L84" s="403"/>
      <c r="M84" s="403"/>
    </row>
    <row r="85" spans="1:13">
      <c r="B85" s="400" t="s">
        <v>361</v>
      </c>
      <c r="C85" s="401">
        <f t="shared" ref="C85:E85" si="37">(+C8*2.5+C9*2.5+C12+C13+(C18+C19+C22)*10+C28*25)</f>
        <v>212041714.44240001</v>
      </c>
      <c r="D85" s="401">
        <f t="shared" si="37"/>
        <v>161273908.71588084</v>
      </c>
      <c r="E85" s="401">
        <f t="shared" si="37"/>
        <v>187419974.31175488</v>
      </c>
      <c r="F85" s="401"/>
      <c r="G85" s="401"/>
      <c r="H85" s="401"/>
      <c r="I85" s="401"/>
      <c r="J85" s="401"/>
      <c r="K85" s="401"/>
      <c r="L85" s="401"/>
      <c r="M85" s="401"/>
    </row>
    <row r="86" spans="1:13">
      <c r="B86" s="402" t="s">
        <v>358</v>
      </c>
      <c r="C86" s="435">
        <f t="shared" ref="C86:E86" si="38">C84*10^6/C85</f>
        <v>2.053391594108422</v>
      </c>
      <c r="D86" s="435">
        <f t="shared" si="38"/>
        <v>1.850850751942942</v>
      </c>
      <c r="E86" s="435">
        <f t="shared" si="38"/>
        <v>1.259269397885594</v>
      </c>
      <c r="F86" s="435"/>
      <c r="G86" s="435"/>
      <c r="H86" s="435"/>
      <c r="I86" s="435"/>
      <c r="J86" s="435"/>
      <c r="K86" s="435"/>
      <c r="L86" s="435"/>
      <c r="M86" s="435"/>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2:P40"/>
  <sheetViews>
    <sheetView showGridLines="0" zoomScale="70" zoomScaleNormal="70" zoomScalePageLayoutView="70" workbookViewId="0"/>
  </sheetViews>
  <sheetFormatPr defaultColWidth="9.21875" defaultRowHeight="13.2"/>
  <cols>
    <col min="1" max="1" width="4.44140625" customWidth="1"/>
    <col min="2" max="2" width="12.21875" customWidth="1"/>
    <col min="3" max="3" width="16.44140625" customWidth="1"/>
    <col min="4" max="4" width="27.44140625" customWidth="1"/>
    <col min="5" max="15" width="11.33203125" customWidth="1"/>
  </cols>
  <sheetData>
    <row r="2" spans="1:15" ht="17.399999999999999">
      <c r="B2" s="70" t="str">
        <f>Introduction!B2</f>
        <v xml:space="preserve">LightCounting Optical Components Market Forecast </v>
      </c>
    </row>
    <row r="3" spans="1:15" ht="15">
      <c r="B3" s="588" t="str">
        <f>Introduction!B3</f>
        <v>Published 31 October 2023 - Sample - for illustrative purposes only</v>
      </c>
      <c r="C3" s="267"/>
      <c r="D3" s="267"/>
    </row>
    <row r="4" spans="1:15" ht="15.6">
      <c r="B4" s="180" t="s">
        <v>426</v>
      </c>
    </row>
    <row r="6" spans="1:15" ht="15">
      <c r="A6" s="98"/>
      <c r="B6" s="186" t="s">
        <v>0</v>
      </c>
      <c r="I6" s="408"/>
    </row>
    <row r="7" spans="1:15">
      <c r="A7" s="92"/>
      <c r="B7" s="174" t="s">
        <v>66</v>
      </c>
      <c r="C7" s="174" t="s">
        <v>389</v>
      </c>
      <c r="D7" s="174" t="s">
        <v>96</v>
      </c>
      <c r="E7" s="127">
        <v>2018</v>
      </c>
      <c r="F7" s="127">
        <v>2019</v>
      </c>
      <c r="G7" s="127">
        <v>2020</v>
      </c>
      <c r="H7" s="127">
        <v>2021</v>
      </c>
      <c r="I7" s="127">
        <v>2022</v>
      </c>
      <c r="J7" s="127">
        <v>2023</v>
      </c>
      <c r="K7" s="127">
        <v>2024</v>
      </c>
      <c r="L7" s="127">
        <v>2025</v>
      </c>
      <c r="M7" s="127">
        <v>2026</v>
      </c>
      <c r="N7" s="127">
        <v>2027</v>
      </c>
      <c r="O7" s="127">
        <v>2028</v>
      </c>
    </row>
    <row r="8" spans="1:15" ht="14.55" customHeight="1">
      <c r="A8" s="2"/>
      <c r="B8" s="577" t="s">
        <v>105</v>
      </c>
      <c r="C8" s="431" t="s">
        <v>374</v>
      </c>
      <c r="D8" s="268" t="s">
        <v>15</v>
      </c>
      <c r="E8" s="268">
        <v>4256351</v>
      </c>
      <c r="F8" s="268">
        <v>2601008</v>
      </c>
      <c r="G8" s="268"/>
      <c r="H8" s="268"/>
      <c r="I8" s="268"/>
      <c r="J8" s="268"/>
      <c r="K8" s="268"/>
      <c r="L8" s="268"/>
      <c r="M8" s="268"/>
      <c r="N8" s="268"/>
      <c r="O8" s="268"/>
    </row>
    <row r="9" spans="1:15" ht="14.55" customHeight="1">
      <c r="A9" s="2"/>
      <c r="B9" s="578"/>
      <c r="C9" s="431" t="s">
        <v>366</v>
      </c>
      <c r="D9" s="268" t="s">
        <v>230</v>
      </c>
      <c r="E9" s="268">
        <v>1025400</v>
      </c>
      <c r="F9" s="268">
        <v>1254029</v>
      </c>
      <c r="G9" s="268"/>
      <c r="H9" s="268"/>
      <c r="I9" s="268"/>
      <c r="J9" s="268"/>
      <c r="K9" s="268"/>
      <c r="L9" s="268"/>
      <c r="M9" s="268"/>
      <c r="N9" s="268"/>
      <c r="O9" s="268"/>
    </row>
    <row r="10" spans="1:15" ht="14.55" customHeight="1">
      <c r="A10" s="2"/>
      <c r="B10" s="578"/>
      <c r="C10" s="431" t="s">
        <v>375</v>
      </c>
      <c r="D10" s="268" t="s">
        <v>196</v>
      </c>
      <c r="E10" s="268">
        <v>343161</v>
      </c>
      <c r="F10" s="268">
        <v>278729</v>
      </c>
      <c r="G10" s="268"/>
      <c r="H10" s="268"/>
      <c r="I10" s="268"/>
      <c r="J10" s="268"/>
      <c r="K10" s="268"/>
      <c r="L10" s="268"/>
      <c r="M10" s="268"/>
      <c r="N10" s="268"/>
      <c r="O10" s="268"/>
    </row>
    <row r="11" spans="1:15" ht="14.55" customHeight="1">
      <c r="A11" s="2"/>
      <c r="B11" s="578"/>
      <c r="C11" s="431" t="s">
        <v>256</v>
      </c>
      <c r="D11" s="268" t="s">
        <v>558</v>
      </c>
      <c r="E11" s="268">
        <v>273711</v>
      </c>
      <c r="F11" s="268">
        <v>458979</v>
      </c>
      <c r="G11" s="268"/>
      <c r="H11" s="268"/>
      <c r="I11" s="268"/>
      <c r="J11" s="268"/>
      <c r="K11" s="268"/>
      <c r="L11" s="268"/>
      <c r="M11" s="268"/>
      <c r="N11" s="268"/>
      <c r="O11" s="268"/>
    </row>
    <row r="12" spans="1:15" ht="14.55" customHeight="1">
      <c r="A12" s="2"/>
      <c r="B12" s="578"/>
      <c r="C12" s="431" t="s">
        <v>257</v>
      </c>
      <c r="D12" s="268" t="s">
        <v>501</v>
      </c>
      <c r="E12" s="268">
        <v>0</v>
      </c>
      <c r="F12" s="268">
        <v>96624</v>
      </c>
      <c r="G12" s="268"/>
      <c r="H12" s="268"/>
      <c r="I12" s="268"/>
      <c r="J12" s="268"/>
      <c r="K12" s="268"/>
      <c r="L12" s="268"/>
      <c r="M12" s="268"/>
      <c r="N12" s="268"/>
      <c r="O12" s="268"/>
    </row>
    <row r="13" spans="1:15" ht="16.5" customHeight="1">
      <c r="A13" s="2"/>
      <c r="B13" s="578"/>
      <c r="C13" s="431" t="s">
        <v>529</v>
      </c>
      <c r="D13" s="268" t="s">
        <v>559</v>
      </c>
      <c r="E13" s="268">
        <v>0</v>
      </c>
      <c r="F13" s="268">
        <v>30994</v>
      </c>
      <c r="G13" s="268"/>
      <c r="H13" s="268"/>
      <c r="I13" s="268"/>
      <c r="J13" s="268"/>
      <c r="K13" s="268"/>
      <c r="L13" s="268"/>
      <c r="M13" s="268"/>
      <c r="N13" s="268"/>
      <c r="O13" s="268"/>
    </row>
    <row r="14" spans="1:15" ht="16.5" customHeight="1">
      <c r="A14" s="2"/>
      <c r="B14" s="578"/>
      <c r="C14" s="558" t="s">
        <v>528</v>
      </c>
      <c r="D14" s="268" t="s">
        <v>560</v>
      </c>
      <c r="E14" s="268">
        <v>0</v>
      </c>
      <c r="F14" s="268">
        <v>0</v>
      </c>
      <c r="G14" s="268"/>
      <c r="H14" s="268"/>
      <c r="I14" s="268"/>
      <c r="J14" s="268"/>
      <c r="K14" s="268"/>
      <c r="L14" s="268"/>
      <c r="M14" s="268"/>
      <c r="N14" s="268"/>
      <c r="O14" s="268"/>
    </row>
    <row r="15" spans="1:15" ht="13.5" customHeight="1">
      <c r="A15" s="2"/>
      <c r="B15" s="578"/>
      <c r="C15" s="431" t="s">
        <v>563</v>
      </c>
      <c r="D15" s="268" t="s">
        <v>561</v>
      </c>
      <c r="E15" s="268">
        <v>182331</v>
      </c>
      <c r="F15" s="268">
        <v>219882</v>
      </c>
      <c r="G15" s="268"/>
      <c r="H15" s="268"/>
      <c r="I15" s="268"/>
      <c r="J15" s="268"/>
      <c r="K15" s="268"/>
      <c r="L15" s="268"/>
      <c r="M15" s="268"/>
      <c r="N15" s="268"/>
      <c r="O15" s="268"/>
    </row>
    <row r="16" spans="1:15">
      <c r="A16" s="2"/>
      <c r="B16" s="579"/>
      <c r="C16" s="242" t="s">
        <v>93</v>
      </c>
      <c r="D16" s="432" t="s">
        <v>23</v>
      </c>
      <c r="E16" s="106">
        <f t="shared" ref="E16:F16" si="0">SUM(E8:E15)</f>
        <v>6080954</v>
      </c>
      <c r="F16" s="106">
        <f t="shared" si="0"/>
        <v>4940245</v>
      </c>
      <c r="G16" s="106"/>
      <c r="H16" s="106"/>
      <c r="I16" s="106"/>
      <c r="J16" s="106"/>
      <c r="K16" s="106"/>
      <c r="L16" s="106"/>
      <c r="M16" s="106"/>
      <c r="N16" s="106"/>
      <c r="O16" s="106"/>
    </row>
    <row r="17" spans="1:15">
      <c r="E17" s="6">
        <v>0.479755713138875</v>
      </c>
      <c r="F17" s="6">
        <f t="shared" ref="F17" si="1">F16/E16-1</f>
        <v>-0.18758717793293622</v>
      </c>
      <c r="G17" s="6"/>
      <c r="H17" s="6"/>
      <c r="I17" s="6"/>
      <c r="J17" s="6"/>
      <c r="K17" s="6"/>
      <c r="L17" s="6"/>
      <c r="M17" s="6"/>
      <c r="N17" s="6"/>
      <c r="O17" s="6"/>
    </row>
    <row r="18" spans="1:15">
      <c r="A18" s="99"/>
      <c r="B18" s="182" t="s">
        <v>65</v>
      </c>
      <c r="E18" s="219"/>
      <c r="F18" s="219"/>
      <c r="G18" s="59"/>
      <c r="H18" s="59"/>
      <c r="I18" s="59"/>
      <c r="J18" s="59"/>
      <c r="K18" s="59"/>
      <c r="L18" s="59"/>
      <c r="M18" s="59"/>
      <c r="N18" s="59"/>
      <c r="O18" s="59"/>
    </row>
    <row r="19" spans="1:15">
      <c r="A19" s="92"/>
      <c r="B19" s="175" t="s">
        <v>66</v>
      </c>
      <c r="C19" s="174" t="str">
        <f t="shared" ref="C19:D26" si="2">C7</f>
        <v>Data Rate (aggregate)</v>
      </c>
      <c r="D19" s="174" t="str">
        <f t="shared" si="2"/>
        <v>Form factor</v>
      </c>
      <c r="E19" s="127">
        <v>2018</v>
      </c>
      <c r="F19" s="127">
        <v>2019</v>
      </c>
      <c r="G19" s="127">
        <v>2020</v>
      </c>
      <c r="H19" s="127">
        <v>2021</v>
      </c>
      <c r="I19" s="127">
        <v>2022</v>
      </c>
      <c r="J19" s="127">
        <v>2023</v>
      </c>
      <c r="K19" s="127">
        <f t="shared" ref="K19:O19" si="3">K7</f>
        <v>2024</v>
      </c>
      <c r="L19" s="127">
        <f t="shared" si="3"/>
        <v>2025</v>
      </c>
      <c r="M19" s="127">
        <f t="shared" si="3"/>
        <v>2026</v>
      </c>
      <c r="N19" s="127">
        <f t="shared" si="3"/>
        <v>2027</v>
      </c>
      <c r="O19" s="127">
        <f t="shared" si="3"/>
        <v>2028</v>
      </c>
    </row>
    <row r="20" spans="1:15" ht="14.55" customHeight="1">
      <c r="A20" s="2"/>
      <c r="B20" s="574" t="s">
        <v>105</v>
      </c>
      <c r="C20" s="431" t="str">
        <f t="shared" si="2"/>
        <v>10G</v>
      </c>
      <c r="D20" s="431" t="str">
        <f t="shared" si="2"/>
        <v>SFP+</v>
      </c>
      <c r="E20" s="269">
        <v>15.719284358832242</v>
      </c>
      <c r="F20" s="269">
        <v>13.173349697501893</v>
      </c>
      <c r="G20" s="269"/>
      <c r="H20" s="269"/>
      <c r="I20" s="269"/>
      <c r="J20" s="269"/>
      <c r="K20" s="269"/>
      <c r="L20" s="269"/>
      <c r="M20" s="269"/>
      <c r="N20" s="269"/>
      <c r="O20" s="269"/>
    </row>
    <row r="21" spans="1:15" ht="14.55" customHeight="1">
      <c r="A21" s="2"/>
      <c r="B21" s="575"/>
      <c r="C21" s="431" t="str">
        <f t="shared" si="2"/>
        <v>25G</v>
      </c>
      <c r="D21" s="431" t="str">
        <f t="shared" si="2"/>
        <v>SFP28</v>
      </c>
      <c r="E21" s="269">
        <v>50.723149990247705</v>
      </c>
      <c r="F21" s="269">
        <v>43.474157184562713</v>
      </c>
      <c r="G21" s="269"/>
      <c r="H21" s="269"/>
      <c r="I21" s="269"/>
      <c r="J21" s="269"/>
      <c r="K21" s="269"/>
      <c r="L21" s="269"/>
      <c r="M21" s="269"/>
      <c r="N21" s="269"/>
      <c r="O21" s="269"/>
    </row>
    <row r="22" spans="1:15" ht="14.55" customHeight="1">
      <c r="A22" s="2"/>
      <c r="B22" s="575"/>
      <c r="C22" s="431" t="str">
        <f t="shared" si="2"/>
        <v>40G</v>
      </c>
      <c r="D22" s="431" t="str">
        <f t="shared" si="2"/>
        <v>QSFP+</v>
      </c>
      <c r="E22" s="269">
        <v>97.358691917623474</v>
      </c>
      <c r="F22" s="269">
        <v>89.229451166630071</v>
      </c>
      <c r="G22" s="269"/>
      <c r="H22" s="269"/>
      <c r="I22" s="269"/>
      <c r="J22" s="269"/>
      <c r="K22" s="269"/>
      <c r="L22" s="269"/>
      <c r="M22" s="269"/>
      <c r="N22" s="269"/>
      <c r="O22" s="269"/>
    </row>
    <row r="23" spans="1:15" ht="14.55" customHeight="1">
      <c r="A23" s="2"/>
      <c r="B23" s="575"/>
      <c r="C23" s="431" t="str">
        <f t="shared" si="2"/>
        <v>100G</v>
      </c>
      <c r="D23" s="431" t="str">
        <f t="shared" si="2"/>
        <v>QSFP28, SFP-DD, SFP112</v>
      </c>
      <c r="E23" s="269">
        <v>164.58906848699985</v>
      </c>
      <c r="F23" s="269">
        <v>124.71723325032301</v>
      </c>
      <c r="G23" s="269"/>
      <c r="H23" s="269"/>
      <c r="I23" s="269"/>
      <c r="J23" s="269"/>
      <c r="K23" s="269"/>
      <c r="L23" s="269"/>
      <c r="M23" s="269"/>
      <c r="N23" s="269"/>
      <c r="O23" s="269"/>
    </row>
    <row r="24" spans="1:15" ht="14.55" customHeight="1">
      <c r="A24" s="2"/>
      <c r="B24" s="575"/>
      <c r="C24" s="431" t="str">
        <f t="shared" si="2"/>
        <v>200G</v>
      </c>
      <c r="D24" s="431" t="str">
        <f t="shared" si="2"/>
        <v>QSFP56</v>
      </c>
      <c r="E24" s="269" t="s">
        <v>562</v>
      </c>
      <c r="F24" s="269">
        <v>460.38924076833911</v>
      </c>
      <c r="G24" s="269"/>
      <c r="H24" s="269"/>
      <c r="I24" s="269"/>
      <c r="J24" s="269"/>
      <c r="K24" s="269"/>
      <c r="L24" s="269"/>
      <c r="M24" s="269"/>
      <c r="N24" s="269"/>
      <c r="O24" s="269"/>
    </row>
    <row r="25" spans="1:15" ht="14.25" customHeight="1">
      <c r="A25" s="2"/>
      <c r="B25" s="575"/>
      <c r="C25" s="431" t="str">
        <f t="shared" si="2"/>
        <v xml:space="preserve">400G </v>
      </c>
      <c r="D25" s="431" t="str">
        <f t="shared" si="2"/>
        <v>QSFP-DD, OSFP, QSFP112</v>
      </c>
      <c r="E25" s="269" t="s">
        <v>562</v>
      </c>
      <c r="F25" s="269">
        <v>779.89288249338586</v>
      </c>
      <c r="G25" s="269"/>
      <c r="H25" s="269"/>
      <c r="I25" s="269"/>
      <c r="J25" s="269"/>
      <c r="K25" s="269"/>
      <c r="L25" s="269"/>
      <c r="M25" s="269"/>
      <c r="N25" s="269"/>
      <c r="O25" s="269"/>
    </row>
    <row r="26" spans="1:15" ht="14.25" customHeight="1">
      <c r="A26" s="2"/>
      <c r="B26" s="575"/>
      <c r="C26" s="431" t="str">
        <f t="shared" si="2"/>
        <v>800G, 1.6T</v>
      </c>
      <c r="D26" s="431" t="str">
        <f t="shared" si="2"/>
        <v>QSFP-DD800, OSFP, OSFP-XD</v>
      </c>
      <c r="E26" s="269">
        <v>0</v>
      </c>
      <c r="F26" s="269" t="s">
        <v>562</v>
      </c>
      <c r="G26" s="269"/>
      <c r="H26" s="269"/>
      <c r="I26" s="269"/>
      <c r="J26" s="269"/>
      <c r="K26" s="269"/>
      <c r="L26" s="269"/>
      <c r="M26" s="269"/>
      <c r="N26" s="269"/>
      <c r="O26" s="269"/>
    </row>
    <row r="27" spans="1:15" ht="15.75" customHeight="1">
      <c r="A27" s="2"/>
      <c r="B27" s="576"/>
      <c r="C27" s="433" t="str">
        <f t="shared" ref="C27:D27" si="4">C15</f>
        <v>All Other</v>
      </c>
      <c r="D27" s="436" t="str">
        <f t="shared" si="4"/>
        <v>Mini-SAS HD, CXPx, QSFP, SFP56</v>
      </c>
      <c r="E27" s="454">
        <v>163.38860383876184</v>
      </c>
      <c r="F27" s="454">
        <v>653.0470233495048</v>
      </c>
      <c r="G27" s="454"/>
      <c r="H27" s="454"/>
      <c r="I27" s="454"/>
      <c r="J27" s="454"/>
      <c r="K27" s="454"/>
      <c r="L27" s="454"/>
      <c r="M27" s="454"/>
      <c r="N27" s="454"/>
      <c r="O27" s="454"/>
    </row>
    <row r="28" spans="1:15" ht="15.75" customHeight="1">
      <c r="A28" s="2"/>
      <c r="B28" s="172"/>
      <c r="C28" s="434"/>
      <c r="D28" s="434"/>
      <c r="E28" s="434"/>
      <c r="F28" s="434"/>
      <c r="G28" s="434"/>
      <c r="H28" s="434"/>
      <c r="I28" s="434"/>
      <c r="J28" s="434"/>
      <c r="K28" s="434"/>
      <c r="L28" s="434"/>
      <c r="M28" s="434"/>
      <c r="N28" s="434"/>
      <c r="O28" s="434"/>
    </row>
    <row r="29" spans="1:15" ht="12" customHeight="1">
      <c r="A29" s="2"/>
      <c r="B29" s="182" t="s">
        <v>1</v>
      </c>
      <c r="J29" s="133"/>
      <c r="K29" s="133"/>
      <c r="L29" s="133"/>
      <c r="M29" s="133"/>
      <c r="N29" s="133"/>
      <c r="O29" s="133"/>
    </row>
    <row r="30" spans="1:15">
      <c r="A30" s="2"/>
      <c r="B30" s="175" t="s">
        <v>66</v>
      </c>
      <c r="C30" s="174" t="str">
        <f t="shared" ref="C30:D37" si="5">C7</f>
        <v>Data Rate (aggregate)</v>
      </c>
      <c r="D30" s="174" t="str">
        <f t="shared" si="5"/>
        <v>Form factor</v>
      </c>
      <c r="E30" s="127">
        <v>2018</v>
      </c>
      <c r="F30" s="127">
        <v>2019</v>
      </c>
      <c r="G30" s="127">
        <v>2020</v>
      </c>
      <c r="H30" s="127">
        <v>2021</v>
      </c>
      <c r="I30" s="127">
        <v>2022</v>
      </c>
      <c r="J30" s="127">
        <v>2023</v>
      </c>
      <c r="K30" s="127">
        <f t="shared" ref="K30:O30" si="6">K7</f>
        <v>2024</v>
      </c>
      <c r="L30" s="127">
        <f t="shared" si="6"/>
        <v>2025</v>
      </c>
      <c r="M30" s="127">
        <f t="shared" si="6"/>
        <v>2026</v>
      </c>
      <c r="N30" s="127">
        <f t="shared" si="6"/>
        <v>2027</v>
      </c>
      <c r="O30" s="127">
        <f t="shared" si="6"/>
        <v>2028</v>
      </c>
    </row>
    <row r="31" spans="1:15" ht="14.55" customHeight="1">
      <c r="A31" s="2"/>
      <c r="B31" s="577" t="s">
        <v>105</v>
      </c>
      <c r="C31" s="431" t="str">
        <f t="shared" si="5"/>
        <v>10G</v>
      </c>
      <c r="D31" s="431" t="str">
        <f t="shared" si="5"/>
        <v>SFP+</v>
      </c>
      <c r="E31" s="43">
        <f t="shared" ref="E31:F31" si="7">E20*E8/10^6</f>
        <v>66.906791699999971</v>
      </c>
      <c r="F31" s="43">
        <f t="shared" si="7"/>
        <v>34.263987950000001</v>
      </c>
      <c r="G31" s="43"/>
      <c r="H31" s="43"/>
      <c r="I31" s="43"/>
      <c r="J31" s="43"/>
      <c r="K31" s="43"/>
      <c r="L31" s="43"/>
      <c r="M31" s="43"/>
      <c r="N31" s="43"/>
      <c r="O31" s="43"/>
    </row>
    <row r="32" spans="1:15" ht="14.55" customHeight="1">
      <c r="A32" s="2"/>
      <c r="B32" s="578"/>
      <c r="C32" s="431" t="str">
        <f t="shared" si="5"/>
        <v>25G</v>
      </c>
      <c r="D32" s="431" t="str">
        <f t="shared" si="5"/>
        <v>SFP28</v>
      </c>
      <c r="E32" s="43">
        <f t="shared" ref="E32:F32" si="8">E21*E9/10^6</f>
        <v>52.011518000000002</v>
      </c>
      <c r="F32" s="43">
        <f t="shared" si="8"/>
        <v>54.517853859999995</v>
      </c>
      <c r="G32" s="43"/>
      <c r="H32" s="43"/>
      <c r="I32" s="43"/>
      <c r="J32" s="43"/>
      <c r="K32" s="43"/>
      <c r="L32" s="43"/>
      <c r="M32" s="43"/>
      <c r="N32" s="43"/>
      <c r="O32" s="43"/>
    </row>
    <row r="33" spans="1:16" ht="14.55" customHeight="1">
      <c r="A33" s="2"/>
      <c r="B33" s="578"/>
      <c r="C33" s="431" t="str">
        <f t="shared" si="5"/>
        <v>40G</v>
      </c>
      <c r="D33" s="431" t="str">
        <f t="shared" si="5"/>
        <v>QSFP+</v>
      </c>
      <c r="E33" s="43">
        <f t="shared" ref="E33:F33" si="9">E22*E10/10^6</f>
        <v>33.409706077143589</v>
      </c>
      <c r="F33" s="43">
        <f t="shared" si="9"/>
        <v>24.870835694223633</v>
      </c>
      <c r="G33" s="43"/>
      <c r="H33" s="43"/>
      <c r="I33" s="43"/>
      <c r="J33" s="43"/>
      <c r="K33" s="43"/>
      <c r="L33" s="43"/>
      <c r="M33" s="43"/>
      <c r="N33" s="43"/>
      <c r="O33" s="43"/>
    </row>
    <row r="34" spans="1:16" ht="14.55" customHeight="1">
      <c r="A34" s="2"/>
      <c r="B34" s="578"/>
      <c r="C34" s="431" t="str">
        <f t="shared" si="5"/>
        <v>100G</v>
      </c>
      <c r="D34" s="431" t="str">
        <f t="shared" si="5"/>
        <v>QSFP28, SFP-DD, SFP112</v>
      </c>
      <c r="E34" s="43">
        <f t="shared" ref="E34:F34" si="10">E23*E11/10^6</f>
        <v>45.049838524645217</v>
      </c>
      <c r="F34" s="43">
        <f t="shared" si="10"/>
        <v>57.242590999999997</v>
      </c>
      <c r="G34" s="43"/>
      <c r="H34" s="43"/>
      <c r="I34" s="43"/>
      <c r="J34" s="43"/>
      <c r="K34" s="43"/>
      <c r="L34" s="43"/>
      <c r="M34" s="43"/>
      <c r="N34" s="43"/>
      <c r="O34" s="43"/>
    </row>
    <row r="35" spans="1:16" ht="14.55" customHeight="1">
      <c r="A35" s="2"/>
      <c r="B35" s="578"/>
      <c r="C35" s="431" t="str">
        <f t="shared" si="5"/>
        <v>200G</v>
      </c>
      <c r="D35" s="431" t="str">
        <f t="shared" si="5"/>
        <v>QSFP56</v>
      </c>
      <c r="E35" s="43"/>
      <c r="F35" s="43">
        <f t="shared" ref="F35" si="11">F24*F12/10^6</f>
        <v>44.484650000000002</v>
      </c>
      <c r="G35" s="43"/>
      <c r="H35" s="43"/>
      <c r="I35" s="43"/>
      <c r="J35" s="43"/>
      <c r="K35" s="43"/>
      <c r="L35" s="43"/>
      <c r="M35" s="43"/>
      <c r="N35" s="43"/>
      <c r="O35" s="43"/>
    </row>
    <row r="36" spans="1:16" ht="12.75" customHeight="1">
      <c r="A36" s="2"/>
      <c r="B36" s="578"/>
      <c r="C36" s="431" t="str">
        <f t="shared" si="5"/>
        <v xml:space="preserve">400G </v>
      </c>
      <c r="D36" s="431" t="str">
        <f t="shared" si="5"/>
        <v>QSFP-DD, OSFP, QSFP112</v>
      </c>
      <c r="E36" s="43"/>
      <c r="F36" s="43">
        <f t="shared" ref="F36" si="12">F25*F13/10^6</f>
        <v>24.172000000000001</v>
      </c>
      <c r="G36" s="43"/>
      <c r="H36" s="43"/>
      <c r="I36" s="43"/>
      <c r="J36" s="43"/>
      <c r="K36" s="43"/>
      <c r="L36" s="43"/>
      <c r="M36" s="43"/>
      <c r="N36" s="43"/>
      <c r="O36" s="43"/>
    </row>
    <row r="37" spans="1:16" ht="12.75" customHeight="1">
      <c r="A37" s="2"/>
      <c r="B37" s="578"/>
      <c r="C37" s="431" t="str">
        <f t="shared" si="5"/>
        <v>800G, 1.6T</v>
      </c>
      <c r="D37" s="431" t="str">
        <f t="shared" si="5"/>
        <v>QSFP-DD800, OSFP, OSFP-XD</v>
      </c>
      <c r="E37" s="43"/>
      <c r="F37" s="43"/>
      <c r="G37" s="43"/>
      <c r="H37" s="43"/>
      <c r="I37" s="43"/>
      <c r="J37" s="43"/>
      <c r="K37" s="43"/>
      <c r="L37" s="43"/>
      <c r="M37" s="43"/>
      <c r="N37" s="43"/>
      <c r="O37" s="43"/>
    </row>
    <row r="38" spans="1:16" ht="12" customHeight="1">
      <c r="A38" s="2"/>
      <c r="B38" s="578"/>
      <c r="C38" s="431" t="str">
        <f t="shared" ref="C38:D38" si="13">C15</f>
        <v>All Other</v>
      </c>
      <c r="D38" s="436" t="str">
        <f t="shared" si="13"/>
        <v>Mini-SAS HD, CXPx, QSFP, SFP56</v>
      </c>
      <c r="E38" s="43">
        <f>E27*E15/10^6</f>
        <v>29.790807526525285</v>
      </c>
      <c r="F38" s="43">
        <f t="shared" ref="F38" si="14">F27*F15/10^6</f>
        <v>143.59328558813581</v>
      </c>
      <c r="G38" s="43"/>
      <c r="H38" s="43"/>
      <c r="I38" s="43"/>
      <c r="J38" s="43"/>
      <c r="K38" s="43"/>
      <c r="L38" s="43"/>
      <c r="M38" s="43"/>
      <c r="N38" s="43"/>
      <c r="O38" s="43"/>
    </row>
    <row r="39" spans="1:16">
      <c r="A39" s="2"/>
      <c r="B39" s="579"/>
      <c r="C39" s="242" t="s">
        <v>93</v>
      </c>
      <c r="D39" s="432" t="s">
        <v>23</v>
      </c>
      <c r="E39" s="215">
        <f t="shared" ref="E39:F39" si="15">SUM(E31:E38)</f>
        <v>227.1686618283141</v>
      </c>
      <c r="F39" s="215">
        <f t="shared" si="15"/>
        <v>383.14520409235945</v>
      </c>
      <c r="G39" s="215"/>
      <c r="H39" s="215"/>
      <c r="I39" s="215"/>
      <c r="J39" s="215"/>
      <c r="K39" s="215"/>
      <c r="L39" s="215"/>
      <c r="M39" s="215"/>
      <c r="N39" s="215"/>
      <c r="O39" s="215"/>
    </row>
    <row r="40" spans="1:16">
      <c r="A40" s="2"/>
      <c r="B40" s="97"/>
      <c r="C40" s="7"/>
      <c r="D40" s="7"/>
      <c r="E40" s="7"/>
      <c r="F40" s="7"/>
      <c r="G40" s="7"/>
      <c r="H40" s="7"/>
      <c r="I40" s="7"/>
      <c r="J40" s="7"/>
      <c r="K40" s="7"/>
      <c r="L40" s="7"/>
      <c r="M40" s="7"/>
      <c r="N40" s="7"/>
      <c r="O40" s="7"/>
      <c r="P40" s="7"/>
    </row>
  </sheetData>
  <mergeCells count="3">
    <mergeCell ref="B20:B27"/>
    <mergeCell ref="B8:B16"/>
    <mergeCell ref="B31:B3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Z168"/>
  <sheetViews>
    <sheetView showGridLines="0" showZeros="0" zoomScale="70" zoomScaleNormal="70" zoomScalePageLayoutView="70" workbookViewId="0"/>
  </sheetViews>
  <sheetFormatPr defaultColWidth="8.44140625" defaultRowHeight="13.2"/>
  <cols>
    <col min="1" max="1" width="4.44140625" customWidth="1"/>
    <col min="2" max="2" width="12.21875" customWidth="1"/>
    <col min="3" max="4" width="13.21875" customWidth="1"/>
    <col min="5" max="13" width="13.44140625" customWidth="1"/>
    <col min="14" max="14" width="9.44140625" customWidth="1"/>
    <col min="15" max="15" width="16.44140625" customWidth="1"/>
    <col min="16" max="26" width="14.44140625" customWidth="1"/>
  </cols>
  <sheetData>
    <row r="2" spans="2:13" ht="17.399999999999999">
      <c r="B2" s="247" t="str">
        <f>Introduction!B2</f>
        <v xml:space="preserve">LightCounting Optical Components Market Forecast </v>
      </c>
    </row>
    <row r="3" spans="2:13" ht="15">
      <c r="B3" s="588" t="str">
        <f>Introduction!B3</f>
        <v>Published 31 October 2023 - Sample - for illustrative purposes only</v>
      </c>
    </row>
    <row r="4" spans="2:13" ht="15.6">
      <c r="B4" s="180" t="s">
        <v>201</v>
      </c>
    </row>
    <row r="5" spans="2:13" ht="15.6">
      <c r="B5" s="317" t="s">
        <v>185</v>
      </c>
      <c r="I5" s="180"/>
      <c r="J5" s="180"/>
      <c r="K5" s="180"/>
      <c r="L5" s="180"/>
      <c r="M5" s="180"/>
    </row>
    <row r="30" ht="14.25" customHeight="1"/>
    <row r="57" spans="2:26" ht="15.6">
      <c r="B57" s="77" t="s">
        <v>187</v>
      </c>
    </row>
    <row r="58" spans="2:26" ht="15.6">
      <c r="B58" s="225" t="s">
        <v>16</v>
      </c>
      <c r="O58" s="77" t="s">
        <v>177</v>
      </c>
    </row>
    <row r="59" spans="2:26">
      <c r="B59" s="226" t="s">
        <v>94</v>
      </c>
      <c r="C59" s="227">
        <v>2018</v>
      </c>
      <c r="D59" s="227">
        <v>2019</v>
      </c>
      <c r="E59" s="227">
        <v>2020</v>
      </c>
      <c r="F59" s="227">
        <v>2021</v>
      </c>
      <c r="G59" s="227">
        <v>2022</v>
      </c>
      <c r="H59" s="227">
        <v>2023</v>
      </c>
      <c r="I59" s="227">
        <v>2024</v>
      </c>
      <c r="J59" s="227">
        <v>2025</v>
      </c>
      <c r="K59" s="227">
        <v>2026</v>
      </c>
      <c r="L59" s="227">
        <v>2027</v>
      </c>
      <c r="M59" s="227">
        <v>2028</v>
      </c>
      <c r="O59" s="158" t="s">
        <v>94</v>
      </c>
      <c r="P59" s="103">
        <v>2018</v>
      </c>
      <c r="Q59" s="103">
        <v>2019</v>
      </c>
      <c r="R59" s="103">
        <v>2020</v>
      </c>
      <c r="S59" s="103">
        <v>2021</v>
      </c>
      <c r="T59" s="103">
        <v>2022</v>
      </c>
      <c r="U59" s="103">
        <v>2023</v>
      </c>
      <c r="V59" s="103">
        <v>2024</v>
      </c>
      <c r="W59" s="103">
        <v>2025</v>
      </c>
      <c r="X59" s="103">
        <v>2026</v>
      </c>
      <c r="Y59" s="103">
        <v>2027</v>
      </c>
      <c r="Z59" s="103">
        <v>2028</v>
      </c>
    </row>
    <row r="60" spans="2:26">
      <c r="B60" s="160" t="s">
        <v>373</v>
      </c>
      <c r="C60" s="232">
        <f>SUM(Ethernet!E8:E8)</f>
        <v>14338976</v>
      </c>
      <c r="D60" s="232">
        <f>SUM(Ethernet!F8:F8)</f>
        <v>12104234</v>
      </c>
      <c r="E60" s="232">
        <f>SUM(Ethernet!G8:G8)</f>
        <v>0</v>
      </c>
      <c r="F60" s="232">
        <f>SUM(Ethernet!H8:H8)</f>
        <v>0</v>
      </c>
      <c r="G60" s="232">
        <f>SUM(Ethernet!I8:I8)</f>
        <v>0</v>
      </c>
      <c r="H60" s="232">
        <f>SUM(Ethernet!J8:J8)</f>
        <v>0</v>
      </c>
      <c r="I60" s="232">
        <f>SUM(Ethernet!K8:K8)</f>
        <v>0</v>
      </c>
      <c r="J60" s="232">
        <f>SUM(Ethernet!L8:L8)</f>
        <v>0</v>
      </c>
      <c r="K60" s="232">
        <f>SUM(Ethernet!M8:M8)</f>
        <v>0</v>
      </c>
      <c r="L60" s="232">
        <f>SUM(Ethernet!N8:N8)</f>
        <v>0</v>
      </c>
      <c r="M60" s="232">
        <f>SUM(Ethernet!O8:O8)</f>
        <v>0</v>
      </c>
      <c r="O60" s="22" t="s">
        <v>178</v>
      </c>
      <c r="P60" s="232">
        <f>'Fibre Channel'!E8+'Fibre Channel'!E9</f>
        <v>1306622</v>
      </c>
      <c r="Q60" s="232">
        <f>'Fibre Channel'!F8+'Fibre Channel'!F9</f>
        <v>487662</v>
      </c>
      <c r="R60" s="232">
        <f>'Fibre Channel'!G8+'Fibre Channel'!G9</f>
        <v>0</v>
      </c>
      <c r="S60" s="232">
        <f>'Fibre Channel'!H8+'Fibre Channel'!H9</f>
        <v>0</v>
      </c>
      <c r="T60" s="232">
        <f>'Fibre Channel'!I8+'Fibre Channel'!I9</f>
        <v>0</v>
      </c>
      <c r="U60" s="232">
        <f>'Fibre Channel'!J8+'Fibre Channel'!J9</f>
        <v>0</v>
      </c>
      <c r="V60" s="232">
        <f>'Fibre Channel'!K8+'Fibre Channel'!K9</f>
        <v>0</v>
      </c>
      <c r="W60" s="232">
        <f>'Fibre Channel'!L8+'Fibre Channel'!L9</f>
        <v>0</v>
      </c>
      <c r="X60" s="232">
        <f>'Fibre Channel'!M8+'Fibre Channel'!M9</f>
        <v>0</v>
      </c>
      <c r="Y60" s="232">
        <f>'Fibre Channel'!N8+'Fibre Channel'!N9</f>
        <v>0</v>
      </c>
      <c r="Z60" s="232">
        <f>'Fibre Channel'!O8+'Fibre Channel'!O9</f>
        <v>0</v>
      </c>
    </row>
    <row r="61" spans="2:26">
      <c r="B61" s="160" t="s">
        <v>374</v>
      </c>
      <c r="C61" s="232">
        <f>SUM(Ethernet!E9)</f>
        <v>14084264</v>
      </c>
      <c r="D61" s="232">
        <f>SUM(Ethernet!F9)</f>
        <v>12626905.000000002</v>
      </c>
      <c r="E61" s="232">
        <f>SUM(Ethernet!G9)</f>
        <v>0</v>
      </c>
      <c r="F61" s="232">
        <f>SUM(Ethernet!H9)</f>
        <v>0</v>
      </c>
      <c r="G61" s="232">
        <f>SUM(Ethernet!I9)</f>
        <v>0</v>
      </c>
      <c r="H61" s="232">
        <f>SUM(Ethernet!J9)</f>
        <v>0</v>
      </c>
      <c r="I61" s="232">
        <f>SUM(Ethernet!K9)</f>
        <v>0</v>
      </c>
      <c r="J61" s="232">
        <f>SUM(Ethernet!L9)</f>
        <v>0</v>
      </c>
      <c r="K61" s="232">
        <f>SUM(Ethernet!M9)</f>
        <v>0</v>
      </c>
      <c r="L61" s="232">
        <f>SUM(Ethernet!N9)</f>
        <v>0</v>
      </c>
      <c r="M61" s="232">
        <f>SUM(Ethernet!O9)</f>
        <v>0</v>
      </c>
      <c r="O61" s="22" t="s">
        <v>179</v>
      </c>
      <c r="P61" s="232">
        <f>'Fibre Channel'!E10+'Fibre Channel'!E11</f>
        <v>5677250</v>
      </c>
      <c r="Q61" s="232">
        <f>'Fibre Channel'!F10+'Fibre Channel'!F11</f>
        <v>4999639.0999999996</v>
      </c>
      <c r="R61" s="232">
        <f>'Fibre Channel'!G10+'Fibre Channel'!G11</f>
        <v>0</v>
      </c>
      <c r="S61" s="232">
        <f>'Fibre Channel'!H10+'Fibre Channel'!H11</f>
        <v>0</v>
      </c>
      <c r="T61" s="232">
        <f>'Fibre Channel'!I10+'Fibre Channel'!I11</f>
        <v>0</v>
      </c>
      <c r="U61" s="232">
        <f>'Fibre Channel'!J10+'Fibre Channel'!J11</f>
        <v>0</v>
      </c>
      <c r="V61" s="232">
        <f>'Fibre Channel'!K10+'Fibre Channel'!K11</f>
        <v>0</v>
      </c>
      <c r="W61" s="232">
        <f>'Fibre Channel'!L10+'Fibre Channel'!L11</f>
        <v>0</v>
      </c>
      <c r="X61" s="232">
        <f>'Fibre Channel'!M10+'Fibre Channel'!M11</f>
        <v>0</v>
      </c>
      <c r="Y61" s="232">
        <f>'Fibre Channel'!N10+'Fibre Channel'!N11</f>
        <v>0</v>
      </c>
      <c r="Z61" s="232">
        <f>'Fibre Channel'!O10+'Fibre Channel'!O11</f>
        <v>0</v>
      </c>
    </row>
    <row r="62" spans="2:26">
      <c r="B62" s="160" t="s">
        <v>375</v>
      </c>
      <c r="C62" s="232">
        <f>SUM(Ethernet!E17:E18)</f>
        <v>2478518.7525500003</v>
      </c>
      <c r="D62" s="232">
        <f>SUM(Ethernet!F17:F18)</f>
        <v>1909449</v>
      </c>
      <c r="E62" s="232">
        <f>SUM(Ethernet!G17:G18)</f>
        <v>0</v>
      </c>
      <c r="F62" s="232">
        <f>SUM(Ethernet!H17:H18)</f>
        <v>0</v>
      </c>
      <c r="G62" s="232">
        <f>SUM(Ethernet!I17:I18)</f>
        <v>0</v>
      </c>
      <c r="H62" s="232">
        <f>SUM(Ethernet!J17:J18)</f>
        <v>0</v>
      </c>
      <c r="I62" s="232">
        <f>SUM(Ethernet!K17:K18)</f>
        <v>0</v>
      </c>
      <c r="J62" s="232">
        <f>SUM(Ethernet!L17:L18)</f>
        <v>0</v>
      </c>
      <c r="K62" s="232">
        <f>SUM(Ethernet!M17:M18)</f>
        <v>0</v>
      </c>
      <c r="L62" s="232">
        <f>SUM(Ethernet!N17:N18)</f>
        <v>0</v>
      </c>
      <c r="M62" s="232">
        <f>SUM(Ethernet!O17:O18)</f>
        <v>0</v>
      </c>
      <c r="O62" s="22" t="s">
        <v>180</v>
      </c>
      <c r="P62" s="232">
        <f>'Fibre Channel'!E12+'Fibre Channel'!E13</f>
        <v>854998</v>
      </c>
      <c r="Q62" s="232">
        <f>'Fibre Channel'!F12+'Fibre Channel'!F13</f>
        <v>2197133.4578942787</v>
      </c>
      <c r="R62" s="232">
        <f>'Fibre Channel'!G12+'Fibre Channel'!G13</f>
        <v>0</v>
      </c>
      <c r="S62" s="232">
        <f>'Fibre Channel'!H12+'Fibre Channel'!H13</f>
        <v>0</v>
      </c>
      <c r="T62" s="232">
        <f>'Fibre Channel'!I12+'Fibre Channel'!I13</f>
        <v>0</v>
      </c>
      <c r="U62" s="232">
        <f>'Fibre Channel'!J12+'Fibre Channel'!J13</f>
        <v>0</v>
      </c>
      <c r="V62" s="232">
        <f>'Fibre Channel'!K12+'Fibre Channel'!K13</f>
        <v>0</v>
      </c>
      <c r="W62" s="232">
        <f>'Fibre Channel'!L12+'Fibre Channel'!L13</f>
        <v>0</v>
      </c>
      <c r="X62" s="232">
        <f>'Fibre Channel'!M12+'Fibre Channel'!M13</f>
        <v>0</v>
      </c>
      <c r="Y62" s="232">
        <f>'Fibre Channel'!N12+'Fibre Channel'!N13</f>
        <v>0</v>
      </c>
      <c r="Z62" s="232">
        <f>'Fibre Channel'!O12+'Fibre Channel'!O13</f>
        <v>0</v>
      </c>
    </row>
    <row r="63" spans="2:26">
      <c r="B63" s="160" t="s">
        <v>256</v>
      </c>
      <c r="C63" s="232">
        <f>SUM(Ethernet!E26:E28)</f>
        <v>2597222</v>
      </c>
      <c r="D63" s="232">
        <f>SUM(Ethernet!F26:F28)</f>
        <v>3037507.8911414719</v>
      </c>
      <c r="E63" s="232">
        <f>SUM(Ethernet!G26:G28)</f>
        <v>0</v>
      </c>
      <c r="F63" s="232">
        <f>SUM(Ethernet!H26:H28)</f>
        <v>0</v>
      </c>
      <c r="G63" s="232">
        <f>SUM(Ethernet!I26:I28)</f>
        <v>0</v>
      </c>
      <c r="H63" s="232">
        <f>SUM(Ethernet!J26:J28)</f>
        <v>0</v>
      </c>
      <c r="I63" s="232">
        <f>SUM(Ethernet!K26:K28)</f>
        <v>0</v>
      </c>
      <c r="J63" s="232">
        <f>SUM(Ethernet!L26:L28)</f>
        <v>0</v>
      </c>
      <c r="K63" s="232">
        <f>SUM(Ethernet!M26:M28)</f>
        <v>0</v>
      </c>
      <c r="L63" s="232">
        <f>SUM(Ethernet!N26:N28)</f>
        <v>0</v>
      </c>
      <c r="M63" s="232">
        <f>SUM(Ethernet!O26:O28)</f>
        <v>0</v>
      </c>
      <c r="O63" s="22" t="s">
        <v>240</v>
      </c>
      <c r="P63" s="232">
        <f>'Fibre Channel'!E16</f>
        <v>0</v>
      </c>
      <c r="Q63" s="232">
        <f>'Fibre Channel'!F16</f>
        <v>0</v>
      </c>
      <c r="R63" s="232">
        <f>'Fibre Channel'!G16</f>
        <v>0</v>
      </c>
      <c r="S63" s="232">
        <f>'Fibre Channel'!H16</f>
        <v>0</v>
      </c>
      <c r="T63" s="232">
        <f>'Fibre Channel'!I16</f>
        <v>0</v>
      </c>
      <c r="U63" s="232">
        <f>'Fibre Channel'!J16</f>
        <v>0</v>
      </c>
      <c r="V63" s="232">
        <f>'Fibre Channel'!K16</f>
        <v>0</v>
      </c>
      <c r="W63" s="232">
        <f>'Fibre Channel'!L16</f>
        <v>0</v>
      </c>
      <c r="X63" s="232">
        <f>'Fibre Channel'!M16</f>
        <v>0</v>
      </c>
      <c r="Y63" s="232">
        <f>'Fibre Channel'!N16</f>
        <v>0</v>
      </c>
      <c r="Z63" s="232">
        <f>'Fibre Channel'!O16</f>
        <v>0</v>
      </c>
    </row>
    <row r="64" spans="2:26">
      <c r="B64" s="160" t="s">
        <v>257</v>
      </c>
      <c r="C64" s="232">
        <f>SUM(Ethernet!E33)</f>
        <v>500</v>
      </c>
      <c r="D64" s="232">
        <f>SUM(Ethernet!F33)</f>
        <v>5000</v>
      </c>
      <c r="E64" s="232">
        <f>SUM(Ethernet!G33)</f>
        <v>0</v>
      </c>
      <c r="F64" s="232">
        <f>SUM(Ethernet!H33)</f>
        <v>0</v>
      </c>
      <c r="G64" s="232">
        <f>SUM(Ethernet!I33)</f>
        <v>0</v>
      </c>
      <c r="H64" s="232">
        <f>SUM(Ethernet!J33)</f>
        <v>0</v>
      </c>
      <c r="I64" s="232">
        <f>SUM(Ethernet!K33)</f>
        <v>0</v>
      </c>
      <c r="J64" s="232">
        <f>SUM(Ethernet!L33)</f>
        <v>0</v>
      </c>
      <c r="K64" s="232">
        <f>SUM(Ethernet!M33)</f>
        <v>0</v>
      </c>
      <c r="L64" s="232">
        <f>SUM(Ethernet!N33)</f>
        <v>0</v>
      </c>
      <c r="M64" s="232">
        <f>SUM(Ethernet!O33)</f>
        <v>0</v>
      </c>
      <c r="O64" s="22" t="s">
        <v>241</v>
      </c>
      <c r="P64" s="232"/>
      <c r="Q64" s="232">
        <f>'Fibre Channel'!F17</f>
        <v>0</v>
      </c>
      <c r="R64" s="232">
        <f>'Fibre Channel'!G17</f>
        <v>0</v>
      </c>
      <c r="S64" s="232">
        <f>'Fibre Channel'!H17</f>
        <v>0</v>
      </c>
      <c r="T64" s="232">
        <f>'Fibre Channel'!I17</f>
        <v>0</v>
      </c>
      <c r="U64" s="232">
        <f>'Fibre Channel'!J17</f>
        <v>0</v>
      </c>
      <c r="V64" s="232">
        <f>'Fibre Channel'!K17</f>
        <v>0</v>
      </c>
      <c r="W64" s="232">
        <f>'Fibre Channel'!L17</f>
        <v>0</v>
      </c>
      <c r="X64" s="232">
        <f>'Fibre Channel'!M17</f>
        <v>0</v>
      </c>
      <c r="Y64" s="232">
        <f>'Fibre Channel'!N17</f>
        <v>0</v>
      </c>
      <c r="Z64" s="232">
        <f>'Fibre Channel'!O17</f>
        <v>0</v>
      </c>
    </row>
    <row r="65" spans="2:26">
      <c r="B65" s="160" t="s">
        <v>258</v>
      </c>
      <c r="C65" s="232">
        <f>SUM(Ethernet!E38:E40)</f>
        <v>25000</v>
      </c>
      <c r="D65" s="232">
        <f>SUM(Ethernet!F38:F40)</f>
        <v>89283</v>
      </c>
      <c r="E65" s="232">
        <f>SUM(Ethernet!G38:G40)</f>
        <v>0</v>
      </c>
      <c r="F65" s="232">
        <f>SUM(Ethernet!H38:H40)</f>
        <v>0</v>
      </c>
      <c r="G65" s="232">
        <f>SUM(Ethernet!I38:I40)</f>
        <v>0</v>
      </c>
      <c r="H65" s="232">
        <f>SUM(Ethernet!J38:J40)</f>
        <v>0</v>
      </c>
      <c r="I65" s="232">
        <f>SUM(Ethernet!K38:K40)</f>
        <v>0</v>
      </c>
      <c r="J65" s="232">
        <f>SUM(Ethernet!L38:L40)</f>
        <v>0</v>
      </c>
      <c r="K65" s="232">
        <f>SUM(Ethernet!M38:M40)</f>
        <v>0</v>
      </c>
      <c r="L65" s="232">
        <f>SUM(Ethernet!N38:N40)</f>
        <v>0</v>
      </c>
      <c r="M65" s="232">
        <f>SUM(Ethernet!O38:O40)</f>
        <v>0</v>
      </c>
      <c r="O65" s="22"/>
      <c r="P65" s="232"/>
      <c r="Q65" s="232"/>
      <c r="R65" s="232"/>
      <c r="S65" s="232"/>
      <c r="T65" s="232"/>
      <c r="U65" s="232"/>
      <c r="V65" s="232"/>
      <c r="W65" s="232"/>
      <c r="X65" s="232"/>
      <c r="Y65" s="232"/>
      <c r="Z65" s="232"/>
    </row>
    <row r="66" spans="2:26">
      <c r="B66" s="160" t="s">
        <v>412</v>
      </c>
      <c r="C66" s="232">
        <f>Ethernet!E45</f>
        <v>0</v>
      </c>
      <c r="D66" s="232">
        <f>Ethernet!F45</f>
        <v>0</v>
      </c>
      <c r="E66" s="232">
        <f>Ethernet!G45</f>
        <v>0</v>
      </c>
      <c r="F66" s="232">
        <f>Ethernet!H45</f>
        <v>0</v>
      </c>
      <c r="G66" s="232">
        <f>Ethernet!I45</f>
        <v>0</v>
      </c>
      <c r="H66" s="232">
        <f>Ethernet!J45</f>
        <v>0</v>
      </c>
      <c r="I66" s="232">
        <f>Ethernet!K45</f>
        <v>0</v>
      </c>
      <c r="J66" s="232">
        <f>Ethernet!L45</f>
        <v>0</v>
      </c>
      <c r="K66" s="232">
        <f>Ethernet!M45</f>
        <v>0</v>
      </c>
      <c r="L66" s="232">
        <f>Ethernet!N45</f>
        <v>0</v>
      </c>
      <c r="M66" s="232">
        <f>Ethernet!O45</f>
        <v>0</v>
      </c>
      <c r="O66" s="160" t="s">
        <v>93</v>
      </c>
      <c r="P66" s="112">
        <f t="shared" ref="P66:Z66" si="0">SUM(P60:P64)</f>
        <v>7838870</v>
      </c>
      <c r="Q66" s="112">
        <f t="shared" si="0"/>
        <v>7684434.5578942783</v>
      </c>
      <c r="R66" s="112">
        <f t="shared" si="0"/>
        <v>0</v>
      </c>
      <c r="S66" s="112">
        <f t="shared" si="0"/>
        <v>0</v>
      </c>
      <c r="T66" s="112">
        <f t="shared" si="0"/>
        <v>0</v>
      </c>
      <c r="U66" s="112">
        <f t="shared" si="0"/>
        <v>0</v>
      </c>
      <c r="V66" s="112">
        <f t="shared" si="0"/>
        <v>0</v>
      </c>
      <c r="W66" s="112">
        <f t="shared" si="0"/>
        <v>0</v>
      </c>
      <c r="X66" s="112">
        <f t="shared" si="0"/>
        <v>0</v>
      </c>
      <c r="Y66" s="112">
        <f t="shared" si="0"/>
        <v>0</v>
      </c>
      <c r="Z66" s="112">
        <f t="shared" si="0"/>
        <v>0</v>
      </c>
    </row>
    <row r="67" spans="2:26">
      <c r="B67" s="160" t="s">
        <v>93</v>
      </c>
      <c r="C67" s="112">
        <f t="shared" ref="C67:M67" si="1">SUM(C60:C65)</f>
        <v>33524480.752549998</v>
      </c>
      <c r="D67" s="112">
        <f t="shared" si="1"/>
        <v>29772378.891141471</v>
      </c>
      <c r="E67" s="112">
        <f t="shared" si="1"/>
        <v>0</v>
      </c>
      <c r="F67" s="112">
        <f t="shared" si="1"/>
        <v>0</v>
      </c>
      <c r="G67" s="112">
        <f t="shared" si="1"/>
        <v>0</v>
      </c>
      <c r="H67" s="112">
        <f t="shared" si="1"/>
        <v>0</v>
      </c>
      <c r="I67" s="112">
        <f t="shared" si="1"/>
        <v>0</v>
      </c>
      <c r="J67" s="112">
        <f t="shared" si="1"/>
        <v>0</v>
      </c>
      <c r="K67" s="112">
        <f t="shared" si="1"/>
        <v>0</v>
      </c>
      <c r="L67" s="112">
        <f t="shared" si="1"/>
        <v>0</v>
      </c>
      <c r="M67" s="112">
        <f t="shared" si="1"/>
        <v>0</v>
      </c>
    </row>
    <row r="69" spans="2:26">
      <c r="B69" s="225" t="s">
        <v>181</v>
      </c>
      <c r="O69" s="225" t="s">
        <v>181</v>
      </c>
    </row>
    <row r="70" spans="2:26">
      <c r="B70" s="225" t="s">
        <v>16</v>
      </c>
      <c r="O70" s="158" t="s">
        <v>94</v>
      </c>
      <c r="P70" s="103">
        <v>2018</v>
      </c>
      <c r="Q70" s="103">
        <v>2019</v>
      </c>
      <c r="R70" s="103">
        <v>2020</v>
      </c>
      <c r="S70" s="103">
        <v>2021</v>
      </c>
      <c r="T70" s="103">
        <v>2022</v>
      </c>
      <c r="U70" s="103">
        <v>2023</v>
      </c>
      <c r="V70" s="103">
        <v>2024</v>
      </c>
      <c r="W70" s="103">
        <v>2025</v>
      </c>
      <c r="X70" s="103">
        <v>2026</v>
      </c>
      <c r="Y70" s="103">
        <v>2027</v>
      </c>
      <c r="Z70" s="103">
        <v>2028</v>
      </c>
    </row>
    <row r="71" spans="2:26">
      <c r="B71" s="226" t="s">
        <v>94</v>
      </c>
      <c r="C71" s="227">
        <v>2018</v>
      </c>
      <c r="D71" s="227">
        <v>2019</v>
      </c>
      <c r="E71" s="227">
        <v>2020</v>
      </c>
      <c r="F71" s="227">
        <v>2021</v>
      </c>
      <c r="G71" s="227">
        <v>2022</v>
      </c>
      <c r="H71" s="227">
        <v>2023</v>
      </c>
      <c r="I71" s="227">
        <v>2024</v>
      </c>
      <c r="J71" s="227">
        <v>2025</v>
      </c>
      <c r="K71" s="227">
        <v>2026</v>
      </c>
      <c r="L71" s="227">
        <v>2027</v>
      </c>
      <c r="M71" s="227">
        <v>2028</v>
      </c>
      <c r="O71" s="22" t="s">
        <v>178</v>
      </c>
      <c r="P71" s="112">
        <f t="shared" ref="P71:Z71" si="2">P60*8</f>
        <v>10452976</v>
      </c>
      <c r="Q71" s="112">
        <f t="shared" si="2"/>
        <v>3901296</v>
      </c>
      <c r="R71" s="112">
        <f t="shared" si="2"/>
        <v>0</v>
      </c>
      <c r="S71" s="112">
        <f t="shared" si="2"/>
        <v>0</v>
      </c>
      <c r="T71" s="112">
        <f t="shared" si="2"/>
        <v>0</v>
      </c>
      <c r="U71" s="112">
        <f t="shared" si="2"/>
        <v>0</v>
      </c>
      <c r="V71" s="112">
        <f t="shared" si="2"/>
        <v>0</v>
      </c>
      <c r="W71" s="112">
        <f t="shared" si="2"/>
        <v>0</v>
      </c>
      <c r="X71" s="112">
        <f t="shared" si="2"/>
        <v>0</v>
      </c>
      <c r="Y71" s="112">
        <f t="shared" si="2"/>
        <v>0</v>
      </c>
      <c r="Z71" s="112">
        <f t="shared" si="2"/>
        <v>0</v>
      </c>
    </row>
    <row r="72" spans="2:26">
      <c r="B72" s="160" t="str">
        <f t="shared" ref="B72:B78" si="3">B60</f>
        <v>1G</v>
      </c>
      <c r="C72" s="112">
        <f t="shared" ref="C72:I72" si="4">C60</f>
        <v>14338976</v>
      </c>
      <c r="D72" s="112">
        <f t="shared" si="4"/>
        <v>12104234</v>
      </c>
      <c r="E72" s="112">
        <f t="shared" si="4"/>
        <v>0</v>
      </c>
      <c r="F72" s="112">
        <f t="shared" si="4"/>
        <v>0</v>
      </c>
      <c r="G72" s="112">
        <f t="shared" si="4"/>
        <v>0</v>
      </c>
      <c r="H72" s="112">
        <f t="shared" si="4"/>
        <v>0</v>
      </c>
      <c r="I72" s="112">
        <f t="shared" si="4"/>
        <v>0</v>
      </c>
      <c r="J72" s="112">
        <f t="shared" ref="J72:M72" si="5">J60</f>
        <v>0</v>
      </c>
      <c r="K72" s="112">
        <f t="shared" si="5"/>
        <v>0</v>
      </c>
      <c r="L72" s="112">
        <f t="shared" si="5"/>
        <v>0</v>
      </c>
      <c r="M72" s="112">
        <f t="shared" si="5"/>
        <v>0</v>
      </c>
      <c r="O72" s="22" t="s">
        <v>179</v>
      </c>
      <c r="P72" s="112">
        <f t="shared" ref="P72:Z72" si="6">P61*16</f>
        <v>90836000</v>
      </c>
      <c r="Q72" s="112">
        <f t="shared" si="6"/>
        <v>79994225.599999994</v>
      </c>
      <c r="R72" s="112">
        <f t="shared" si="6"/>
        <v>0</v>
      </c>
      <c r="S72" s="112">
        <f t="shared" si="6"/>
        <v>0</v>
      </c>
      <c r="T72" s="112">
        <f t="shared" si="6"/>
        <v>0</v>
      </c>
      <c r="U72" s="112">
        <f t="shared" si="6"/>
        <v>0</v>
      </c>
      <c r="V72" s="112">
        <f t="shared" si="6"/>
        <v>0</v>
      </c>
      <c r="W72" s="112">
        <f t="shared" si="6"/>
        <v>0</v>
      </c>
      <c r="X72" s="112">
        <f t="shared" si="6"/>
        <v>0</v>
      </c>
      <c r="Y72" s="112">
        <f t="shared" si="6"/>
        <v>0</v>
      </c>
      <c r="Z72" s="112">
        <f t="shared" si="6"/>
        <v>0</v>
      </c>
    </row>
    <row r="73" spans="2:26">
      <c r="B73" s="160" t="str">
        <f t="shared" si="3"/>
        <v>10G</v>
      </c>
      <c r="C73" s="112">
        <f t="shared" ref="C73:I73" si="7">C61*10</f>
        <v>140842640</v>
      </c>
      <c r="D73" s="112">
        <f t="shared" si="7"/>
        <v>126269050.00000001</v>
      </c>
      <c r="E73" s="112">
        <f t="shared" si="7"/>
        <v>0</v>
      </c>
      <c r="F73" s="112">
        <f t="shared" si="7"/>
        <v>0</v>
      </c>
      <c r="G73" s="112">
        <f t="shared" si="7"/>
        <v>0</v>
      </c>
      <c r="H73" s="112">
        <f t="shared" si="7"/>
        <v>0</v>
      </c>
      <c r="I73" s="112">
        <f t="shared" si="7"/>
        <v>0</v>
      </c>
      <c r="J73" s="112">
        <f t="shared" ref="J73:M73" si="8">J61*10</f>
        <v>0</v>
      </c>
      <c r="K73" s="112">
        <f t="shared" si="8"/>
        <v>0</v>
      </c>
      <c r="L73" s="112">
        <f t="shared" si="8"/>
        <v>0</v>
      </c>
      <c r="M73" s="112">
        <f t="shared" si="8"/>
        <v>0</v>
      </c>
      <c r="O73" s="22" t="s">
        <v>180</v>
      </c>
      <c r="P73" s="112">
        <f t="shared" ref="P73:Z73" si="9">P62*32</f>
        <v>27359936</v>
      </c>
      <c r="Q73" s="112">
        <f t="shared" si="9"/>
        <v>70308270.652616918</v>
      </c>
      <c r="R73" s="112">
        <f t="shared" si="9"/>
        <v>0</v>
      </c>
      <c r="S73" s="112">
        <f t="shared" si="9"/>
        <v>0</v>
      </c>
      <c r="T73" s="112">
        <f t="shared" si="9"/>
        <v>0</v>
      </c>
      <c r="U73" s="112">
        <f t="shared" si="9"/>
        <v>0</v>
      </c>
      <c r="V73" s="112">
        <f t="shared" si="9"/>
        <v>0</v>
      </c>
      <c r="W73" s="112">
        <f t="shared" si="9"/>
        <v>0</v>
      </c>
      <c r="X73" s="112">
        <f t="shared" si="9"/>
        <v>0</v>
      </c>
      <c r="Y73" s="112">
        <f t="shared" si="9"/>
        <v>0</v>
      </c>
      <c r="Z73" s="112">
        <f t="shared" si="9"/>
        <v>0</v>
      </c>
    </row>
    <row r="74" spans="2:26">
      <c r="B74" s="160" t="str">
        <f t="shared" si="3"/>
        <v>40G</v>
      </c>
      <c r="C74" s="112">
        <f t="shared" ref="C74:I74" si="10">C62*40</f>
        <v>99140750.102000013</v>
      </c>
      <c r="D74" s="112">
        <f t="shared" si="10"/>
        <v>76377960</v>
      </c>
      <c r="E74" s="112">
        <f t="shared" si="10"/>
        <v>0</v>
      </c>
      <c r="F74" s="112">
        <f t="shared" si="10"/>
        <v>0</v>
      </c>
      <c r="G74" s="112">
        <f t="shared" si="10"/>
        <v>0</v>
      </c>
      <c r="H74" s="112">
        <f t="shared" si="10"/>
        <v>0</v>
      </c>
      <c r="I74" s="112">
        <f t="shared" si="10"/>
        <v>0</v>
      </c>
      <c r="J74" s="112">
        <f>J62*40</f>
        <v>0</v>
      </c>
      <c r="K74" s="112">
        <f t="shared" ref="K74:M74" si="11">K62*40</f>
        <v>0</v>
      </c>
      <c r="L74" s="112">
        <f t="shared" si="11"/>
        <v>0</v>
      </c>
      <c r="M74" s="112">
        <f t="shared" si="11"/>
        <v>0</v>
      </c>
      <c r="O74" s="81" t="str">
        <f>O63</f>
        <v>64G short</v>
      </c>
      <c r="P74" s="112">
        <f t="shared" ref="P74:Z74" si="12">P63*64</f>
        <v>0</v>
      </c>
      <c r="Q74" s="112">
        <f t="shared" si="12"/>
        <v>0</v>
      </c>
      <c r="R74" s="112">
        <f t="shared" si="12"/>
        <v>0</v>
      </c>
      <c r="S74" s="112">
        <f t="shared" si="12"/>
        <v>0</v>
      </c>
      <c r="T74" s="112">
        <f t="shared" si="12"/>
        <v>0</v>
      </c>
      <c r="U74" s="112">
        <f t="shared" si="12"/>
        <v>0</v>
      </c>
      <c r="V74" s="112">
        <f t="shared" si="12"/>
        <v>0</v>
      </c>
      <c r="W74" s="112">
        <f t="shared" si="12"/>
        <v>0</v>
      </c>
      <c r="X74" s="112">
        <f t="shared" si="12"/>
        <v>0</v>
      </c>
      <c r="Y74" s="112">
        <f t="shared" si="12"/>
        <v>0</v>
      </c>
      <c r="Z74" s="112">
        <f t="shared" si="12"/>
        <v>0</v>
      </c>
    </row>
    <row r="75" spans="2:26">
      <c r="B75" s="160" t="str">
        <f t="shared" si="3"/>
        <v>100G</v>
      </c>
      <c r="C75" s="112">
        <f t="shared" ref="C75:I75" si="13">C63*100</f>
        <v>259722200</v>
      </c>
      <c r="D75" s="112">
        <f t="shared" si="13"/>
        <v>303750789.11414719</v>
      </c>
      <c r="E75" s="112">
        <f t="shared" si="13"/>
        <v>0</v>
      </c>
      <c r="F75" s="112">
        <f t="shared" si="13"/>
        <v>0</v>
      </c>
      <c r="G75" s="112">
        <f t="shared" si="13"/>
        <v>0</v>
      </c>
      <c r="H75" s="112">
        <f t="shared" si="13"/>
        <v>0</v>
      </c>
      <c r="I75" s="112">
        <f t="shared" si="13"/>
        <v>0</v>
      </c>
      <c r="J75" s="112">
        <f t="shared" ref="J75:M75" si="14">J63*100</f>
        <v>0</v>
      </c>
      <c r="K75" s="112">
        <f t="shared" si="14"/>
        <v>0</v>
      </c>
      <c r="L75" s="112">
        <f t="shared" si="14"/>
        <v>0</v>
      </c>
      <c r="M75" s="112">
        <f t="shared" si="14"/>
        <v>0</v>
      </c>
      <c r="O75" s="25" t="str">
        <f>O64</f>
        <v>64G long</v>
      </c>
      <c r="P75" s="112">
        <f t="shared" ref="P75:Z75" si="15">P64*64</f>
        <v>0</v>
      </c>
      <c r="Q75" s="112">
        <f t="shared" si="15"/>
        <v>0</v>
      </c>
      <c r="R75" s="112">
        <f t="shared" si="15"/>
        <v>0</v>
      </c>
      <c r="S75" s="112">
        <f t="shared" si="15"/>
        <v>0</v>
      </c>
      <c r="T75" s="112">
        <f t="shared" si="15"/>
        <v>0</v>
      </c>
      <c r="U75" s="112">
        <f t="shared" si="15"/>
        <v>0</v>
      </c>
      <c r="V75" s="112">
        <f t="shared" si="15"/>
        <v>0</v>
      </c>
      <c r="W75" s="112">
        <f t="shared" si="15"/>
        <v>0</v>
      </c>
      <c r="X75" s="112">
        <f t="shared" si="15"/>
        <v>0</v>
      </c>
      <c r="Y75" s="112">
        <f t="shared" si="15"/>
        <v>0</v>
      </c>
      <c r="Z75" s="112">
        <f t="shared" si="15"/>
        <v>0</v>
      </c>
    </row>
    <row r="76" spans="2:26">
      <c r="B76" s="160" t="str">
        <f t="shared" si="3"/>
        <v>200G</v>
      </c>
      <c r="C76" s="112">
        <f t="shared" ref="C76:I76" si="16">C64*200</f>
        <v>100000</v>
      </c>
      <c r="D76" s="112">
        <f t="shared" si="16"/>
        <v>1000000</v>
      </c>
      <c r="E76" s="112">
        <f t="shared" si="16"/>
        <v>0</v>
      </c>
      <c r="F76" s="112">
        <f t="shared" si="16"/>
        <v>0</v>
      </c>
      <c r="G76" s="112">
        <f t="shared" si="16"/>
        <v>0</v>
      </c>
      <c r="H76" s="112">
        <f t="shared" si="16"/>
        <v>0</v>
      </c>
      <c r="I76" s="112">
        <f t="shared" si="16"/>
        <v>0</v>
      </c>
      <c r="J76" s="112">
        <f t="shared" ref="J76:M76" si="17">J64*200</f>
        <v>0</v>
      </c>
      <c r="K76" s="112">
        <f t="shared" si="17"/>
        <v>0</v>
      </c>
      <c r="L76" s="112">
        <f t="shared" si="17"/>
        <v>0</v>
      </c>
      <c r="M76" s="112">
        <f t="shared" si="17"/>
        <v>0</v>
      </c>
      <c r="O76" s="160" t="s">
        <v>93</v>
      </c>
      <c r="P76" s="112">
        <f t="shared" ref="P76:Z76" si="18">SUM(P71:P75)</f>
        <v>128648912</v>
      </c>
      <c r="Q76" s="112">
        <f t="shared" si="18"/>
        <v>154203792.25261691</v>
      </c>
      <c r="R76" s="112">
        <f t="shared" si="18"/>
        <v>0</v>
      </c>
      <c r="S76" s="112">
        <f t="shared" si="18"/>
        <v>0</v>
      </c>
      <c r="T76" s="112">
        <f t="shared" si="18"/>
        <v>0</v>
      </c>
      <c r="U76" s="112">
        <f t="shared" si="18"/>
        <v>0</v>
      </c>
      <c r="V76" s="112">
        <f t="shared" si="18"/>
        <v>0</v>
      </c>
      <c r="W76" s="112">
        <f t="shared" si="18"/>
        <v>0</v>
      </c>
      <c r="X76" s="112">
        <f t="shared" si="18"/>
        <v>0</v>
      </c>
      <c r="Y76" s="112">
        <f t="shared" si="18"/>
        <v>0</v>
      </c>
      <c r="Z76" s="112">
        <f t="shared" si="18"/>
        <v>0</v>
      </c>
    </row>
    <row r="77" spans="2:26">
      <c r="B77" s="160" t="str">
        <f t="shared" si="3"/>
        <v>400G</v>
      </c>
      <c r="C77" s="112">
        <f t="shared" ref="C77:I77" si="19">C65*400</f>
        <v>10000000</v>
      </c>
      <c r="D77" s="112">
        <f t="shared" si="19"/>
        <v>35713200</v>
      </c>
      <c r="E77" s="112">
        <f t="shared" si="19"/>
        <v>0</v>
      </c>
      <c r="F77" s="112">
        <f t="shared" si="19"/>
        <v>0</v>
      </c>
      <c r="G77" s="112">
        <f t="shared" si="19"/>
        <v>0</v>
      </c>
      <c r="H77" s="112">
        <f t="shared" si="19"/>
        <v>0</v>
      </c>
      <c r="I77" s="112">
        <f t="shared" si="19"/>
        <v>0</v>
      </c>
      <c r="J77" s="112">
        <f t="shared" ref="J77:M77" si="20">J65*400</f>
        <v>0</v>
      </c>
      <c r="K77" s="112">
        <f t="shared" si="20"/>
        <v>0</v>
      </c>
      <c r="L77" s="112">
        <f t="shared" si="20"/>
        <v>0</v>
      </c>
      <c r="M77" s="112">
        <f t="shared" si="20"/>
        <v>0</v>
      </c>
    </row>
    <row r="78" spans="2:26">
      <c r="B78" s="160" t="str">
        <f t="shared" si="3"/>
        <v>800G</v>
      </c>
      <c r="C78" s="112">
        <f t="shared" ref="C78:M78" si="21">C66*800</f>
        <v>0</v>
      </c>
      <c r="D78" s="112">
        <f>D66*800</f>
        <v>0</v>
      </c>
      <c r="E78" s="112">
        <f t="shared" si="21"/>
        <v>0</v>
      </c>
      <c r="F78" s="112">
        <f t="shared" si="21"/>
        <v>0</v>
      </c>
      <c r="G78" s="112">
        <f t="shared" si="21"/>
        <v>0</v>
      </c>
      <c r="H78" s="112">
        <f t="shared" si="21"/>
        <v>0</v>
      </c>
      <c r="I78" s="112">
        <f t="shared" si="21"/>
        <v>0</v>
      </c>
      <c r="J78" s="112">
        <f t="shared" si="21"/>
        <v>0</v>
      </c>
      <c r="K78" s="112">
        <f t="shared" si="21"/>
        <v>0</v>
      </c>
      <c r="L78" s="112">
        <f t="shared" si="21"/>
        <v>0</v>
      </c>
      <c r="M78" s="112">
        <f t="shared" si="21"/>
        <v>0</v>
      </c>
      <c r="O78" s="16"/>
      <c r="P78" s="31"/>
      <c r="Q78" s="31"/>
      <c r="R78" s="31"/>
      <c r="S78" s="31"/>
      <c r="T78" s="31"/>
      <c r="U78" s="31"/>
      <c r="V78" s="31"/>
      <c r="W78" s="31"/>
      <c r="X78" s="31"/>
      <c r="Y78" s="31"/>
      <c r="Z78" s="31"/>
    </row>
    <row r="79" spans="2:26">
      <c r="B79" s="160" t="str">
        <f t="shared" ref="B79" si="22">B67</f>
        <v>Total</v>
      </c>
      <c r="C79" s="112">
        <f t="shared" ref="C79" si="23">SUM(C72:C78)</f>
        <v>524144566.102</v>
      </c>
      <c r="D79" s="112">
        <f>SUM(D72:D78)</f>
        <v>555215233.11414719</v>
      </c>
      <c r="E79" s="112">
        <f t="shared" ref="E79" si="24">SUM(E72:E78)</f>
        <v>0</v>
      </c>
      <c r="F79" s="112">
        <f t="shared" ref="F79" si="25">SUM(F72:F78)</f>
        <v>0</v>
      </c>
      <c r="G79" s="112">
        <f t="shared" ref="G79" si="26">SUM(G72:G78)</f>
        <v>0</v>
      </c>
      <c r="H79" s="112">
        <f t="shared" ref="H79" si="27">SUM(H72:H78)</f>
        <v>0</v>
      </c>
      <c r="I79" s="112">
        <f t="shared" ref="I79" si="28">SUM(I72:I78)</f>
        <v>0</v>
      </c>
      <c r="J79" s="112">
        <f t="shared" ref="J79" si="29">SUM(J72:J78)</f>
        <v>0</v>
      </c>
      <c r="K79" s="112">
        <f t="shared" ref="K79" si="30">SUM(K72:K78)</f>
        <v>0</v>
      </c>
      <c r="L79" s="112">
        <f t="shared" ref="L79" si="31">SUM(L72:L78)</f>
        <v>0</v>
      </c>
      <c r="M79" s="112">
        <f t="shared" ref="M79" si="32">SUM(M72:M78)</f>
        <v>0</v>
      </c>
    </row>
    <row r="80" spans="2:26">
      <c r="O80" s="225" t="s">
        <v>182</v>
      </c>
    </row>
    <row r="81" spans="2:26" ht="15.6">
      <c r="B81" s="77" t="s">
        <v>188</v>
      </c>
      <c r="O81" s="158" t="s">
        <v>94</v>
      </c>
      <c r="P81" s="103">
        <v>2018</v>
      </c>
      <c r="Q81" s="103">
        <v>2019</v>
      </c>
      <c r="R81" s="103">
        <v>2020</v>
      </c>
      <c r="S81" s="103">
        <v>2021</v>
      </c>
      <c r="T81" s="103">
        <v>2022</v>
      </c>
      <c r="U81" s="103">
        <v>2023</v>
      </c>
      <c r="V81" s="103">
        <v>2024</v>
      </c>
      <c r="W81" s="103">
        <v>2025</v>
      </c>
      <c r="X81" s="103">
        <v>2026</v>
      </c>
      <c r="Y81" s="103">
        <v>2027</v>
      </c>
      <c r="Z81" s="103">
        <v>2028</v>
      </c>
    </row>
    <row r="82" spans="2:26">
      <c r="B82" s="225" t="s">
        <v>16</v>
      </c>
      <c r="O82" s="22" t="s">
        <v>178</v>
      </c>
      <c r="P82" s="231">
        <f>SUM('Fibre Channel'!E35:E36)</f>
        <v>17.51289957000002</v>
      </c>
      <c r="Q82" s="231">
        <f>SUM('Fibre Channel'!F35:F36)</f>
        <v>7.0718429500000006</v>
      </c>
      <c r="R82" s="231">
        <f>SUM('Fibre Channel'!G35:G36)</f>
        <v>0</v>
      </c>
      <c r="S82" s="231">
        <f>SUM('Fibre Channel'!H35:H36)</f>
        <v>0</v>
      </c>
      <c r="T82" s="231">
        <f>SUM('Fibre Channel'!I35:I36)</f>
        <v>0</v>
      </c>
      <c r="U82" s="231">
        <f>SUM('Fibre Channel'!J35:J36)</f>
        <v>0</v>
      </c>
      <c r="V82" s="231">
        <f>SUM('Fibre Channel'!K35:K36)</f>
        <v>0</v>
      </c>
      <c r="W82" s="231">
        <f>SUM('Fibre Channel'!L35:L36)</f>
        <v>0</v>
      </c>
      <c r="X82" s="231">
        <f>SUM('Fibre Channel'!M35:M36)</f>
        <v>0</v>
      </c>
      <c r="Y82" s="231">
        <f>SUM('Fibre Channel'!N35:N36)</f>
        <v>0</v>
      </c>
      <c r="Z82" s="231">
        <f>SUM('Fibre Channel'!O35:O36)</f>
        <v>0</v>
      </c>
    </row>
    <row r="83" spans="2:26">
      <c r="B83" s="226" t="s">
        <v>94</v>
      </c>
      <c r="C83" s="227">
        <v>2018</v>
      </c>
      <c r="D83" s="227">
        <v>2019</v>
      </c>
      <c r="E83" s="227">
        <v>2020</v>
      </c>
      <c r="F83" s="227">
        <v>2021</v>
      </c>
      <c r="G83" s="227">
        <v>2022</v>
      </c>
      <c r="H83" s="227">
        <v>2023</v>
      </c>
      <c r="I83" s="227">
        <v>2024</v>
      </c>
      <c r="J83" s="227">
        <v>2025</v>
      </c>
      <c r="K83" s="227">
        <v>2026</v>
      </c>
      <c r="L83" s="227">
        <v>2027</v>
      </c>
      <c r="M83" s="227">
        <v>2028</v>
      </c>
      <c r="O83" s="22" t="s">
        <v>179</v>
      </c>
      <c r="P83" s="231">
        <f>SUM('Fibre Channel'!E37:E38)</f>
        <v>146.0096977200001</v>
      </c>
      <c r="Q83" s="231">
        <f>SUM('Fibre Channel'!F37:F38)</f>
        <v>135.03424759999996</v>
      </c>
      <c r="R83" s="231">
        <f>SUM('Fibre Channel'!G37:G38)</f>
        <v>0</v>
      </c>
      <c r="S83" s="231">
        <f>SUM('Fibre Channel'!H37:H38)</f>
        <v>0</v>
      </c>
      <c r="T83" s="231">
        <f>SUM('Fibre Channel'!I37:I38)</f>
        <v>0</v>
      </c>
      <c r="U83" s="231">
        <f>SUM('Fibre Channel'!J37:J38)</f>
        <v>0</v>
      </c>
      <c r="V83" s="231">
        <f>SUM('Fibre Channel'!K37:K38)</f>
        <v>0</v>
      </c>
      <c r="W83" s="231">
        <f>SUM('Fibre Channel'!L37:L38)</f>
        <v>0</v>
      </c>
      <c r="X83" s="231">
        <f>SUM('Fibre Channel'!M37:M38)</f>
        <v>0</v>
      </c>
      <c r="Y83" s="231">
        <f>SUM('Fibre Channel'!N37:N38)</f>
        <v>0</v>
      </c>
      <c r="Z83" s="231">
        <f>SUM('Fibre Channel'!O37:O38)</f>
        <v>0</v>
      </c>
    </row>
    <row r="84" spans="2:26">
      <c r="B84" s="160" t="str">
        <f t="shared" ref="B84:B90" si="33">B60</f>
        <v>1G</v>
      </c>
      <c r="C84" s="120">
        <f>SUM(Ethernet!E105:E105)</f>
        <v>131.91376511999999</v>
      </c>
      <c r="D84" s="120">
        <f>SUM(Ethernet!F105:F105)</f>
        <v>92.76085693919849</v>
      </c>
      <c r="E84" s="120">
        <f>SUM(Ethernet!G105:G105)</f>
        <v>0</v>
      </c>
      <c r="F84" s="120">
        <f>SUM(Ethernet!H105:H105)</f>
        <v>0</v>
      </c>
      <c r="G84" s="120">
        <f>SUM(Ethernet!I105:I105)</f>
        <v>0</v>
      </c>
      <c r="H84" s="120">
        <f>SUM(Ethernet!J105:J105)</f>
        <v>0</v>
      </c>
      <c r="I84" s="120">
        <f>SUM(Ethernet!K105:K105)</f>
        <v>0</v>
      </c>
      <c r="J84" s="120">
        <f>SUM(Ethernet!L105:L105)</f>
        <v>0</v>
      </c>
      <c r="K84" s="120">
        <f>SUM(Ethernet!M105:M105)</f>
        <v>0</v>
      </c>
      <c r="L84" s="120">
        <f>SUM(Ethernet!N105:N105)</f>
        <v>0</v>
      </c>
      <c r="M84" s="120">
        <f>SUM(Ethernet!O105:O105)</f>
        <v>0</v>
      </c>
      <c r="O84" s="22" t="s">
        <v>180</v>
      </c>
      <c r="P84" s="231">
        <f>SUM('Fibre Channel'!E39:E40)</f>
        <v>54.807980070000006</v>
      </c>
      <c r="Q84" s="231">
        <f>SUM('Fibre Channel'!F39:F40)</f>
        <v>128.45985998612647</v>
      </c>
      <c r="R84" s="231">
        <f>SUM('Fibre Channel'!G39:G40)</f>
        <v>0</v>
      </c>
      <c r="S84" s="231">
        <f>SUM('Fibre Channel'!H39:H40)</f>
        <v>0</v>
      </c>
      <c r="T84" s="231">
        <f>SUM('Fibre Channel'!I39:I40)</f>
        <v>0</v>
      </c>
      <c r="U84" s="231">
        <f>SUM('Fibre Channel'!J39:J40)</f>
        <v>0</v>
      </c>
      <c r="V84" s="231">
        <f>SUM('Fibre Channel'!K39:K40)</f>
        <v>0</v>
      </c>
      <c r="W84" s="231">
        <f>SUM('Fibre Channel'!L39:L40)</f>
        <v>0</v>
      </c>
      <c r="X84" s="231">
        <f>SUM('Fibre Channel'!M39:M40)</f>
        <v>0</v>
      </c>
      <c r="Y84" s="231">
        <f>SUM('Fibre Channel'!N39:N40)</f>
        <v>0</v>
      </c>
      <c r="Z84" s="231">
        <f>SUM('Fibre Channel'!O39:O40)</f>
        <v>0</v>
      </c>
    </row>
    <row r="85" spans="2:26">
      <c r="B85" s="160" t="str">
        <f t="shared" si="33"/>
        <v>10G</v>
      </c>
      <c r="C85" s="120">
        <f>SUM(Ethernet!E107:E108)</f>
        <v>248.13283241649114</v>
      </c>
      <c r="D85" s="120">
        <f>SUM(Ethernet!F107:F108)</f>
        <v>151.47921717012585</v>
      </c>
      <c r="E85" s="120">
        <f>SUM(Ethernet!G107:G108)</f>
        <v>0</v>
      </c>
      <c r="F85" s="120">
        <f>SUM(Ethernet!H107:H108)</f>
        <v>0</v>
      </c>
      <c r="G85" s="120">
        <f>SUM(Ethernet!I107:I108)</f>
        <v>0</v>
      </c>
      <c r="H85" s="120">
        <f>SUM(Ethernet!J107:J108)</f>
        <v>0</v>
      </c>
      <c r="I85" s="120">
        <f>SUM(Ethernet!K107:K108)</f>
        <v>0</v>
      </c>
      <c r="J85" s="120">
        <f>SUM(Ethernet!L107:L108)</f>
        <v>0</v>
      </c>
      <c r="K85" s="120">
        <f>SUM(Ethernet!M107:M108)</f>
        <v>0</v>
      </c>
      <c r="L85" s="120">
        <f>SUM(Ethernet!N107:N108)</f>
        <v>0</v>
      </c>
      <c r="M85" s="120">
        <f>SUM(Ethernet!O107:O108)</f>
        <v>0</v>
      </c>
      <c r="O85" s="81" t="str">
        <f>O63</f>
        <v>64G short</v>
      </c>
      <c r="P85" s="254">
        <f>'Fibre Channel'!E43</f>
        <v>0</v>
      </c>
      <c r="Q85" s="254">
        <f>'Fibre Channel'!F43</f>
        <v>0</v>
      </c>
      <c r="R85" s="254">
        <f>'Fibre Channel'!G43</f>
        <v>0</v>
      </c>
      <c r="S85" s="254">
        <f>'Fibre Channel'!H43</f>
        <v>0</v>
      </c>
      <c r="T85" s="254">
        <f>'Fibre Channel'!I43</f>
        <v>0</v>
      </c>
      <c r="U85" s="254">
        <f>'Fibre Channel'!J43</f>
        <v>0</v>
      </c>
      <c r="V85" s="254">
        <f>'Fibre Channel'!K43</f>
        <v>0</v>
      </c>
      <c r="W85" s="254">
        <f>'Fibre Channel'!L43</f>
        <v>0</v>
      </c>
      <c r="X85" s="254">
        <f>'Fibre Channel'!M43</f>
        <v>0</v>
      </c>
      <c r="Y85" s="254">
        <f>'Fibre Channel'!N43</f>
        <v>0</v>
      </c>
      <c r="Z85" s="254">
        <f>'Fibre Channel'!O43</f>
        <v>0</v>
      </c>
    </row>
    <row r="86" spans="2:26">
      <c r="B86" s="160" t="str">
        <f t="shared" si="33"/>
        <v>40G</v>
      </c>
      <c r="C86" s="120">
        <f>SUM(Ethernet!E114:E115)</f>
        <v>345.05654124751743</v>
      </c>
      <c r="D86" s="120">
        <f>SUM(Ethernet!F114:F115)</f>
        <v>261.37718421428565</v>
      </c>
      <c r="E86" s="120">
        <f>SUM(Ethernet!G114:G115)</f>
        <v>0</v>
      </c>
      <c r="F86" s="120">
        <f>SUM(Ethernet!H114:H115)</f>
        <v>0</v>
      </c>
      <c r="G86" s="120">
        <f>SUM(Ethernet!I114:I115)</f>
        <v>0</v>
      </c>
      <c r="H86" s="120">
        <f>SUM(Ethernet!J114:J115)</f>
        <v>0</v>
      </c>
      <c r="I86" s="120">
        <f>SUM(Ethernet!K114:K115)</f>
        <v>0</v>
      </c>
      <c r="J86" s="120">
        <f>SUM(Ethernet!L114:L115)</f>
        <v>0</v>
      </c>
      <c r="K86" s="120">
        <f>SUM(Ethernet!M114:M115)</f>
        <v>0</v>
      </c>
      <c r="L86" s="120">
        <f>SUM(Ethernet!N114:N115)</f>
        <v>0</v>
      </c>
      <c r="M86" s="120">
        <f>SUM(Ethernet!O114:O115)</f>
        <v>0</v>
      </c>
      <c r="O86" s="25" t="str">
        <f>O64</f>
        <v>64G long</v>
      </c>
      <c r="P86" s="254"/>
      <c r="Q86" s="254"/>
      <c r="R86" s="254">
        <f>'Fibre Channel'!G44</f>
        <v>0</v>
      </c>
      <c r="S86" s="254">
        <f>'Fibre Channel'!H44</f>
        <v>0</v>
      </c>
      <c r="T86" s="254">
        <f>'Fibre Channel'!I44</f>
        <v>0</v>
      </c>
      <c r="U86" s="254">
        <f>'Fibre Channel'!J44</f>
        <v>0</v>
      </c>
      <c r="V86" s="254">
        <f>'Fibre Channel'!K44</f>
        <v>0</v>
      </c>
      <c r="W86" s="254">
        <f>'Fibre Channel'!L44</f>
        <v>0</v>
      </c>
      <c r="X86" s="254">
        <f>'Fibre Channel'!M44</f>
        <v>0</v>
      </c>
      <c r="Y86" s="254">
        <f>'Fibre Channel'!N44</f>
        <v>0</v>
      </c>
      <c r="Z86" s="254">
        <f>'Fibre Channel'!O44</f>
        <v>0</v>
      </c>
    </row>
    <row r="87" spans="2:26">
      <c r="B87" s="160" t="str">
        <f t="shared" si="33"/>
        <v>100G</v>
      </c>
      <c r="C87" s="120">
        <f>SUM(Ethernet!E123:E124)</f>
        <v>348.63428054689399</v>
      </c>
      <c r="D87" s="120">
        <f>SUM(Ethernet!F123:F124)</f>
        <v>354.05279997760891</v>
      </c>
      <c r="E87" s="120">
        <f>SUM(Ethernet!G123:G124)</f>
        <v>0</v>
      </c>
      <c r="F87" s="120">
        <f>SUM(Ethernet!H123:H124)</f>
        <v>0</v>
      </c>
      <c r="G87" s="120">
        <f>SUM(Ethernet!I123:I124)</f>
        <v>0</v>
      </c>
      <c r="H87" s="120">
        <f>SUM(Ethernet!J123:J124)</f>
        <v>0</v>
      </c>
      <c r="I87" s="120">
        <f>SUM(Ethernet!K123:K124)</f>
        <v>0</v>
      </c>
      <c r="J87" s="120">
        <f>SUM(Ethernet!L123:L124)</f>
        <v>0</v>
      </c>
      <c r="K87" s="120">
        <f>SUM(Ethernet!M123:M124)</f>
        <v>0</v>
      </c>
      <c r="L87" s="120">
        <f>SUM(Ethernet!N123:N124)</f>
        <v>0</v>
      </c>
      <c r="M87" s="120">
        <f>SUM(Ethernet!O123:O124)</f>
        <v>0</v>
      </c>
      <c r="O87" s="160" t="s">
        <v>93</v>
      </c>
      <c r="P87" s="120">
        <f t="shared" ref="P87:Z87" si="34">SUM(P82:P86)</f>
        <v>218.33057736000015</v>
      </c>
      <c r="Q87" s="120">
        <f t="shared" si="34"/>
        <v>270.56595053612642</v>
      </c>
      <c r="R87" s="120">
        <f t="shared" si="34"/>
        <v>0</v>
      </c>
      <c r="S87" s="120">
        <f t="shared" si="34"/>
        <v>0</v>
      </c>
      <c r="T87" s="120">
        <f t="shared" si="34"/>
        <v>0</v>
      </c>
      <c r="U87" s="120">
        <f t="shared" si="34"/>
        <v>0</v>
      </c>
      <c r="V87" s="120">
        <f t="shared" si="34"/>
        <v>0</v>
      </c>
      <c r="W87" s="120">
        <f t="shared" si="34"/>
        <v>0</v>
      </c>
      <c r="X87" s="120">
        <f t="shared" si="34"/>
        <v>0</v>
      </c>
      <c r="Y87" s="120">
        <f t="shared" si="34"/>
        <v>0</v>
      </c>
      <c r="Z87" s="120">
        <f t="shared" si="34"/>
        <v>0</v>
      </c>
    </row>
    <row r="88" spans="2:26">
      <c r="B88" s="160" t="str">
        <f t="shared" si="33"/>
        <v>200G</v>
      </c>
      <c r="C88" s="120">
        <f>SUM(Ethernet!E130)</f>
        <v>0.35</v>
      </c>
      <c r="D88" s="120">
        <f>SUM(Ethernet!F130)</f>
        <v>3</v>
      </c>
      <c r="E88" s="120">
        <f>SUM(Ethernet!G130)</f>
        <v>0</v>
      </c>
      <c r="F88" s="120">
        <f>SUM(Ethernet!H130)</f>
        <v>0</v>
      </c>
      <c r="G88" s="120">
        <f>SUM(Ethernet!I130)</f>
        <v>0</v>
      </c>
      <c r="H88" s="120">
        <f>SUM(Ethernet!J130)</f>
        <v>0</v>
      </c>
      <c r="I88" s="120">
        <f>SUM(Ethernet!K130)</f>
        <v>0</v>
      </c>
      <c r="J88" s="120">
        <f>SUM(Ethernet!L130)</f>
        <v>0</v>
      </c>
      <c r="K88" s="120">
        <f>SUM(Ethernet!M130)</f>
        <v>0</v>
      </c>
      <c r="L88" s="120">
        <f>SUM(Ethernet!N130)</f>
        <v>0</v>
      </c>
      <c r="M88" s="120">
        <f>SUM(Ethernet!O130)</f>
        <v>0</v>
      </c>
    </row>
    <row r="89" spans="2:26">
      <c r="B89" s="160" t="str">
        <f t="shared" si="33"/>
        <v>400G</v>
      </c>
      <c r="C89" s="120">
        <f>SUM(Ethernet!E135:E137)</f>
        <v>17.012</v>
      </c>
      <c r="D89" s="120">
        <f>SUM(Ethernet!F135:F137)</f>
        <v>55.073893630000001</v>
      </c>
      <c r="E89" s="120">
        <f>SUM(Ethernet!G135:G137)</f>
        <v>0</v>
      </c>
      <c r="F89" s="120">
        <f>SUM(Ethernet!H135:H137)</f>
        <v>0</v>
      </c>
      <c r="G89" s="120">
        <f>SUM(Ethernet!I135:I137)</f>
        <v>0</v>
      </c>
      <c r="H89" s="120">
        <f>SUM(Ethernet!J135:J137)</f>
        <v>0</v>
      </c>
      <c r="I89" s="120">
        <f>SUM(Ethernet!K135:K137)</f>
        <v>0</v>
      </c>
      <c r="J89" s="120">
        <f>SUM(Ethernet!L135:L137)</f>
        <v>0</v>
      </c>
      <c r="K89" s="120">
        <f>SUM(Ethernet!M135:M137)</f>
        <v>0</v>
      </c>
      <c r="L89" s="120">
        <f>SUM(Ethernet!N135:N137)</f>
        <v>0</v>
      </c>
      <c r="M89" s="120">
        <f>SUM(Ethernet!O135:O137)</f>
        <v>0</v>
      </c>
    </row>
    <row r="90" spans="2:26">
      <c r="B90" s="160" t="str">
        <f t="shared" si="33"/>
        <v>800G</v>
      </c>
      <c r="C90" s="120"/>
      <c r="D90" s="120"/>
      <c r="E90" s="120"/>
      <c r="F90" s="120">
        <f>Ethernet!H142</f>
        <v>0</v>
      </c>
      <c r="G90" s="120">
        <f>Ethernet!I142</f>
        <v>0</v>
      </c>
      <c r="H90" s="120">
        <f>Ethernet!J142</f>
        <v>0</v>
      </c>
      <c r="I90" s="120">
        <f>Ethernet!K142</f>
        <v>0</v>
      </c>
      <c r="J90" s="120">
        <f>Ethernet!L142</f>
        <v>0</v>
      </c>
      <c r="K90" s="120">
        <f>Ethernet!M142</f>
        <v>0</v>
      </c>
      <c r="L90" s="120">
        <f>Ethernet!N142</f>
        <v>0</v>
      </c>
      <c r="M90" s="120">
        <f>Ethernet!O142</f>
        <v>0</v>
      </c>
    </row>
    <row r="91" spans="2:26" ht="12.75" customHeight="1">
      <c r="B91" s="160" t="str">
        <f t="shared" ref="B91" si="35">B67</f>
        <v>Total</v>
      </c>
      <c r="C91" s="112">
        <f t="shared" ref="C91:I91" si="36">SUM(C84:C89)</f>
        <v>1091.0994193309025</v>
      </c>
      <c r="D91" s="112">
        <f t="shared" si="36"/>
        <v>917.74395193121893</v>
      </c>
      <c r="E91" s="112">
        <f t="shared" si="36"/>
        <v>0</v>
      </c>
      <c r="F91" s="112">
        <f t="shared" si="36"/>
        <v>0</v>
      </c>
      <c r="G91" s="112">
        <f t="shared" si="36"/>
        <v>0</v>
      </c>
      <c r="H91" s="112">
        <f t="shared" si="36"/>
        <v>0</v>
      </c>
      <c r="I91" s="112">
        <f t="shared" si="36"/>
        <v>0</v>
      </c>
      <c r="J91" s="112">
        <f t="shared" ref="J91:M91" si="37">SUM(J84:J89)</f>
        <v>0</v>
      </c>
      <c r="K91" s="112">
        <f t="shared" si="37"/>
        <v>0</v>
      </c>
      <c r="L91" s="112">
        <f t="shared" si="37"/>
        <v>0</v>
      </c>
      <c r="M91" s="112">
        <f t="shared" si="37"/>
        <v>0</v>
      </c>
      <c r="O91" s="77" t="s">
        <v>184</v>
      </c>
    </row>
    <row r="92" spans="2:26">
      <c r="O92" s="158" t="s">
        <v>94</v>
      </c>
      <c r="P92" s="103">
        <v>2018</v>
      </c>
      <c r="Q92" s="103">
        <v>2019</v>
      </c>
      <c r="R92" s="103">
        <v>2020</v>
      </c>
      <c r="S92" s="103">
        <v>2021</v>
      </c>
      <c r="T92" s="103">
        <v>2022</v>
      </c>
      <c r="U92" s="103">
        <v>2023</v>
      </c>
      <c r="V92" s="103">
        <v>2024</v>
      </c>
      <c r="W92" s="103">
        <v>2025</v>
      </c>
      <c r="X92" s="103">
        <v>2026</v>
      </c>
      <c r="Y92" s="103">
        <v>2027</v>
      </c>
      <c r="Z92" s="103">
        <v>2028</v>
      </c>
    </row>
    <row r="93" spans="2:26" ht="15.6">
      <c r="B93" s="77" t="s">
        <v>183</v>
      </c>
      <c r="O93" s="22" t="s">
        <v>178</v>
      </c>
      <c r="P93" s="228">
        <f t="shared" ref="P93:Q96" si="38">IF(P60=0,,P82*10^6/P71)</f>
        <v>1.6753984291172217</v>
      </c>
      <c r="Q93" s="228">
        <f t="shared" si="38"/>
        <v>1.8126906930414919</v>
      </c>
      <c r="R93" s="228">
        <f t="shared" ref="R93:Z93" si="39">IF(R60=0,,R82*10^6/R71)</f>
        <v>0</v>
      </c>
      <c r="S93" s="228">
        <f t="shared" si="39"/>
        <v>0</v>
      </c>
      <c r="T93" s="228">
        <f>IF(T60=0,,T82*10^6/T71)</f>
        <v>0</v>
      </c>
      <c r="U93" s="228">
        <f t="shared" si="39"/>
        <v>0</v>
      </c>
      <c r="V93" s="228">
        <f>IF(V60=0,,V82*10^6/V71)</f>
        <v>0</v>
      </c>
      <c r="W93" s="228">
        <f t="shared" si="39"/>
        <v>0</v>
      </c>
      <c r="X93" s="228">
        <f t="shared" si="39"/>
        <v>0</v>
      </c>
      <c r="Y93" s="228">
        <f>IF(Y60=0,,Y82*10^6/Y71)</f>
        <v>0</v>
      </c>
      <c r="Z93" s="228">
        <f t="shared" si="39"/>
        <v>0</v>
      </c>
    </row>
    <row r="94" spans="2:26">
      <c r="B94" s="225" t="s">
        <v>16</v>
      </c>
      <c r="O94" s="22" t="s">
        <v>179</v>
      </c>
      <c r="P94" s="228">
        <f t="shared" si="38"/>
        <v>1.6073990237350844</v>
      </c>
      <c r="Q94" s="228">
        <f t="shared" si="38"/>
        <v>1.6880499384445566</v>
      </c>
      <c r="R94" s="228">
        <f t="shared" ref="R94:S97" si="40">IF(R61=0,,R83*10^6/R72)</f>
        <v>0</v>
      </c>
      <c r="S94" s="228">
        <f t="shared" si="40"/>
        <v>0</v>
      </c>
      <c r="T94" s="228">
        <f>IF(T61=0,,T83*10^6/T72)</f>
        <v>0</v>
      </c>
      <c r="U94" s="228">
        <f>IF(U61=0,,U83*10^6/U72)</f>
        <v>0</v>
      </c>
      <c r="V94" s="228">
        <f>IF(V61=0,,V83*10^6/V72)</f>
        <v>0</v>
      </c>
      <c r="W94" s="228">
        <f t="shared" ref="W94:X97" si="41">IF(W61=0,,W83*10^6/W72)</f>
        <v>0</v>
      </c>
      <c r="X94" s="228">
        <f t="shared" si="41"/>
        <v>0</v>
      </c>
      <c r="Y94" s="228">
        <f>IF(Y61=0,,Y83*10^6/Y72)</f>
        <v>0</v>
      </c>
      <c r="Z94" s="228">
        <f t="shared" ref="Z94:Z97" si="42">IF(Z61=0,,Z83*10^6/Z72)</f>
        <v>0</v>
      </c>
    </row>
    <row r="95" spans="2:26">
      <c r="B95" s="226" t="s">
        <v>94</v>
      </c>
      <c r="C95" s="227">
        <v>2018</v>
      </c>
      <c r="D95" s="227">
        <v>2019</v>
      </c>
      <c r="E95" s="227">
        <v>2020</v>
      </c>
      <c r="F95" s="227">
        <v>2021</v>
      </c>
      <c r="G95" s="227">
        <v>2022</v>
      </c>
      <c r="H95" s="227">
        <v>2023</v>
      </c>
      <c r="I95" s="227">
        <v>2024</v>
      </c>
      <c r="J95" s="227">
        <v>2025</v>
      </c>
      <c r="K95" s="227">
        <v>2026</v>
      </c>
      <c r="L95" s="227">
        <v>2027</v>
      </c>
      <c r="M95" s="227">
        <v>2028</v>
      </c>
      <c r="O95" s="22" t="s">
        <v>180</v>
      </c>
      <c r="P95" s="228">
        <f t="shared" si="38"/>
        <v>2.0032203317288464</v>
      </c>
      <c r="Q95" s="228">
        <f t="shared" si="38"/>
        <v>1.8270945764094841</v>
      </c>
      <c r="R95" s="228">
        <f t="shared" si="40"/>
        <v>0</v>
      </c>
      <c r="S95" s="228">
        <f t="shared" si="40"/>
        <v>0</v>
      </c>
      <c r="T95" s="228">
        <f>IF(T62=0,,T84*10^6/T73)</f>
        <v>0</v>
      </c>
      <c r="U95" s="228">
        <f>IF(U62=0,,U84*10^6/U73)</f>
        <v>0</v>
      </c>
      <c r="V95" s="228">
        <f>IF(V62=0,,V84*10^6/V73)</f>
        <v>0</v>
      </c>
      <c r="W95" s="228">
        <f t="shared" si="41"/>
        <v>0</v>
      </c>
      <c r="X95" s="228">
        <f t="shared" si="41"/>
        <v>0</v>
      </c>
      <c r="Y95" s="228">
        <f>IF(Y62=0,,Y84*10^6/Y73)</f>
        <v>0</v>
      </c>
      <c r="Z95" s="228">
        <f t="shared" si="42"/>
        <v>0</v>
      </c>
    </row>
    <row r="96" spans="2:26">
      <c r="B96" s="160" t="str">
        <f t="shared" ref="B96:B102" si="43">B60</f>
        <v>1G</v>
      </c>
      <c r="C96" s="228">
        <f t="shared" ref="C96:I96" si="44">IF(C60=0,,C84*10^6/C72)</f>
        <v>9.1996642661233263</v>
      </c>
      <c r="D96" s="228">
        <f t="shared" si="44"/>
        <v>7.6635049305225342</v>
      </c>
      <c r="E96" s="228">
        <f t="shared" si="44"/>
        <v>0</v>
      </c>
      <c r="F96" s="228">
        <f t="shared" si="44"/>
        <v>0</v>
      </c>
      <c r="G96" s="228">
        <f t="shared" si="44"/>
        <v>0</v>
      </c>
      <c r="H96" s="228">
        <f t="shared" si="44"/>
        <v>0</v>
      </c>
      <c r="I96" s="228">
        <f t="shared" si="44"/>
        <v>0</v>
      </c>
      <c r="J96" s="228">
        <f t="shared" ref="J96:M96" si="45">IF(J60=0,,J84*10^6/J72)</f>
        <v>0</v>
      </c>
      <c r="K96" s="228">
        <f t="shared" si="45"/>
        <v>0</v>
      </c>
      <c r="L96" s="228">
        <f t="shared" si="45"/>
        <v>0</v>
      </c>
      <c r="M96" s="228">
        <f t="shared" si="45"/>
        <v>0</v>
      </c>
      <c r="O96" s="81" t="str">
        <f>O63</f>
        <v>64G short</v>
      </c>
      <c r="P96" s="228">
        <f t="shared" si="38"/>
        <v>0</v>
      </c>
      <c r="Q96" s="228">
        <f t="shared" si="38"/>
        <v>0</v>
      </c>
      <c r="R96" s="228">
        <f t="shared" si="40"/>
        <v>0</v>
      </c>
      <c r="S96" s="228">
        <f t="shared" si="40"/>
        <v>0</v>
      </c>
      <c r="T96" s="228">
        <f>IF(T63=0,,T85*10^6/T74)</f>
        <v>0</v>
      </c>
      <c r="U96" s="228">
        <f>IF(U63=0,,U85*10^6/U74)</f>
        <v>0</v>
      </c>
      <c r="V96" s="228">
        <f>IF(V63=0,,V85*10^6/V74)</f>
        <v>0</v>
      </c>
      <c r="W96" s="228">
        <f t="shared" si="41"/>
        <v>0</v>
      </c>
      <c r="X96" s="228">
        <f t="shared" si="41"/>
        <v>0</v>
      </c>
      <c r="Y96" s="228">
        <f>IF(Y63=0,,Y85*10^6/Y74)</f>
        <v>0</v>
      </c>
      <c r="Z96" s="228">
        <f t="shared" si="42"/>
        <v>0</v>
      </c>
    </row>
    <row r="97" spans="2:26">
      <c r="B97" s="160" t="str">
        <f t="shared" si="43"/>
        <v>10G</v>
      </c>
      <c r="C97" s="228">
        <f t="shared" ref="C97:I97" si="46">IF(C61=0,,C85*10^6/C73)</f>
        <v>1.7617735113207986</v>
      </c>
      <c r="D97" s="228">
        <f t="shared" si="46"/>
        <v>1.1996543663718531</v>
      </c>
      <c r="E97" s="228">
        <f t="shared" si="46"/>
        <v>0</v>
      </c>
      <c r="F97" s="228">
        <f t="shared" si="46"/>
        <v>0</v>
      </c>
      <c r="G97" s="228">
        <f t="shared" si="46"/>
        <v>0</v>
      </c>
      <c r="H97" s="228">
        <f t="shared" si="46"/>
        <v>0</v>
      </c>
      <c r="I97" s="228">
        <f t="shared" si="46"/>
        <v>0</v>
      </c>
      <c r="J97" s="228">
        <f t="shared" ref="J97:M97" si="47">IF(J61=0,,J85*10^6/J73)</f>
        <v>0</v>
      </c>
      <c r="K97" s="228">
        <f t="shared" si="47"/>
        <v>0</v>
      </c>
      <c r="L97" s="228">
        <f t="shared" si="47"/>
        <v>0</v>
      </c>
      <c r="M97" s="228">
        <f t="shared" si="47"/>
        <v>0</v>
      </c>
      <c r="O97" s="25" t="str">
        <f>O64</f>
        <v>64G long</v>
      </c>
      <c r="P97" s="228"/>
      <c r="Q97" s="228"/>
      <c r="R97" s="228">
        <f t="shared" si="40"/>
        <v>0</v>
      </c>
      <c r="S97" s="228">
        <f t="shared" si="40"/>
        <v>0</v>
      </c>
      <c r="T97" s="228">
        <f>IF(T64=0,,T86*10^6/T75)</f>
        <v>0</v>
      </c>
      <c r="U97" s="228">
        <f>IF(U64=0,,U86*10^6/U75)</f>
        <v>0</v>
      </c>
      <c r="V97" s="228">
        <f>IF(V64=0,,V86*10^6/V75)</f>
        <v>0</v>
      </c>
      <c r="W97" s="228">
        <f t="shared" si="41"/>
        <v>0</v>
      </c>
      <c r="X97" s="228">
        <f t="shared" si="41"/>
        <v>0</v>
      </c>
      <c r="Y97" s="228">
        <f>IF(Y64=0,,Y86*10^6/Y75)</f>
        <v>0</v>
      </c>
      <c r="Z97" s="228">
        <f t="shared" si="42"/>
        <v>0</v>
      </c>
    </row>
    <row r="98" spans="2:26">
      <c r="B98" s="160" t="str">
        <f t="shared" si="43"/>
        <v>40G</v>
      </c>
      <c r="C98" s="228">
        <f t="shared" ref="C98:I98" si="48">IF(C62=0,,C86*10^6/C74)</f>
        <v>3.4804713590779701</v>
      </c>
      <c r="D98" s="228">
        <f t="shared" si="48"/>
        <v>3.4221545615290805</v>
      </c>
      <c r="E98" s="228">
        <f t="shared" si="48"/>
        <v>0</v>
      </c>
      <c r="F98" s="228">
        <f t="shared" si="48"/>
        <v>0</v>
      </c>
      <c r="G98" s="228">
        <f t="shared" si="48"/>
        <v>0</v>
      </c>
      <c r="H98" s="228">
        <f t="shared" si="48"/>
        <v>0</v>
      </c>
      <c r="I98" s="228">
        <f t="shared" si="48"/>
        <v>0</v>
      </c>
      <c r="J98" s="228">
        <f t="shared" ref="J98:M98" si="49">IF(J62=0,,J86*10^6/J74)</f>
        <v>0</v>
      </c>
      <c r="K98" s="228">
        <f t="shared" si="49"/>
        <v>0</v>
      </c>
      <c r="L98" s="228">
        <f t="shared" si="49"/>
        <v>0</v>
      </c>
      <c r="M98" s="228">
        <f t="shared" si="49"/>
        <v>0</v>
      </c>
    </row>
    <row r="99" spans="2:26">
      <c r="B99" s="160" t="str">
        <f t="shared" si="43"/>
        <v>100G</v>
      </c>
      <c r="C99" s="228">
        <f t="shared" ref="C99:I99" si="50">IF(C63=0,,C87*10^6/C75)</f>
        <v>1.3423353126798325</v>
      </c>
      <c r="D99" s="228">
        <f t="shared" si="50"/>
        <v>1.1656028977246826</v>
      </c>
      <c r="E99" s="228">
        <f t="shared" si="50"/>
        <v>0</v>
      </c>
      <c r="F99" s="228">
        <f t="shared" si="50"/>
        <v>0</v>
      </c>
      <c r="G99" s="228">
        <f t="shared" si="50"/>
        <v>0</v>
      </c>
      <c r="H99" s="228">
        <f t="shared" si="50"/>
        <v>0</v>
      </c>
      <c r="I99" s="228">
        <f t="shared" si="50"/>
        <v>0</v>
      </c>
      <c r="J99" s="228">
        <f t="shared" ref="J99:M99" si="51">IF(J63=0,,J87*10^6/J75)</f>
        <v>0</v>
      </c>
      <c r="K99" s="228">
        <f t="shared" si="51"/>
        <v>0</v>
      </c>
      <c r="L99" s="228">
        <f t="shared" si="51"/>
        <v>0</v>
      </c>
      <c r="M99" s="228">
        <f t="shared" si="51"/>
        <v>0</v>
      </c>
    </row>
    <row r="100" spans="2:26">
      <c r="B100" s="160" t="str">
        <f t="shared" si="43"/>
        <v>200G</v>
      </c>
      <c r="C100" s="228">
        <f t="shared" ref="C100:I100" si="52">IF(C64=0,,C88*10^6/C76)</f>
        <v>3.5</v>
      </c>
      <c r="D100" s="228">
        <f t="shared" si="52"/>
        <v>3</v>
      </c>
      <c r="E100" s="228">
        <f t="shared" si="52"/>
        <v>0</v>
      </c>
      <c r="F100" s="228">
        <f t="shared" si="52"/>
        <v>0</v>
      </c>
      <c r="G100" s="228">
        <f t="shared" si="52"/>
        <v>0</v>
      </c>
      <c r="H100" s="228">
        <f t="shared" si="52"/>
        <v>0</v>
      </c>
      <c r="I100" s="228">
        <f t="shared" si="52"/>
        <v>0</v>
      </c>
      <c r="J100" s="228">
        <f t="shared" ref="J100:M100" si="53">IF(J64=0,,J88*10^6/J76)</f>
        <v>0</v>
      </c>
      <c r="K100" s="228">
        <f t="shared" si="53"/>
        <v>0</v>
      </c>
      <c r="L100" s="228">
        <f t="shared" si="53"/>
        <v>0</v>
      </c>
      <c r="M100" s="228">
        <f t="shared" si="53"/>
        <v>0</v>
      </c>
    </row>
    <row r="101" spans="2:26">
      <c r="B101" s="160" t="str">
        <f t="shared" si="43"/>
        <v>400G</v>
      </c>
      <c r="C101" s="228">
        <f t="shared" ref="C101:I102" si="54">IF(C65=0,,C89*10^6/C77)</f>
        <v>1.7012</v>
      </c>
      <c r="D101" s="228">
        <f t="shared" si="54"/>
        <v>1.5421159019634199</v>
      </c>
      <c r="E101" s="228">
        <f t="shared" si="54"/>
        <v>0</v>
      </c>
      <c r="F101" s="228">
        <f t="shared" si="54"/>
        <v>0</v>
      </c>
      <c r="G101" s="228">
        <f t="shared" si="54"/>
        <v>0</v>
      </c>
      <c r="H101" s="228">
        <f t="shared" si="54"/>
        <v>0</v>
      </c>
      <c r="I101" s="228">
        <f t="shared" si="54"/>
        <v>0</v>
      </c>
      <c r="J101" s="228">
        <f t="shared" ref="J101:M102" si="55">IF(J65=0,,J89*10^6/J77)</f>
        <v>0</v>
      </c>
      <c r="K101" s="228">
        <f t="shared" si="55"/>
        <v>0</v>
      </c>
      <c r="L101" s="228">
        <f t="shared" si="55"/>
        <v>0</v>
      </c>
      <c r="M101" s="228">
        <f t="shared" si="55"/>
        <v>0</v>
      </c>
    </row>
    <row r="102" spans="2:26">
      <c r="B102" s="160" t="str">
        <f t="shared" si="43"/>
        <v>800G</v>
      </c>
      <c r="C102" s="228"/>
      <c r="D102" s="228"/>
      <c r="E102" s="228"/>
      <c r="F102" s="228">
        <f t="shared" si="54"/>
        <v>0</v>
      </c>
      <c r="G102" s="228">
        <f t="shared" si="54"/>
        <v>0</v>
      </c>
      <c r="H102" s="228">
        <f t="shared" si="54"/>
        <v>0</v>
      </c>
      <c r="I102" s="228">
        <f t="shared" si="54"/>
        <v>0</v>
      </c>
      <c r="J102" s="228">
        <f t="shared" si="55"/>
        <v>0</v>
      </c>
      <c r="K102" s="228">
        <f t="shared" si="55"/>
        <v>0</v>
      </c>
      <c r="L102" s="228">
        <f t="shared" si="55"/>
        <v>0</v>
      </c>
      <c r="M102" s="228">
        <f t="shared" si="55"/>
        <v>0</v>
      </c>
    </row>
    <row r="103" spans="2:26">
      <c r="B103" s="160" t="str">
        <f t="shared" ref="B103" si="56">B67</f>
        <v>Total</v>
      </c>
      <c r="C103" s="228">
        <f t="shared" ref="C103:I103" si="57">IF(C67=0,,C91*10^6/C79)</f>
        <v>2.081676487548612</v>
      </c>
      <c r="D103" s="228">
        <f t="shared" si="57"/>
        <v>1.6529516792680277</v>
      </c>
      <c r="E103" s="228">
        <f t="shared" si="57"/>
        <v>0</v>
      </c>
      <c r="F103" s="228">
        <f t="shared" si="57"/>
        <v>0</v>
      </c>
      <c r="G103" s="228">
        <f t="shared" si="57"/>
        <v>0</v>
      </c>
      <c r="H103" s="228">
        <f t="shared" si="57"/>
        <v>0</v>
      </c>
      <c r="I103" s="228">
        <f t="shared" si="57"/>
        <v>0</v>
      </c>
      <c r="J103" s="228">
        <f t="shared" ref="J103:M103" si="58">IF(J67=0,,J91*10^6/J79)</f>
        <v>0</v>
      </c>
      <c r="K103" s="228">
        <f t="shared" si="58"/>
        <v>0</v>
      </c>
      <c r="L103" s="228">
        <f t="shared" si="58"/>
        <v>0</v>
      </c>
      <c r="M103" s="228">
        <f t="shared" si="58"/>
        <v>0</v>
      </c>
    </row>
    <row r="104" spans="2:26">
      <c r="O104" s="133"/>
    </row>
    <row r="105" spans="2:26">
      <c r="O105" s="2"/>
    </row>
    <row r="106" spans="2:26" ht="15.6">
      <c r="B106" s="77" t="s">
        <v>413</v>
      </c>
      <c r="D106" s="94"/>
      <c r="O106" s="2"/>
    </row>
    <row r="107" spans="2:26">
      <c r="B107" s="225" t="s">
        <v>16</v>
      </c>
      <c r="O107" s="2"/>
    </row>
    <row r="108" spans="2:26">
      <c r="B108" s="158" t="s">
        <v>94</v>
      </c>
      <c r="C108" s="103">
        <v>2018</v>
      </c>
      <c r="D108" s="103">
        <v>2019</v>
      </c>
      <c r="E108" s="103">
        <v>2020</v>
      </c>
      <c r="F108" s="103">
        <v>2021</v>
      </c>
      <c r="G108" s="103">
        <v>2022</v>
      </c>
      <c r="H108" s="103">
        <v>2023</v>
      </c>
      <c r="I108" s="103">
        <v>2024</v>
      </c>
      <c r="J108" s="103">
        <v>2025</v>
      </c>
      <c r="K108" s="103">
        <v>2026</v>
      </c>
      <c r="L108" s="103">
        <v>2027</v>
      </c>
      <c r="M108" s="103">
        <v>2028</v>
      </c>
    </row>
    <row r="109" spans="2:26">
      <c r="B109" s="160" t="str">
        <f t="shared" ref="B109:B115" si="59">B60</f>
        <v>1G</v>
      </c>
      <c r="C109" s="232"/>
      <c r="D109" s="232"/>
      <c r="E109" s="232"/>
      <c r="F109" s="232"/>
      <c r="G109" s="232"/>
      <c r="H109" s="232"/>
      <c r="I109" s="232"/>
      <c r="J109" s="232"/>
      <c r="K109" s="232"/>
      <c r="L109" s="232"/>
      <c r="M109" s="232"/>
    </row>
    <row r="110" spans="2:26">
      <c r="B110" s="160" t="str">
        <f t="shared" si="59"/>
        <v>10G</v>
      </c>
      <c r="C110" s="232">
        <f>SUM(Ethernet!E10:E12)</f>
        <v>7932741.0999999996</v>
      </c>
      <c r="D110" s="232">
        <f>SUM(Ethernet!F10:F12)</f>
        <v>5988134</v>
      </c>
      <c r="E110" s="232">
        <f>SUM(Ethernet!G10:G12)</f>
        <v>0</v>
      </c>
      <c r="F110" s="232">
        <f>SUM(Ethernet!H10:H12)</f>
        <v>0</v>
      </c>
      <c r="G110" s="232">
        <f>SUM(Ethernet!I10:I12)</f>
        <v>0</v>
      </c>
      <c r="H110" s="232">
        <f>SUM(Ethernet!J10:J12)</f>
        <v>0</v>
      </c>
      <c r="I110" s="232">
        <f>SUM(Ethernet!K10:K12)</f>
        <v>0</v>
      </c>
      <c r="J110" s="232">
        <f>SUM(Ethernet!L10:L12)</f>
        <v>0</v>
      </c>
      <c r="K110" s="232">
        <f>SUM(Ethernet!M10:M12)</f>
        <v>0</v>
      </c>
      <c r="L110" s="232">
        <f>SUM(Ethernet!N10:N12)</f>
        <v>0</v>
      </c>
      <c r="M110" s="232">
        <f>SUM(Ethernet!O10:O12)</f>
        <v>0</v>
      </c>
    </row>
    <row r="111" spans="2:26">
      <c r="B111" s="160" t="str">
        <f t="shared" si="59"/>
        <v>40G</v>
      </c>
      <c r="C111" s="232">
        <f>SUM(Ethernet!E19:E22)</f>
        <v>549382</v>
      </c>
      <c r="D111" s="232">
        <f>SUM(Ethernet!F19:F22)</f>
        <v>780331</v>
      </c>
      <c r="E111" s="232">
        <f>SUM(Ethernet!G19:G22)</f>
        <v>0</v>
      </c>
      <c r="F111" s="232">
        <f>SUM(Ethernet!H19:H22)</f>
        <v>0</v>
      </c>
      <c r="G111" s="232">
        <f>SUM(Ethernet!I19:I22)</f>
        <v>0</v>
      </c>
      <c r="H111" s="232">
        <f>SUM(Ethernet!J19:J22)</f>
        <v>0</v>
      </c>
      <c r="I111" s="232">
        <f>SUM(Ethernet!K19:K22)</f>
        <v>0</v>
      </c>
      <c r="J111" s="232">
        <f>SUM(Ethernet!L19:L22)</f>
        <v>0</v>
      </c>
      <c r="K111" s="232">
        <f>SUM(Ethernet!M19:M22)</f>
        <v>0</v>
      </c>
      <c r="L111" s="232">
        <f>SUM(Ethernet!N19:N22)</f>
        <v>0</v>
      </c>
      <c r="M111" s="232">
        <f>SUM(Ethernet!O19:O22)</f>
        <v>0</v>
      </c>
    </row>
    <row r="112" spans="2:26">
      <c r="B112" s="160" t="str">
        <f t="shared" si="59"/>
        <v>100G</v>
      </c>
      <c r="C112" s="232">
        <f>SUM(Ethernet!E29:E32)</f>
        <v>3589796.7366946777</v>
      </c>
      <c r="D112" s="232">
        <f>SUM(Ethernet!F29:F32)</f>
        <v>4870834</v>
      </c>
      <c r="E112" s="232">
        <f>SUM(Ethernet!G29:G32)</f>
        <v>0</v>
      </c>
      <c r="F112" s="232">
        <f>SUM(Ethernet!H29:H32)</f>
        <v>0</v>
      </c>
      <c r="G112" s="232">
        <f>SUM(Ethernet!I29:I32)</f>
        <v>0</v>
      </c>
      <c r="H112" s="232">
        <f>SUM(Ethernet!J29:J32)</f>
        <v>0</v>
      </c>
      <c r="I112" s="232">
        <f>SUM(Ethernet!K29:K32)</f>
        <v>0</v>
      </c>
      <c r="J112" s="232">
        <f>SUM(Ethernet!L29:L32)</f>
        <v>0</v>
      </c>
      <c r="K112" s="232">
        <f>SUM(Ethernet!M29:M32)</f>
        <v>0</v>
      </c>
      <c r="L112" s="232">
        <f>SUM(Ethernet!N29:N32)</f>
        <v>0</v>
      </c>
      <c r="M112" s="232">
        <f>SUM(Ethernet!O29:O32)</f>
        <v>0</v>
      </c>
    </row>
    <row r="113" spans="2:13">
      <c r="B113" s="160" t="str">
        <f t="shared" si="59"/>
        <v>200G</v>
      </c>
      <c r="C113" s="232">
        <f>SUM(Ethernet!E35:E37)</f>
        <v>500</v>
      </c>
      <c r="D113" s="232">
        <f>SUM(Ethernet!F35:F37)</f>
        <v>6072</v>
      </c>
      <c r="E113" s="232">
        <f>SUM(Ethernet!G35:G37)</f>
        <v>0</v>
      </c>
      <c r="F113" s="232">
        <f>SUM(Ethernet!H35:H37)</f>
        <v>0</v>
      </c>
      <c r="G113" s="232">
        <f>SUM(Ethernet!I35:I37)</f>
        <v>0</v>
      </c>
      <c r="H113" s="232">
        <f>SUM(Ethernet!J35:J37)</f>
        <v>0</v>
      </c>
      <c r="I113" s="232">
        <f>SUM(Ethernet!K35:K37)</f>
        <v>0</v>
      </c>
      <c r="J113" s="232">
        <f>SUM(Ethernet!L35:L37)</f>
        <v>0</v>
      </c>
      <c r="K113" s="232">
        <f>SUM(Ethernet!M35:M37)</f>
        <v>0</v>
      </c>
      <c r="L113" s="232">
        <f>SUM(Ethernet!N35:N37)</f>
        <v>0</v>
      </c>
      <c r="M113" s="232">
        <f>SUM(Ethernet!O35:O37)</f>
        <v>0</v>
      </c>
    </row>
    <row r="114" spans="2:13">
      <c r="B114" s="160" t="str">
        <f t="shared" si="59"/>
        <v>400G</v>
      </c>
      <c r="C114" s="232">
        <f>SUM(Ethernet!E41:E44)</f>
        <v>14000</v>
      </c>
      <c r="D114" s="232">
        <f>SUM(Ethernet!F41:F44)</f>
        <v>57372.626373626372</v>
      </c>
      <c r="E114" s="232">
        <f>SUM(Ethernet!G41:G44)</f>
        <v>0</v>
      </c>
      <c r="F114" s="232">
        <f>SUM(Ethernet!H41:H44)</f>
        <v>0</v>
      </c>
      <c r="G114" s="232">
        <f>SUM(Ethernet!I41:I44)</f>
        <v>0</v>
      </c>
      <c r="H114" s="232">
        <f>SUM(Ethernet!J41:J44)</f>
        <v>0</v>
      </c>
      <c r="I114" s="232">
        <f>SUM(Ethernet!K41:K44)</f>
        <v>0</v>
      </c>
      <c r="J114" s="232">
        <f>SUM(Ethernet!L41:L44)</f>
        <v>0</v>
      </c>
      <c r="K114" s="232">
        <f>SUM(Ethernet!M41:M44)</f>
        <v>0</v>
      </c>
      <c r="L114" s="232">
        <f>SUM(Ethernet!N41:N44)</f>
        <v>0</v>
      </c>
      <c r="M114" s="232">
        <f>SUM(Ethernet!O41:O44)</f>
        <v>0</v>
      </c>
    </row>
    <row r="115" spans="2:13">
      <c r="B115" s="160" t="str">
        <f t="shared" si="59"/>
        <v>800G</v>
      </c>
      <c r="C115" s="232"/>
      <c r="D115" s="232"/>
      <c r="E115" s="232"/>
      <c r="F115" s="232"/>
      <c r="G115" s="232"/>
      <c r="H115" s="232"/>
      <c r="I115" s="232"/>
      <c r="J115" s="232"/>
      <c r="K115" s="232"/>
      <c r="L115" s="232"/>
      <c r="M115" s="232"/>
    </row>
    <row r="116" spans="2:13">
      <c r="B116" s="160" t="str">
        <f t="shared" ref="B116" si="60">B67</f>
        <v>Total</v>
      </c>
      <c r="C116" s="112">
        <f t="shared" ref="C116:M116" si="61">SUM(C109:C114)</f>
        <v>12086419.836694676</v>
      </c>
      <c r="D116" s="112">
        <f t="shared" si="61"/>
        <v>11702743.626373626</v>
      </c>
      <c r="E116" s="112">
        <f t="shared" si="61"/>
        <v>0</v>
      </c>
      <c r="F116" s="112">
        <f t="shared" si="61"/>
        <v>0</v>
      </c>
      <c r="G116" s="112">
        <f t="shared" si="61"/>
        <v>0</v>
      </c>
      <c r="H116" s="112">
        <f t="shared" si="61"/>
        <v>0</v>
      </c>
      <c r="I116" s="112">
        <f t="shared" si="61"/>
        <v>0</v>
      </c>
      <c r="J116" s="112">
        <f t="shared" si="61"/>
        <v>0</v>
      </c>
      <c r="K116" s="112">
        <f t="shared" si="61"/>
        <v>0</v>
      </c>
      <c r="L116" s="112">
        <f t="shared" si="61"/>
        <v>0</v>
      </c>
      <c r="M116" s="112">
        <f t="shared" si="61"/>
        <v>0</v>
      </c>
    </row>
    <row r="118" spans="2:13">
      <c r="B118" s="225" t="s">
        <v>181</v>
      </c>
    </row>
    <row r="119" spans="2:13">
      <c r="B119" s="225" t="s">
        <v>16</v>
      </c>
    </row>
    <row r="120" spans="2:13">
      <c r="B120" s="158" t="s">
        <v>94</v>
      </c>
      <c r="C120" s="103">
        <v>2018</v>
      </c>
      <c r="D120" s="103">
        <v>2019</v>
      </c>
      <c r="E120" s="103">
        <v>2020</v>
      </c>
      <c r="F120" s="103">
        <v>2021</v>
      </c>
      <c r="G120" s="103">
        <v>2022</v>
      </c>
      <c r="H120" s="103">
        <v>2023</v>
      </c>
      <c r="I120" s="103">
        <v>2024</v>
      </c>
      <c r="J120" s="103">
        <v>2025</v>
      </c>
      <c r="K120" s="103">
        <v>2026</v>
      </c>
      <c r="L120" s="103">
        <v>2027</v>
      </c>
      <c r="M120" s="103">
        <v>2028</v>
      </c>
    </row>
    <row r="121" spans="2:13">
      <c r="B121" s="160" t="str">
        <f t="shared" ref="B121:B127" si="62">B60</f>
        <v>1G</v>
      </c>
      <c r="C121" s="112">
        <f t="shared" ref="C121:I121" si="63">C109</f>
        <v>0</v>
      </c>
      <c r="D121" s="112">
        <f t="shared" si="63"/>
        <v>0</v>
      </c>
      <c r="E121" s="112">
        <f t="shared" si="63"/>
        <v>0</v>
      </c>
      <c r="F121" s="112">
        <f t="shared" si="63"/>
        <v>0</v>
      </c>
      <c r="G121" s="112">
        <f t="shared" si="63"/>
        <v>0</v>
      </c>
      <c r="H121" s="112">
        <f t="shared" si="63"/>
        <v>0</v>
      </c>
      <c r="I121" s="112">
        <f t="shared" si="63"/>
        <v>0</v>
      </c>
      <c r="J121" s="112">
        <f t="shared" ref="J121:M121" si="64">J109</f>
        <v>0</v>
      </c>
      <c r="K121" s="112">
        <f t="shared" si="64"/>
        <v>0</v>
      </c>
      <c r="L121" s="112">
        <f t="shared" si="64"/>
        <v>0</v>
      </c>
      <c r="M121" s="112">
        <f t="shared" si="64"/>
        <v>0</v>
      </c>
    </row>
    <row r="122" spans="2:13">
      <c r="B122" s="160" t="str">
        <f t="shared" si="62"/>
        <v>10G</v>
      </c>
      <c r="C122" s="112">
        <f t="shared" ref="C122:I122" si="65">C110*10</f>
        <v>79327411</v>
      </c>
      <c r="D122" s="112">
        <f t="shared" si="65"/>
        <v>59881340</v>
      </c>
      <c r="E122" s="112">
        <f t="shared" si="65"/>
        <v>0</v>
      </c>
      <c r="F122" s="112">
        <f t="shared" si="65"/>
        <v>0</v>
      </c>
      <c r="G122" s="112">
        <f t="shared" si="65"/>
        <v>0</v>
      </c>
      <c r="H122" s="112">
        <f t="shared" si="65"/>
        <v>0</v>
      </c>
      <c r="I122" s="112">
        <f t="shared" si="65"/>
        <v>0</v>
      </c>
      <c r="J122" s="112">
        <f t="shared" ref="J122:M122" si="66">J110*10</f>
        <v>0</v>
      </c>
      <c r="K122" s="112">
        <f t="shared" si="66"/>
        <v>0</v>
      </c>
      <c r="L122" s="112">
        <f t="shared" si="66"/>
        <v>0</v>
      </c>
      <c r="M122" s="112">
        <f t="shared" si="66"/>
        <v>0</v>
      </c>
    </row>
    <row r="123" spans="2:13">
      <c r="B123" s="160" t="str">
        <f t="shared" si="62"/>
        <v>40G</v>
      </c>
      <c r="C123" s="112">
        <f t="shared" ref="C123:I123" si="67">C111*40</f>
        <v>21975280</v>
      </c>
      <c r="D123" s="112">
        <f t="shared" si="67"/>
        <v>31213240</v>
      </c>
      <c r="E123" s="112">
        <f t="shared" si="67"/>
        <v>0</v>
      </c>
      <c r="F123" s="112">
        <f t="shared" si="67"/>
        <v>0</v>
      </c>
      <c r="G123" s="112">
        <f t="shared" si="67"/>
        <v>0</v>
      </c>
      <c r="H123" s="112">
        <f t="shared" si="67"/>
        <v>0</v>
      </c>
      <c r="I123" s="112">
        <f t="shared" si="67"/>
        <v>0</v>
      </c>
      <c r="J123" s="112">
        <f t="shared" ref="J123:M123" si="68">J111*40</f>
        <v>0</v>
      </c>
      <c r="K123" s="112">
        <f t="shared" si="68"/>
        <v>0</v>
      </c>
      <c r="L123" s="112">
        <f t="shared" si="68"/>
        <v>0</v>
      </c>
      <c r="M123" s="112">
        <f t="shared" si="68"/>
        <v>0</v>
      </c>
    </row>
    <row r="124" spans="2:13">
      <c r="B124" s="160" t="str">
        <f t="shared" si="62"/>
        <v>100G</v>
      </c>
      <c r="C124" s="112">
        <f t="shared" ref="C124:I124" si="69">C112*100</f>
        <v>358979673.66946775</v>
      </c>
      <c r="D124" s="112">
        <f t="shared" si="69"/>
        <v>487083400</v>
      </c>
      <c r="E124" s="112">
        <f t="shared" si="69"/>
        <v>0</v>
      </c>
      <c r="F124" s="112">
        <f t="shared" si="69"/>
        <v>0</v>
      </c>
      <c r="G124" s="112">
        <f t="shared" si="69"/>
        <v>0</v>
      </c>
      <c r="H124" s="112">
        <f t="shared" si="69"/>
        <v>0</v>
      </c>
      <c r="I124" s="112">
        <f t="shared" si="69"/>
        <v>0</v>
      </c>
      <c r="J124" s="112">
        <f t="shared" ref="J124:M124" si="70">J112*100</f>
        <v>0</v>
      </c>
      <c r="K124" s="112">
        <f t="shared" si="70"/>
        <v>0</v>
      </c>
      <c r="L124" s="112">
        <f t="shared" si="70"/>
        <v>0</v>
      </c>
      <c r="M124" s="112">
        <f t="shared" si="70"/>
        <v>0</v>
      </c>
    </row>
    <row r="125" spans="2:13">
      <c r="B125" s="160" t="str">
        <f t="shared" si="62"/>
        <v>200G</v>
      </c>
      <c r="C125" s="112">
        <f t="shared" ref="C125:I125" si="71">C113*200</f>
        <v>100000</v>
      </c>
      <c r="D125" s="112">
        <f t="shared" si="71"/>
        <v>1214400</v>
      </c>
      <c r="E125" s="112">
        <f t="shared" si="71"/>
        <v>0</v>
      </c>
      <c r="F125" s="112">
        <f t="shared" si="71"/>
        <v>0</v>
      </c>
      <c r="G125" s="112">
        <f t="shared" si="71"/>
        <v>0</v>
      </c>
      <c r="H125" s="112">
        <f t="shared" si="71"/>
        <v>0</v>
      </c>
      <c r="I125" s="112">
        <f t="shared" si="71"/>
        <v>0</v>
      </c>
      <c r="J125" s="112">
        <f t="shared" ref="J125:M125" si="72">J113*200</f>
        <v>0</v>
      </c>
      <c r="K125" s="112">
        <f t="shared" si="72"/>
        <v>0</v>
      </c>
      <c r="L125" s="112">
        <f t="shared" si="72"/>
        <v>0</v>
      </c>
      <c r="M125" s="112">
        <f t="shared" si="72"/>
        <v>0</v>
      </c>
    </row>
    <row r="126" spans="2:13">
      <c r="B126" s="160" t="str">
        <f t="shared" si="62"/>
        <v>400G</v>
      </c>
      <c r="C126" s="112">
        <f t="shared" ref="C126:I126" si="73">C114*400</f>
        <v>5600000</v>
      </c>
      <c r="D126" s="112">
        <f t="shared" si="73"/>
        <v>22949050.54945055</v>
      </c>
      <c r="E126" s="112">
        <f t="shared" si="73"/>
        <v>0</v>
      </c>
      <c r="F126" s="112">
        <f t="shared" si="73"/>
        <v>0</v>
      </c>
      <c r="G126" s="112">
        <f t="shared" si="73"/>
        <v>0</v>
      </c>
      <c r="H126" s="112">
        <f t="shared" si="73"/>
        <v>0</v>
      </c>
      <c r="I126" s="112">
        <f t="shared" si="73"/>
        <v>0</v>
      </c>
      <c r="J126" s="112">
        <f t="shared" ref="J126:M126" si="74">J114*400</f>
        <v>0</v>
      </c>
      <c r="K126" s="112">
        <f t="shared" si="74"/>
        <v>0</v>
      </c>
      <c r="L126" s="112">
        <f t="shared" si="74"/>
        <v>0</v>
      </c>
      <c r="M126" s="112">
        <f t="shared" si="74"/>
        <v>0</v>
      </c>
    </row>
    <row r="127" spans="2:13">
      <c r="B127" s="160" t="str">
        <f t="shared" si="62"/>
        <v>800G</v>
      </c>
      <c r="C127" s="112">
        <f t="shared" ref="C127:M127" si="75">C115*800</f>
        <v>0</v>
      </c>
      <c r="D127" s="112">
        <f t="shared" si="75"/>
        <v>0</v>
      </c>
      <c r="E127" s="112">
        <f t="shared" si="75"/>
        <v>0</v>
      </c>
      <c r="F127" s="112">
        <f t="shared" si="75"/>
        <v>0</v>
      </c>
      <c r="G127" s="112">
        <f t="shared" si="75"/>
        <v>0</v>
      </c>
      <c r="H127" s="112">
        <f t="shared" si="75"/>
        <v>0</v>
      </c>
      <c r="I127" s="112">
        <f t="shared" si="75"/>
        <v>0</v>
      </c>
      <c r="J127" s="112">
        <f t="shared" si="75"/>
        <v>0</v>
      </c>
      <c r="K127" s="112">
        <f t="shared" si="75"/>
        <v>0</v>
      </c>
      <c r="L127" s="112">
        <f t="shared" si="75"/>
        <v>0</v>
      </c>
      <c r="M127" s="112">
        <f t="shared" si="75"/>
        <v>0</v>
      </c>
    </row>
    <row r="128" spans="2:13">
      <c r="B128" s="160" t="str">
        <f t="shared" ref="B128" si="76">B67</f>
        <v>Total</v>
      </c>
      <c r="C128" s="112">
        <f t="shared" ref="C128:M128" si="77">SUM(C121:C127)</f>
        <v>465982364.66946775</v>
      </c>
      <c r="D128" s="112">
        <f t="shared" si="77"/>
        <v>602341430.54945052</v>
      </c>
      <c r="E128" s="112">
        <f t="shared" si="77"/>
        <v>0</v>
      </c>
      <c r="F128" s="112">
        <f t="shared" si="77"/>
        <v>0</v>
      </c>
      <c r="G128" s="112">
        <f t="shared" si="77"/>
        <v>0</v>
      </c>
      <c r="H128" s="112">
        <f t="shared" si="77"/>
        <v>0</v>
      </c>
      <c r="I128" s="112">
        <f t="shared" si="77"/>
        <v>0</v>
      </c>
      <c r="J128" s="112">
        <f t="shared" si="77"/>
        <v>0</v>
      </c>
      <c r="K128" s="112">
        <f t="shared" si="77"/>
        <v>0</v>
      </c>
      <c r="L128" s="112">
        <f t="shared" si="77"/>
        <v>0</v>
      </c>
      <c r="M128" s="112">
        <f t="shared" si="77"/>
        <v>0</v>
      </c>
    </row>
    <row r="130" spans="2:13" ht="15.6">
      <c r="B130" s="77" t="s">
        <v>414</v>
      </c>
    </row>
    <row r="131" spans="2:13">
      <c r="B131" s="225" t="s">
        <v>16</v>
      </c>
    </row>
    <row r="132" spans="2:13">
      <c r="B132" s="158" t="s">
        <v>94</v>
      </c>
      <c r="C132" s="103">
        <v>2018</v>
      </c>
      <c r="D132" s="103">
        <v>2019</v>
      </c>
      <c r="E132" s="103">
        <v>2020</v>
      </c>
      <c r="F132" s="103">
        <v>2021</v>
      </c>
      <c r="G132" s="103">
        <v>2022</v>
      </c>
      <c r="H132" s="103">
        <v>2023</v>
      </c>
      <c r="I132" s="103">
        <v>2024</v>
      </c>
      <c r="J132" s="103">
        <v>2025</v>
      </c>
      <c r="K132" s="103">
        <v>2026</v>
      </c>
      <c r="L132" s="103">
        <v>2027</v>
      </c>
      <c r="M132" s="103">
        <v>2028</v>
      </c>
    </row>
    <row r="133" spans="2:13">
      <c r="B133" s="160" t="str">
        <f t="shared" ref="B133:B139" si="78">B60</f>
        <v>1G</v>
      </c>
      <c r="C133" s="410"/>
      <c r="D133" s="410"/>
      <c r="E133" s="410"/>
      <c r="F133" s="410"/>
      <c r="G133" s="410"/>
      <c r="H133" s="410"/>
      <c r="I133" s="410"/>
      <c r="J133" s="410"/>
      <c r="K133" s="410"/>
      <c r="L133" s="410"/>
      <c r="M133" s="410"/>
    </row>
    <row r="134" spans="2:13">
      <c r="B134" s="160" t="str">
        <f t="shared" si="78"/>
        <v>10G</v>
      </c>
      <c r="C134" s="410">
        <f>SUM(Ethernet!E107:'Ethernet'!E109)</f>
        <v>282.99344769683614</v>
      </c>
      <c r="D134" s="410">
        <f>SUM(Ethernet!F107:'Ethernet'!F109)</f>
        <v>176.46735218014217</v>
      </c>
      <c r="E134" s="410">
        <f>SUM(Ethernet!G107:'Ethernet'!G109)</f>
        <v>0</v>
      </c>
      <c r="F134" s="410">
        <f>SUM(Ethernet!H107:'Ethernet'!H109)</f>
        <v>0</v>
      </c>
      <c r="G134" s="410">
        <f>SUM(Ethernet!I107:'Ethernet'!I109)</f>
        <v>0</v>
      </c>
      <c r="H134" s="410">
        <f>SUM(Ethernet!J107:'Ethernet'!J109)</f>
        <v>0</v>
      </c>
      <c r="I134" s="410">
        <f>SUM(Ethernet!K107:'Ethernet'!K109)</f>
        <v>0</v>
      </c>
      <c r="J134" s="410">
        <f>SUM(Ethernet!L107:'Ethernet'!L109)</f>
        <v>0</v>
      </c>
      <c r="K134" s="410">
        <f>SUM(Ethernet!M107:'Ethernet'!M109)</f>
        <v>0</v>
      </c>
      <c r="L134" s="410">
        <f>SUM(Ethernet!N107:'Ethernet'!N109)</f>
        <v>0</v>
      </c>
      <c r="M134" s="410">
        <f>SUM(Ethernet!O107:'Ethernet'!O109)</f>
        <v>0</v>
      </c>
    </row>
    <row r="135" spans="2:13">
      <c r="B135" s="160" t="str">
        <f t="shared" si="78"/>
        <v>40G</v>
      </c>
      <c r="C135" s="410">
        <f>SUM(Ethernet!E116:E119)</f>
        <v>190.30812273999996</v>
      </c>
      <c r="D135" s="410">
        <f>SUM(Ethernet!F116:F119)</f>
        <v>198.85982717118421</v>
      </c>
      <c r="E135" s="410">
        <f>SUM(Ethernet!G116:G119)</f>
        <v>0</v>
      </c>
      <c r="F135" s="410">
        <f>SUM(Ethernet!H116:H119)</f>
        <v>0</v>
      </c>
      <c r="G135" s="410">
        <f>SUM(Ethernet!I116:I119)</f>
        <v>0</v>
      </c>
      <c r="H135" s="410">
        <f>SUM(Ethernet!J116:J119)</f>
        <v>0</v>
      </c>
      <c r="I135" s="410">
        <f>SUM(Ethernet!K116:K119)</f>
        <v>0</v>
      </c>
      <c r="J135" s="410">
        <f>SUM(Ethernet!L116:L119)</f>
        <v>0</v>
      </c>
      <c r="K135" s="410">
        <f>SUM(Ethernet!M116:M119)</f>
        <v>0</v>
      </c>
      <c r="L135" s="410">
        <f>SUM(Ethernet!N116:N119)</f>
        <v>0</v>
      </c>
      <c r="M135" s="410">
        <f>SUM(Ethernet!O116:O119)</f>
        <v>0</v>
      </c>
    </row>
    <row r="136" spans="2:13">
      <c r="B136" s="160" t="str">
        <f t="shared" si="78"/>
        <v>100G</v>
      </c>
      <c r="C136" s="410">
        <f>SUM(Ethernet!E126:E128)</f>
        <v>1768.1289083475758</v>
      </c>
      <c r="D136" s="410">
        <f>SUM(Ethernet!F126:F128)</f>
        <v>1294.9018911506864</v>
      </c>
      <c r="E136" s="410">
        <f>SUM(Ethernet!G126:G128)</f>
        <v>0</v>
      </c>
      <c r="F136" s="410">
        <f>SUM(Ethernet!H126:H128)</f>
        <v>0</v>
      </c>
      <c r="G136" s="410">
        <f>SUM(Ethernet!I126:I128)</f>
        <v>0</v>
      </c>
      <c r="H136" s="410">
        <f>SUM(Ethernet!J126:J128)</f>
        <v>0</v>
      </c>
      <c r="I136" s="410">
        <f>SUM(Ethernet!K126:K128)</f>
        <v>0</v>
      </c>
      <c r="J136" s="410">
        <f>SUM(Ethernet!L126:L128)</f>
        <v>0</v>
      </c>
      <c r="K136" s="410">
        <f>SUM(Ethernet!M126:M128)</f>
        <v>0</v>
      </c>
      <c r="L136" s="410">
        <f>SUM(Ethernet!N126:N128)</f>
        <v>0</v>
      </c>
      <c r="M136" s="410">
        <f>SUM(Ethernet!O126:O128)</f>
        <v>0</v>
      </c>
    </row>
    <row r="137" spans="2:13">
      <c r="B137" s="160" t="str">
        <f t="shared" si="78"/>
        <v>200G</v>
      </c>
      <c r="C137" s="410">
        <f>SUM(Ethernet!E132)</f>
        <v>0.75</v>
      </c>
      <c r="D137" s="410">
        <f>SUM(Ethernet!F132)</f>
        <v>3.0945</v>
      </c>
      <c r="E137" s="410">
        <f>SUM(Ethernet!G132)</f>
        <v>0</v>
      </c>
      <c r="F137" s="410">
        <f>SUM(Ethernet!H132)</f>
        <v>0</v>
      </c>
      <c r="G137" s="410">
        <f>SUM(Ethernet!I132)</f>
        <v>0</v>
      </c>
      <c r="H137" s="410">
        <f>SUM(Ethernet!J132)</f>
        <v>0</v>
      </c>
      <c r="I137" s="410">
        <f>SUM(Ethernet!K132)</f>
        <v>0</v>
      </c>
      <c r="J137" s="410">
        <f>SUM(Ethernet!L132)</f>
        <v>0</v>
      </c>
      <c r="K137" s="410">
        <f>SUM(Ethernet!M132)</f>
        <v>0</v>
      </c>
      <c r="L137" s="410">
        <f>SUM(Ethernet!N132)</f>
        <v>0</v>
      </c>
      <c r="M137" s="410">
        <f>SUM(Ethernet!O132)</f>
        <v>0</v>
      </c>
    </row>
    <row r="138" spans="2:13">
      <c r="B138" s="160" t="str">
        <f t="shared" si="78"/>
        <v>400G</v>
      </c>
      <c r="C138" s="410">
        <f>SUM(Ethernet!E138:E141)</f>
        <v>32.200000000000003</v>
      </c>
      <c r="D138" s="410">
        <f>SUM(Ethernet!F138:F141)</f>
        <v>68.890076067181894</v>
      </c>
      <c r="E138" s="410">
        <f>SUM(Ethernet!G138:G141)</f>
        <v>0</v>
      </c>
      <c r="F138" s="410">
        <f>SUM(Ethernet!H138:H141)</f>
        <v>0</v>
      </c>
      <c r="G138" s="410">
        <f>SUM(Ethernet!I138:I141)</f>
        <v>0</v>
      </c>
      <c r="H138" s="410">
        <f>SUM(Ethernet!J138:J141)</f>
        <v>0</v>
      </c>
      <c r="I138" s="410">
        <f>SUM(Ethernet!K138:K141)</f>
        <v>0</v>
      </c>
      <c r="J138" s="410">
        <f>SUM(Ethernet!L138:L141)</f>
        <v>0</v>
      </c>
      <c r="K138" s="410">
        <f>SUM(Ethernet!M138:M141)</f>
        <v>0</v>
      </c>
      <c r="L138" s="410">
        <f>SUM(Ethernet!N138:N141)</f>
        <v>0</v>
      </c>
      <c r="M138" s="410">
        <f>SUM(Ethernet!O138:O141)</f>
        <v>0</v>
      </c>
    </row>
    <row r="139" spans="2:13">
      <c r="B139" s="160" t="str">
        <f t="shared" si="78"/>
        <v>800G</v>
      </c>
      <c r="C139" s="410"/>
      <c r="D139" s="410"/>
      <c r="E139" s="410"/>
      <c r="F139" s="410"/>
      <c r="G139" s="410"/>
      <c r="H139" s="410"/>
      <c r="I139" s="410"/>
      <c r="J139" s="410"/>
      <c r="K139" s="410"/>
      <c r="L139" s="410"/>
      <c r="M139" s="410"/>
    </row>
    <row r="140" spans="2:13">
      <c r="B140" s="160" t="str">
        <f t="shared" ref="B140" si="79">B67</f>
        <v>Total</v>
      </c>
      <c r="C140" s="120">
        <f t="shared" ref="C140:J140" si="80">SUM(C133:C138)</f>
        <v>2274.3804787844119</v>
      </c>
      <c r="D140" s="120">
        <f t="shared" si="80"/>
        <v>1742.2136465691947</v>
      </c>
      <c r="E140" s="120">
        <f t="shared" si="80"/>
        <v>0</v>
      </c>
      <c r="F140" s="120">
        <f t="shared" si="80"/>
        <v>0</v>
      </c>
      <c r="G140" s="120">
        <f t="shared" si="80"/>
        <v>0</v>
      </c>
      <c r="H140" s="120">
        <f t="shared" si="80"/>
        <v>0</v>
      </c>
      <c r="I140" s="120">
        <f>SUM(I133:I138)</f>
        <v>0</v>
      </c>
      <c r="J140" s="120">
        <f t="shared" si="80"/>
        <v>0</v>
      </c>
      <c r="K140" s="120">
        <f t="shared" ref="K140:M140" si="81">SUM(K133:K138)</f>
        <v>0</v>
      </c>
      <c r="L140" s="120">
        <f t="shared" si="81"/>
        <v>0</v>
      </c>
      <c r="M140" s="120">
        <f t="shared" si="81"/>
        <v>0</v>
      </c>
    </row>
    <row r="142" spans="2:13" ht="15.6">
      <c r="B142" s="77" t="s">
        <v>415</v>
      </c>
    </row>
    <row r="143" spans="2:13">
      <c r="B143" s="225" t="s">
        <v>16</v>
      </c>
    </row>
    <row r="144" spans="2:13">
      <c r="B144" s="158" t="s">
        <v>94</v>
      </c>
      <c r="C144" s="103">
        <v>2018</v>
      </c>
      <c r="D144" s="103">
        <v>2019</v>
      </c>
      <c r="E144" s="103">
        <v>2020</v>
      </c>
      <c r="F144" s="103">
        <v>2021</v>
      </c>
      <c r="G144" s="103">
        <v>2022</v>
      </c>
      <c r="H144" s="103">
        <v>2023</v>
      </c>
      <c r="I144" s="103">
        <v>2024</v>
      </c>
      <c r="J144" s="103">
        <v>2025</v>
      </c>
      <c r="K144" s="103">
        <v>2026</v>
      </c>
      <c r="L144" s="103">
        <v>2027</v>
      </c>
      <c r="M144" s="103">
        <v>2028</v>
      </c>
    </row>
    <row r="145" spans="2:19">
      <c r="B145" s="160" t="str">
        <f t="shared" ref="B145:B151" si="82">B60</f>
        <v>1G</v>
      </c>
      <c r="C145" s="228">
        <f t="shared" ref="C145:I145" si="83">IF(C109=0,,C133*10^6/C121)</f>
        <v>0</v>
      </c>
      <c r="D145" s="228">
        <f t="shared" si="83"/>
        <v>0</v>
      </c>
      <c r="E145" s="228">
        <f t="shared" si="83"/>
        <v>0</v>
      </c>
      <c r="F145" s="228">
        <f t="shared" si="83"/>
        <v>0</v>
      </c>
      <c r="G145" s="228">
        <f t="shared" si="83"/>
        <v>0</v>
      </c>
      <c r="H145" s="228">
        <f t="shared" si="83"/>
        <v>0</v>
      </c>
      <c r="I145" s="228">
        <f t="shared" si="83"/>
        <v>0</v>
      </c>
      <c r="J145" s="228">
        <f t="shared" ref="J145:M145" si="84">IF(J109=0,,J133*10^6/J121)</f>
        <v>0</v>
      </c>
      <c r="K145" s="228">
        <f t="shared" si="84"/>
        <v>0</v>
      </c>
      <c r="L145" s="228">
        <f t="shared" si="84"/>
        <v>0</v>
      </c>
      <c r="M145" s="228">
        <f t="shared" si="84"/>
        <v>0</v>
      </c>
    </row>
    <row r="146" spans="2:19">
      <c r="B146" s="160" t="str">
        <f t="shared" si="82"/>
        <v>10G</v>
      </c>
      <c r="C146" s="228">
        <f t="shared" ref="C146:I146" si="85">IF(C110=0,,C134*10^6/C122)</f>
        <v>3.5674106103984173</v>
      </c>
      <c r="D146" s="228">
        <f t="shared" si="85"/>
        <v>2.9469506223498367</v>
      </c>
      <c r="E146" s="228">
        <f t="shared" si="85"/>
        <v>0</v>
      </c>
      <c r="F146" s="228">
        <f t="shared" si="85"/>
        <v>0</v>
      </c>
      <c r="G146" s="228">
        <f t="shared" si="85"/>
        <v>0</v>
      </c>
      <c r="H146" s="228">
        <f t="shared" si="85"/>
        <v>0</v>
      </c>
      <c r="I146" s="228">
        <f t="shared" si="85"/>
        <v>0</v>
      </c>
      <c r="J146" s="228">
        <f t="shared" ref="J146:M146" si="86">IF(J110=0,,J134*10^6/J122)</f>
        <v>0</v>
      </c>
      <c r="K146" s="228">
        <f t="shared" si="86"/>
        <v>0</v>
      </c>
      <c r="L146" s="228">
        <f t="shared" si="86"/>
        <v>0</v>
      </c>
      <c r="M146" s="228">
        <f t="shared" si="86"/>
        <v>0</v>
      </c>
    </row>
    <row r="147" spans="2:19">
      <c r="B147" s="160" t="str">
        <f t="shared" si="82"/>
        <v>40G</v>
      </c>
      <c r="C147" s="228">
        <f t="shared" ref="C147:I147" si="87">IF(C111=0,,C135*10^6/C123)</f>
        <v>8.6601000187483361</v>
      </c>
      <c r="D147" s="228">
        <f t="shared" si="87"/>
        <v>6.3710088145666459</v>
      </c>
      <c r="E147" s="228">
        <f t="shared" si="87"/>
        <v>0</v>
      </c>
      <c r="F147" s="228">
        <f t="shared" si="87"/>
        <v>0</v>
      </c>
      <c r="G147" s="228">
        <f t="shared" si="87"/>
        <v>0</v>
      </c>
      <c r="H147" s="228">
        <f t="shared" si="87"/>
        <v>0</v>
      </c>
      <c r="I147" s="228">
        <f t="shared" si="87"/>
        <v>0</v>
      </c>
      <c r="J147" s="228">
        <f t="shared" ref="J147:M147" si="88">IF(J111=0,,J135*10^6/J123)</f>
        <v>0</v>
      </c>
      <c r="K147" s="228">
        <f t="shared" si="88"/>
        <v>0</v>
      </c>
      <c r="L147" s="228">
        <f t="shared" si="88"/>
        <v>0</v>
      </c>
      <c r="M147" s="228">
        <f t="shared" si="88"/>
        <v>0</v>
      </c>
    </row>
    <row r="148" spans="2:19">
      <c r="B148" s="160" t="str">
        <f t="shared" si="82"/>
        <v>100G</v>
      </c>
      <c r="C148" s="228">
        <f t="shared" ref="C148:I148" si="89">IF(C112=0,,C136*10^6/C124)</f>
        <v>4.9254290368974738</v>
      </c>
      <c r="D148" s="228">
        <f t="shared" si="89"/>
        <v>2.6584808497901724</v>
      </c>
      <c r="E148" s="228">
        <f t="shared" si="89"/>
        <v>0</v>
      </c>
      <c r="F148" s="228">
        <f t="shared" si="89"/>
        <v>0</v>
      </c>
      <c r="G148" s="228">
        <f t="shared" si="89"/>
        <v>0</v>
      </c>
      <c r="H148" s="228">
        <f t="shared" si="89"/>
        <v>0</v>
      </c>
      <c r="I148" s="228">
        <f t="shared" si="89"/>
        <v>0</v>
      </c>
      <c r="J148" s="228">
        <f t="shared" ref="J148:M148" si="90">IF(J112=0,,J136*10^6/J124)</f>
        <v>0</v>
      </c>
      <c r="K148" s="228">
        <f t="shared" si="90"/>
        <v>0</v>
      </c>
      <c r="L148" s="228">
        <f t="shared" si="90"/>
        <v>0</v>
      </c>
      <c r="M148" s="228">
        <f t="shared" si="90"/>
        <v>0</v>
      </c>
    </row>
    <row r="149" spans="2:19">
      <c r="B149" s="160" t="str">
        <f t="shared" si="82"/>
        <v>200G</v>
      </c>
      <c r="C149" s="228">
        <f t="shared" ref="C149:I149" si="91">IF(C113=0,,C137*10^6/C125)</f>
        <v>7.5</v>
      </c>
      <c r="D149" s="228">
        <f t="shared" si="91"/>
        <v>2.5481719367588931</v>
      </c>
      <c r="E149" s="228">
        <f t="shared" si="91"/>
        <v>0</v>
      </c>
      <c r="F149" s="228">
        <f t="shared" si="91"/>
        <v>0</v>
      </c>
      <c r="G149" s="228">
        <f t="shared" si="91"/>
        <v>0</v>
      </c>
      <c r="H149" s="228">
        <f t="shared" si="91"/>
        <v>0</v>
      </c>
      <c r="I149" s="228">
        <f t="shared" si="91"/>
        <v>0</v>
      </c>
      <c r="J149" s="228">
        <f t="shared" ref="J149:M149" si="92">IF(J113=0,,J137*10^6/J125)</f>
        <v>0</v>
      </c>
      <c r="K149" s="228">
        <f t="shared" si="92"/>
        <v>0</v>
      </c>
      <c r="L149" s="228">
        <f t="shared" si="92"/>
        <v>0</v>
      </c>
      <c r="M149" s="228">
        <f t="shared" si="92"/>
        <v>0</v>
      </c>
    </row>
    <row r="150" spans="2:19">
      <c r="B150" s="160" t="str">
        <f t="shared" si="82"/>
        <v>400G</v>
      </c>
      <c r="C150" s="228">
        <f t="shared" ref="C150:I150" si="93">IF(C114=0,,C138*10^6/C126)</f>
        <v>5.7500000000000009</v>
      </c>
      <c r="D150" s="228">
        <f t="shared" si="93"/>
        <v>3.0018704224271828</v>
      </c>
      <c r="E150" s="228">
        <f t="shared" si="93"/>
        <v>0</v>
      </c>
      <c r="F150" s="228">
        <f t="shared" si="93"/>
        <v>0</v>
      </c>
      <c r="G150" s="228">
        <f t="shared" si="93"/>
        <v>0</v>
      </c>
      <c r="H150" s="228">
        <f t="shared" si="93"/>
        <v>0</v>
      </c>
      <c r="I150" s="228">
        <f t="shared" si="93"/>
        <v>0</v>
      </c>
      <c r="J150" s="228">
        <f t="shared" ref="J150:M150" si="94">IF(J114=0,,J138*10^6/J126)</f>
        <v>0</v>
      </c>
      <c r="K150" s="228">
        <f t="shared" si="94"/>
        <v>0</v>
      </c>
      <c r="L150" s="228">
        <f t="shared" si="94"/>
        <v>0</v>
      </c>
      <c r="M150" s="228">
        <f t="shared" si="94"/>
        <v>0</v>
      </c>
    </row>
    <row r="151" spans="2:19">
      <c r="B151" s="160" t="str">
        <f t="shared" si="82"/>
        <v>800G</v>
      </c>
      <c r="C151" s="228"/>
      <c r="D151" s="228"/>
      <c r="E151" s="228"/>
      <c r="F151" s="228"/>
      <c r="G151" s="228"/>
      <c r="H151" s="228"/>
      <c r="I151" s="228"/>
      <c r="J151" s="228"/>
      <c r="K151" s="228"/>
      <c r="L151" s="228"/>
      <c r="M151" s="228"/>
    </row>
    <row r="152" spans="2:19">
      <c r="B152" s="160" t="str">
        <f t="shared" ref="B152" si="95">B67</f>
        <v>Total</v>
      </c>
      <c r="C152" s="228">
        <f t="shared" ref="C152:I152" si="96">IF(C116=0,,C140*10^6/C128)</f>
        <v>4.8808295146484424</v>
      </c>
      <c r="D152" s="228">
        <f t="shared" si="96"/>
        <v>2.8924021463706437</v>
      </c>
      <c r="E152" s="228">
        <f t="shared" si="96"/>
        <v>0</v>
      </c>
      <c r="F152" s="228">
        <f t="shared" si="96"/>
        <v>0</v>
      </c>
      <c r="G152" s="228">
        <f t="shared" si="96"/>
        <v>0</v>
      </c>
      <c r="H152" s="228">
        <f t="shared" si="96"/>
        <v>0</v>
      </c>
      <c r="I152" s="228">
        <f t="shared" si="96"/>
        <v>0</v>
      </c>
      <c r="J152" s="228">
        <f t="shared" ref="J152:M152" si="97">IF(J116=0,,J140*10^6/J128)</f>
        <v>0</v>
      </c>
      <c r="K152" s="228">
        <f t="shared" si="97"/>
        <v>0</v>
      </c>
      <c r="L152" s="228">
        <f t="shared" si="97"/>
        <v>0</v>
      </c>
      <c r="M152" s="228">
        <f t="shared" si="97"/>
        <v>0</v>
      </c>
    </row>
    <row r="157" spans="2:19">
      <c r="B157" t="s">
        <v>357</v>
      </c>
    </row>
    <row r="159" spans="2:19" ht="13.8">
      <c r="C159" s="390">
        <v>2012</v>
      </c>
      <c r="D159" s="390">
        <v>2013</v>
      </c>
      <c r="E159" s="390">
        <v>2014</v>
      </c>
      <c r="F159" s="390">
        <v>2015</v>
      </c>
      <c r="G159" s="103">
        <v>2016</v>
      </c>
      <c r="H159" s="103">
        <v>2017</v>
      </c>
      <c r="I159" s="103">
        <v>2018</v>
      </c>
      <c r="J159" s="103">
        <v>2019</v>
      </c>
      <c r="K159" s="103">
        <v>2020</v>
      </c>
      <c r="L159" s="103">
        <v>2021</v>
      </c>
      <c r="M159" s="103">
        <v>2022</v>
      </c>
      <c r="N159" s="103">
        <v>2023</v>
      </c>
      <c r="O159" s="103">
        <v>2024</v>
      </c>
      <c r="P159" s="103">
        <v>2025</v>
      </c>
      <c r="Q159" s="103">
        <v>2026</v>
      </c>
      <c r="R159" s="103">
        <v>2027</v>
      </c>
      <c r="S159" s="103">
        <v>2028</v>
      </c>
    </row>
    <row r="160" spans="2:19">
      <c r="B160" t="s">
        <v>358</v>
      </c>
      <c r="C160" s="391">
        <v>11.206910619233913</v>
      </c>
      <c r="D160" s="391">
        <v>9.2919679279757297</v>
      </c>
      <c r="E160" s="391">
        <v>7.2488549734174939</v>
      </c>
      <c r="F160" s="391">
        <v>6.6238891591280309</v>
      </c>
      <c r="G160" s="391">
        <v>6.430652693320269</v>
      </c>
      <c r="H160" s="391">
        <v>4.8388879113986398</v>
      </c>
      <c r="I160" s="391">
        <f>Summary!C432</f>
        <v>3.3854077766601836</v>
      </c>
      <c r="J160" s="391">
        <f>Summary!D432</f>
        <v>2.3664260454537254</v>
      </c>
      <c r="K160" s="391" t="e">
        <f>Summary!E432</f>
        <v>#DIV/0!</v>
      </c>
      <c r="L160" s="391" t="e">
        <f>Summary!F432</f>
        <v>#DIV/0!</v>
      </c>
      <c r="M160" s="391" t="e">
        <f>Summary!G432</f>
        <v>#DIV/0!</v>
      </c>
      <c r="N160" s="391" t="e">
        <f>Summary!H432</f>
        <v>#DIV/0!</v>
      </c>
      <c r="O160" s="391" t="e">
        <f>Summary!I432</f>
        <v>#DIV/0!</v>
      </c>
      <c r="P160" s="391" t="e">
        <f>Summary!J432</f>
        <v>#DIV/0!</v>
      </c>
      <c r="Q160" s="391" t="e">
        <f>Summary!K432</f>
        <v>#DIV/0!</v>
      </c>
      <c r="R160" s="391" t="e">
        <f>Summary!L432</f>
        <v>#DIV/0!</v>
      </c>
      <c r="S160" s="391" t="e">
        <f>Summary!M432</f>
        <v>#DIV/0!</v>
      </c>
    </row>
    <row r="161" spans="2:19">
      <c r="C161" s="51">
        <v>-0.10281251580431217</v>
      </c>
      <c r="D161" s="51">
        <v>-0.17087159488643133</v>
      </c>
      <c r="E161" s="51">
        <v>-0.21987946691108862</v>
      </c>
      <c r="F161" s="51">
        <v>-8.6215797747547063E-2</v>
      </c>
      <c r="G161" s="51">
        <v>-2.9172659923131894E-2</v>
      </c>
      <c r="H161" s="51">
        <v>-0.24752771729921719</v>
      </c>
      <c r="I161" s="51">
        <f t="shared" ref="I161" si="98">I160/H160-1</f>
        <v>-0.30037483019901989</v>
      </c>
      <c r="J161" s="51">
        <f t="shared" ref="J161" si="99">J160/I160-1</f>
        <v>-0.30099231715350916</v>
      </c>
      <c r="K161" s="51" t="e">
        <f t="shared" ref="K161" si="100">K160/J160-1</f>
        <v>#DIV/0!</v>
      </c>
      <c r="L161" s="51" t="e">
        <f t="shared" ref="L161" si="101">L160/K160-1</f>
        <v>#DIV/0!</v>
      </c>
      <c r="M161" s="51" t="e">
        <f t="shared" ref="M161" si="102">M160/L160-1</f>
        <v>#DIV/0!</v>
      </c>
      <c r="N161" s="51" t="e">
        <f>N160/M160-1</f>
        <v>#DIV/0!</v>
      </c>
      <c r="O161" s="51" t="e">
        <f t="shared" ref="O161" si="103">O160/N160-1</f>
        <v>#DIV/0!</v>
      </c>
      <c r="P161" s="51" t="e">
        <f t="shared" ref="P161" si="104">P160/O160-1</f>
        <v>#DIV/0!</v>
      </c>
      <c r="Q161" s="51" t="e">
        <f t="shared" ref="Q161" si="105">Q160/P160-1</f>
        <v>#DIV/0!</v>
      </c>
      <c r="R161" s="51" t="e">
        <f t="shared" ref="R161" si="106">R160/Q160-1</f>
        <v>#DIV/0!</v>
      </c>
      <c r="S161" s="51" t="e">
        <f t="shared" ref="S161" si="107">S160/R160-1</f>
        <v>#DIV/0!</v>
      </c>
    </row>
    <row r="162" spans="2:19">
      <c r="I162" s="392"/>
    </row>
    <row r="164" spans="2:19">
      <c r="B164" s="225" t="s">
        <v>186</v>
      </c>
    </row>
    <row r="165" spans="2:19">
      <c r="B165" s="225" t="s">
        <v>16</v>
      </c>
    </row>
    <row r="166" spans="2:19">
      <c r="B166" s="158" t="s">
        <v>94</v>
      </c>
      <c r="C166" s="103">
        <v>2018</v>
      </c>
      <c r="D166" s="103">
        <v>2019</v>
      </c>
      <c r="E166" s="103">
        <v>2020</v>
      </c>
      <c r="F166" s="103">
        <v>2021</v>
      </c>
      <c r="G166" s="103">
        <v>2022</v>
      </c>
      <c r="H166" s="103">
        <v>2023</v>
      </c>
      <c r="I166" s="103">
        <v>2024</v>
      </c>
      <c r="J166" s="103">
        <v>2025</v>
      </c>
      <c r="K166" s="103">
        <v>2026</v>
      </c>
      <c r="L166" s="103">
        <v>2027</v>
      </c>
      <c r="M166" s="103">
        <v>2028</v>
      </c>
    </row>
    <row r="167" spans="2:19">
      <c r="B167" s="160" t="s">
        <v>16</v>
      </c>
      <c r="C167" s="229">
        <f t="shared" ref="C167:I167" si="108">C79</f>
        <v>524144566.102</v>
      </c>
      <c r="D167" s="229">
        <f t="shared" si="108"/>
        <v>555215233.11414719</v>
      </c>
      <c r="E167" s="229">
        <f t="shared" si="108"/>
        <v>0</v>
      </c>
      <c r="F167" s="229">
        <f t="shared" si="108"/>
        <v>0</v>
      </c>
      <c r="G167" s="229">
        <f t="shared" si="108"/>
        <v>0</v>
      </c>
      <c r="H167" s="229">
        <f t="shared" si="108"/>
        <v>0</v>
      </c>
      <c r="I167" s="229">
        <f t="shared" si="108"/>
        <v>0</v>
      </c>
      <c r="J167" s="229">
        <f t="shared" ref="J167:M167" si="109">J79</f>
        <v>0</v>
      </c>
      <c r="K167" s="229">
        <f t="shared" si="109"/>
        <v>0</v>
      </c>
      <c r="L167" s="229">
        <f t="shared" si="109"/>
        <v>0</v>
      </c>
      <c r="M167" s="229">
        <f t="shared" si="109"/>
        <v>0</v>
      </c>
    </row>
    <row r="168" spans="2:19">
      <c r="B168" s="160" t="s">
        <v>5</v>
      </c>
      <c r="C168" s="229">
        <f t="shared" ref="C168:M168" si="110">P76</f>
        <v>128648912</v>
      </c>
      <c r="D168" s="229">
        <f t="shared" si="110"/>
        <v>154203792.25261691</v>
      </c>
      <c r="E168" s="229">
        <f t="shared" si="110"/>
        <v>0</v>
      </c>
      <c r="F168" s="229">
        <f t="shared" si="110"/>
        <v>0</v>
      </c>
      <c r="G168" s="229">
        <f t="shared" si="110"/>
        <v>0</v>
      </c>
      <c r="H168" s="229">
        <f t="shared" si="110"/>
        <v>0</v>
      </c>
      <c r="I168" s="229">
        <f t="shared" si="110"/>
        <v>0</v>
      </c>
      <c r="J168" s="229">
        <f t="shared" si="110"/>
        <v>0</v>
      </c>
      <c r="K168" s="229">
        <f t="shared" si="110"/>
        <v>0</v>
      </c>
      <c r="L168" s="229">
        <f t="shared" si="110"/>
        <v>0</v>
      </c>
      <c r="M168" s="229">
        <f t="shared" si="110"/>
        <v>0</v>
      </c>
      <c r="N168" s="230"/>
    </row>
  </sheetData>
  <pageMargins left="0.7" right="0.7" top="0.75" bottom="0.75" header="0.3" footer="0.3"/>
  <pageSetup orientation="portrait" horizontalDpi="300" verticalDpi="300" r:id="rId1"/>
  <cellWatches>
    <cellWatch r="D19"/>
  </cellWatche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O43"/>
  <sheetViews>
    <sheetView showGridLines="0" zoomScale="70" zoomScaleNormal="70" zoomScalePageLayoutView="80" workbookViewId="0"/>
  </sheetViews>
  <sheetFormatPr defaultColWidth="9.21875" defaultRowHeight="13.2"/>
  <cols>
    <col min="1" max="1" width="4.44140625" customWidth="1"/>
    <col min="2" max="2" width="12.21875" style="3" customWidth="1"/>
    <col min="3" max="3" width="17.44140625" style="3" customWidth="1"/>
    <col min="4" max="4" width="15.44140625" style="3" customWidth="1"/>
    <col min="5" max="15" width="13.21875" customWidth="1"/>
  </cols>
  <sheetData>
    <row r="2" spans="2:15" ht="17.399999999999999">
      <c r="B2" s="179" t="str">
        <f>Introduction!B2</f>
        <v xml:space="preserve">LightCounting Optical Components Market Forecast </v>
      </c>
    </row>
    <row r="3" spans="2:15" ht="15">
      <c r="B3" s="589" t="str">
        <f>Introduction!B3</f>
        <v>Published 31 October 2023 - Sample - for illustrative purposes only</v>
      </c>
    </row>
    <row r="4" spans="2:15" ht="15.6">
      <c r="B4" s="181" t="s">
        <v>198</v>
      </c>
    </row>
    <row r="5" spans="2:15">
      <c r="B5"/>
      <c r="C5"/>
      <c r="D5"/>
    </row>
    <row r="6" spans="2:15">
      <c r="B6" t="s">
        <v>199</v>
      </c>
      <c r="C6"/>
      <c r="D6"/>
    </row>
    <row r="7" spans="2:15">
      <c r="B7" t="s">
        <v>200</v>
      </c>
      <c r="C7"/>
      <c r="D7"/>
    </row>
    <row r="8" spans="2:15" ht="15">
      <c r="E8" s="309"/>
      <c r="F8" s="309"/>
      <c r="G8" s="309"/>
      <c r="H8" s="309"/>
      <c r="I8" s="309"/>
      <c r="J8" s="309"/>
      <c r="K8" s="309"/>
      <c r="L8" s="309"/>
      <c r="M8" s="309"/>
      <c r="N8" s="309"/>
      <c r="O8" s="309"/>
    </row>
    <row r="9" spans="2:15" ht="17.399999999999999">
      <c r="B9" s="186" t="s">
        <v>155</v>
      </c>
      <c r="F9" s="243" t="s">
        <v>197</v>
      </c>
    </row>
    <row r="10" spans="2:15">
      <c r="B10" s="4" t="s">
        <v>22</v>
      </c>
      <c r="C10" s="4" t="s">
        <v>11</v>
      </c>
      <c r="D10" s="4" t="s">
        <v>12</v>
      </c>
      <c r="E10" s="103">
        <v>2018</v>
      </c>
      <c r="F10" s="103">
        <v>2019</v>
      </c>
      <c r="G10" s="103">
        <v>2020</v>
      </c>
      <c r="H10" s="103">
        <v>2021</v>
      </c>
      <c r="I10" s="103">
        <v>2022</v>
      </c>
      <c r="J10" s="103">
        <v>2023</v>
      </c>
      <c r="K10" s="103">
        <v>2024</v>
      </c>
      <c r="L10" s="103">
        <v>2025</v>
      </c>
      <c r="M10" s="103">
        <v>2026</v>
      </c>
      <c r="N10" s="103">
        <v>2027</v>
      </c>
      <c r="O10" s="103">
        <v>2028</v>
      </c>
    </row>
    <row r="11" spans="2:15" ht="10.5" customHeight="1">
      <c r="B11" s="41" t="s">
        <v>19</v>
      </c>
      <c r="C11" s="41" t="s">
        <v>116</v>
      </c>
      <c r="D11" s="41"/>
      <c r="E11" s="483">
        <f>SUM('CWDM and DWDM'!F8:F8)</f>
        <v>326257</v>
      </c>
      <c r="F11" s="483">
        <f>SUM('CWDM and DWDM'!G8:G8)</f>
        <v>376930.99999999994</v>
      </c>
      <c r="G11" s="483"/>
      <c r="H11" s="483"/>
      <c r="I11" s="483"/>
      <c r="J11" s="483"/>
      <c r="K11" s="483"/>
      <c r="L11" s="483"/>
      <c r="M11" s="483"/>
      <c r="N11" s="483"/>
      <c r="O11" s="483"/>
    </row>
    <row r="12" spans="2:15">
      <c r="B12" s="572" t="s">
        <v>31</v>
      </c>
      <c r="C12" s="113" t="s">
        <v>235</v>
      </c>
      <c r="D12" s="261" t="s">
        <v>23</v>
      </c>
      <c r="E12" s="484">
        <f>'CWDM and DWDM'!F9</f>
        <v>38304</v>
      </c>
      <c r="F12" s="484">
        <f>'CWDM and DWDM'!G9</f>
        <v>33359</v>
      </c>
      <c r="G12" s="484"/>
      <c r="H12" s="484"/>
      <c r="I12" s="484"/>
      <c r="J12" s="484"/>
      <c r="K12" s="484"/>
      <c r="L12" s="484"/>
      <c r="M12" s="484"/>
      <c r="N12" s="484"/>
      <c r="O12" s="484"/>
    </row>
    <row r="13" spans="2:15">
      <c r="B13" s="580"/>
      <c r="C13" s="113" t="s">
        <v>236</v>
      </c>
      <c r="D13" s="262"/>
      <c r="E13" s="484">
        <f>SUM('CWDM and DWDM'!F10:F10)</f>
        <v>420136</v>
      </c>
      <c r="F13" s="484">
        <f>SUM('CWDM and DWDM'!G10:G10)</f>
        <v>529485</v>
      </c>
      <c r="G13" s="484"/>
      <c r="H13" s="484"/>
      <c r="I13" s="484"/>
      <c r="J13" s="484"/>
      <c r="K13" s="484"/>
      <c r="L13" s="484"/>
      <c r="M13" s="484"/>
      <c r="N13" s="484"/>
      <c r="O13" s="484"/>
    </row>
    <row r="14" spans="2:15">
      <c r="B14" s="580"/>
      <c r="C14" s="113" t="s">
        <v>237</v>
      </c>
      <c r="D14" s="262"/>
      <c r="E14" s="484">
        <f>'CWDM and DWDM'!F11</f>
        <v>0</v>
      </c>
      <c r="F14" s="484">
        <f>'CWDM and DWDM'!G11</f>
        <v>0</v>
      </c>
      <c r="G14" s="484"/>
      <c r="H14" s="484"/>
      <c r="I14" s="484"/>
      <c r="J14" s="484"/>
      <c r="K14" s="484"/>
      <c r="L14" s="484"/>
      <c r="M14" s="484"/>
      <c r="N14" s="484"/>
      <c r="O14" s="484"/>
    </row>
    <row r="15" spans="2:15">
      <c r="B15" s="580"/>
      <c r="C15" s="113" t="s">
        <v>30</v>
      </c>
      <c r="D15" s="262"/>
      <c r="E15" s="484">
        <f>SUM('CWDM and DWDM'!F12:F16)</f>
        <v>357000</v>
      </c>
      <c r="F15" s="484">
        <f>SUM('CWDM and DWDM'!G12:G16)</f>
        <v>345000.00000000006</v>
      </c>
      <c r="G15" s="484"/>
      <c r="H15" s="484"/>
      <c r="I15" s="484"/>
      <c r="J15" s="484"/>
      <c r="K15" s="484"/>
      <c r="L15" s="484"/>
      <c r="M15" s="484"/>
      <c r="N15" s="484"/>
      <c r="O15" s="484"/>
    </row>
    <row r="16" spans="2:15">
      <c r="B16" s="580"/>
      <c r="C16" s="113" t="s">
        <v>248</v>
      </c>
      <c r="D16" s="262"/>
      <c r="E16" s="484">
        <f>SUM('CWDM and DWDM'!F17:F19)</f>
        <v>122000</v>
      </c>
      <c r="F16" s="484">
        <f>SUM('CWDM and DWDM'!G17:G19)</f>
        <v>217000</v>
      </c>
      <c r="G16" s="484"/>
      <c r="H16" s="484"/>
      <c r="I16" s="484"/>
      <c r="J16" s="484"/>
      <c r="K16" s="484"/>
      <c r="L16" s="484"/>
      <c r="M16" s="484"/>
      <c r="N16" s="484"/>
      <c r="O16" s="484"/>
    </row>
    <row r="17" spans="2:15" ht="12.75" customHeight="1">
      <c r="B17" s="580"/>
      <c r="C17" s="113" t="s">
        <v>123</v>
      </c>
      <c r="D17" s="262"/>
      <c r="E17" s="484">
        <f>SUM('CWDM and DWDM'!F20:F23)</f>
        <v>17500</v>
      </c>
      <c r="F17" s="484">
        <f>SUM('CWDM and DWDM'!G20:G23)</f>
        <v>39000</v>
      </c>
      <c r="G17" s="484"/>
      <c r="H17" s="484"/>
      <c r="I17" s="484"/>
      <c r="J17" s="484"/>
      <c r="K17" s="484"/>
      <c r="L17" s="484"/>
      <c r="M17" s="484"/>
      <c r="N17" s="484"/>
      <c r="O17" s="484"/>
    </row>
    <row r="18" spans="2:15" ht="12.75" customHeight="1">
      <c r="B18" s="580"/>
      <c r="C18" s="113" t="s">
        <v>473</v>
      </c>
      <c r="D18" s="262"/>
      <c r="E18" s="484">
        <f>'CWDM and DWDM'!F24</f>
        <v>0</v>
      </c>
      <c r="F18" s="484">
        <f>'CWDM and DWDM'!G24</f>
        <v>82</v>
      </c>
      <c r="G18" s="484"/>
      <c r="H18" s="484"/>
      <c r="I18" s="484"/>
      <c r="J18" s="484"/>
      <c r="K18" s="484"/>
      <c r="L18" s="484"/>
      <c r="M18" s="484"/>
      <c r="N18" s="484"/>
      <c r="O18" s="484"/>
    </row>
    <row r="19" spans="2:15" ht="12.75" customHeight="1">
      <c r="B19" s="580"/>
      <c r="C19" s="113" t="s">
        <v>403</v>
      </c>
      <c r="D19" s="262"/>
      <c r="E19" s="484">
        <f>'CWDM and DWDM'!F25+'CWDM and DWDM'!F26</f>
        <v>0</v>
      </c>
      <c r="F19" s="484">
        <f>'CWDM and DWDM'!G25+'CWDM and DWDM'!G26</f>
        <v>0</v>
      </c>
      <c r="G19" s="484"/>
      <c r="H19" s="484"/>
      <c r="I19" s="484"/>
      <c r="J19" s="484"/>
      <c r="K19" s="484"/>
      <c r="L19" s="484"/>
      <c r="M19" s="484"/>
      <c r="N19" s="484"/>
      <c r="O19" s="484"/>
    </row>
    <row r="20" spans="2:15" ht="12.75" customHeight="1">
      <c r="B20" s="580"/>
      <c r="C20" s="113" t="s">
        <v>480</v>
      </c>
      <c r="D20" s="262"/>
      <c r="E20" s="484">
        <f>'CWDM and DWDM'!F27</f>
        <v>0</v>
      </c>
      <c r="F20" s="484">
        <f>'CWDM and DWDM'!G27</f>
        <v>0</v>
      </c>
      <c r="G20" s="484"/>
      <c r="H20" s="484"/>
      <c r="I20" s="484"/>
      <c r="J20" s="484"/>
      <c r="K20" s="484"/>
      <c r="L20" s="484"/>
      <c r="M20" s="484"/>
      <c r="N20" s="484"/>
      <c r="O20" s="484"/>
    </row>
    <row r="21" spans="2:15" ht="12.75" customHeight="1" thickBot="1">
      <c r="B21" s="581"/>
      <c r="C21" s="113" t="s">
        <v>481</v>
      </c>
      <c r="D21" s="263"/>
      <c r="E21" s="484">
        <f>'CWDM and DWDM'!F28</f>
        <v>0</v>
      </c>
      <c r="F21" s="484">
        <f>'CWDM and DWDM'!G28</f>
        <v>0</v>
      </c>
      <c r="G21" s="484"/>
      <c r="H21" s="484"/>
      <c r="I21" s="484"/>
      <c r="J21" s="484"/>
      <c r="K21" s="484"/>
      <c r="L21" s="484"/>
      <c r="M21" s="484"/>
      <c r="N21" s="484"/>
      <c r="O21" s="484"/>
    </row>
    <row r="22" spans="2:15">
      <c r="B22" s="583" t="s">
        <v>16</v>
      </c>
      <c r="C22" s="312" t="s">
        <v>17</v>
      </c>
      <c r="D22" s="312" t="s">
        <v>34</v>
      </c>
      <c r="E22" s="313">
        <v>0</v>
      </c>
      <c r="F22" s="313">
        <v>0</v>
      </c>
      <c r="G22" s="313"/>
      <c r="H22" s="313"/>
      <c r="I22" s="313"/>
      <c r="J22" s="313"/>
      <c r="K22" s="313"/>
      <c r="L22" s="313"/>
      <c r="M22" s="313"/>
      <c r="N22" s="313"/>
      <c r="O22" s="313"/>
    </row>
    <row r="23" spans="2:15">
      <c r="B23" s="580"/>
      <c r="C23" s="113" t="s">
        <v>156</v>
      </c>
      <c r="D23" s="113" t="s">
        <v>23</v>
      </c>
      <c r="E23" s="266">
        <v>14338976</v>
      </c>
      <c r="F23" s="266">
        <v>12104234</v>
      </c>
      <c r="G23" s="266"/>
      <c r="H23" s="266"/>
      <c r="I23" s="266"/>
      <c r="J23" s="266"/>
      <c r="K23" s="266"/>
      <c r="L23" s="266"/>
      <c r="M23" s="266"/>
      <c r="N23" s="266"/>
      <c r="O23" s="266"/>
    </row>
    <row r="24" spans="2:15">
      <c r="B24" s="580"/>
      <c r="C24" s="582" t="s">
        <v>176</v>
      </c>
      <c r="D24" s="113" t="s">
        <v>35</v>
      </c>
      <c r="E24" s="266">
        <v>14084264</v>
      </c>
      <c r="F24" s="266">
        <v>12626905.000000002</v>
      </c>
      <c r="G24" s="266"/>
      <c r="H24" s="266"/>
      <c r="I24" s="266"/>
      <c r="J24" s="266"/>
      <c r="K24" s="266"/>
      <c r="L24" s="266"/>
      <c r="M24" s="266"/>
      <c r="N24" s="266"/>
      <c r="O24" s="266"/>
    </row>
    <row r="25" spans="2:15">
      <c r="B25" s="580"/>
      <c r="C25" s="582"/>
      <c r="D25" s="113" t="s">
        <v>34</v>
      </c>
      <c r="E25" s="266">
        <v>7087259</v>
      </c>
      <c r="F25" s="266">
        <v>5481407</v>
      </c>
      <c r="G25" s="266"/>
      <c r="H25" s="266"/>
      <c r="I25" s="266"/>
      <c r="J25" s="266"/>
      <c r="K25" s="266"/>
      <c r="L25" s="266"/>
      <c r="M25" s="266"/>
      <c r="N25" s="266"/>
      <c r="O25" s="266"/>
    </row>
    <row r="26" spans="2:15">
      <c r="B26" s="580"/>
      <c r="C26" s="582"/>
      <c r="D26" s="113" t="s">
        <v>36</v>
      </c>
      <c r="E26" s="266">
        <v>845482.1</v>
      </c>
      <c r="F26" s="266">
        <v>506727</v>
      </c>
      <c r="G26" s="266"/>
      <c r="H26" s="266"/>
      <c r="I26" s="266"/>
      <c r="J26" s="266"/>
      <c r="K26" s="266"/>
      <c r="L26" s="266"/>
      <c r="M26" s="266"/>
      <c r="N26" s="266"/>
      <c r="O26" s="266"/>
    </row>
    <row r="27" spans="2:15">
      <c r="B27" s="580"/>
      <c r="C27" s="113" t="s">
        <v>229</v>
      </c>
      <c r="D27" s="113" t="s">
        <v>70</v>
      </c>
      <c r="E27" s="266">
        <v>335766.31578947371</v>
      </c>
      <c r="F27" s="266">
        <v>696975.78947368427</v>
      </c>
      <c r="G27" s="266"/>
      <c r="H27" s="266"/>
      <c r="I27" s="266"/>
      <c r="J27" s="266"/>
      <c r="K27" s="266"/>
      <c r="L27" s="266"/>
      <c r="M27" s="266"/>
      <c r="N27" s="266"/>
      <c r="O27" s="266"/>
    </row>
    <row r="28" spans="2:15">
      <c r="B28" s="580"/>
      <c r="C28" s="113" t="s">
        <v>206</v>
      </c>
      <c r="D28" s="113" t="s">
        <v>70</v>
      </c>
      <c r="E28" s="266">
        <v>3154063.2839062503</v>
      </c>
      <c r="F28" s="266">
        <v>2801854.166666667</v>
      </c>
      <c r="G28" s="266"/>
      <c r="H28" s="266"/>
      <c r="I28" s="266"/>
      <c r="J28" s="266"/>
      <c r="K28" s="266"/>
      <c r="L28" s="266"/>
      <c r="M28" s="266"/>
      <c r="N28" s="266"/>
      <c r="O28" s="266"/>
    </row>
    <row r="29" spans="2:15">
      <c r="B29" s="580"/>
      <c r="C29" s="113" t="s">
        <v>238</v>
      </c>
      <c r="D29" s="113" t="s">
        <v>70</v>
      </c>
      <c r="E29" s="266">
        <v>0</v>
      </c>
      <c r="F29" s="266">
        <v>0</v>
      </c>
      <c r="G29" s="266"/>
      <c r="H29" s="266"/>
      <c r="I29" s="266"/>
      <c r="J29" s="266"/>
      <c r="K29" s="266"/>
      <c r="L29" s="266"/>
      <c r="M29" s="266"/>
      <c r="N29" s="266"/>
      <c r="O29" s="266"/>
    </row>
    <row r="30" spans="2:15">
      <c r="B30" s="580"/>
      <c r="C30" s="113" t="s">
        <v>207</v>
      </c>
      <c r="D30" s="113" t="s">
        <v>70</v>
      </c>
      <c r="E30" s="266">
        <v>6512651.3017838728</v>
      </c>
      <c r="F30" s="266">
        <v>8324570.4117278662</v>
      </c>
      <c r="G30" s="266"/>
      <c r="H30" s="266"/>
      <c r="I30" s="266"/>
      <c r="J30" s="266"/>
      <c r="K30" s="266"/>
      <c r="L30" s="266"/>
      <c r="M30" s="266"/>
      <c r="N30" s="266"/>
      <c r="O30" s="266"/>
    </row>
    <row r="31" spans="2:15">
      <c r="B31" s="580"/>
      <c r="C31" s="113" t="s">
        <v>239</v>
      </c>
      <c r="D31" s="113" t="s">
        <v>70</v>
      </c>
      <c r="E31" s="266">
        <v>1063.8297872340427</v>
      </c>
      <c r="F31" s="266">
        <v>11654.736842105263</v>
      </c>
      <c r="G31" s="266"/>
      <c r="H31" s="266"/>
      <c r="I31" s="266"/>
      <c r="J31" s="266"/>
      <c r="K31" s="266"/>
      <c r="L31" s="266"/>
      <c r="M31" s="266"/>
      <c r="N31" s="266"/>
      <c r="O31" s="266"/>
    </row>
    <row r="32" spans="2:15" ht="14.4" thickBot="1">
      <c r="B32" s="584"/>
      <c r="C32" s="310" t="s">
        <v>408</v>
      </c>
      <c r="D32" s="310" t="s">
        <v>70</v>
      </c>
      <c r="E32" s="314">
        <v>41935.483870967742</v>
      </c>
      <c r="F32" s="314">
        <v>156016.62380173019</v>
      </c>
      <c r="G32" s="314"/>
      <c r="H32" s="314"/>
      <c r="I32" s="314"/>
      <c r="J32" s="314"/>
      <c r="K32" s="314"/>
      <c r="L32" s="314"/>
      <c r="M32" s="314"/>
      <c r="N32" s="314"/>
      <c r="O32" s="314"/>
    </row>
    <row r="33" spans="2:15">
      <c r="B33" s="580" t="s">
        <v>5</v>
      </c>
      <c r="C33" s="113" t="s">
        <v>37</v>
      </c>
      <c r="D33" s="113" t="s">
        <v>70</v>
      </c>
      <c r="E33" s="266">
        <v>1306622</v>
      </c>
      <c r="F33" s="266">
        <v>487662</v>
      </c>
      <c r="G33" s="266"/>
      <c r="H33" s="266"/>
      <c r="I33" s="266"/>
      <c r="J33" s="266"/>
      <c r="K33" s="266"/>
      <c r="L33" s="266"/>
      <c r="M33" s="266"/>
      <c r="N33" s="266"/>
      <c r="O33" s="266"/>
    </row>
    <row r="34" spans="2:15">
      <c r="B34" s="580"/>
      <c r="C34" s="147" t="s">
        <v>38</v>
      </c>
      <c r="D34" s="113" t="s">
        <v>70</v>
      </c>
      <c r="E34" s="266">
        <v>5677250</v>
      </c>
      <c r="F34" s="266">
        <v>4999639.0999999996</v>
      </c>
      <c r="G34" s="266"/>
      <c r="H34" s="266"/>
      <c r="I34" s="266"/>
      <c r="J34" s="266"/>
      <c r="K34" s="266"/>
      <c r="L34" s="266"/>
      <c r="M34" s="266"/>
      <c r="N34" s="266"/>
      <c r="O34" s="266"/>
    </row>
    <row r="35" spans="2:15">
      <c r="B35" s="580"/>
      <c r="C35" s="147" t="s">
        <v>103</v>
      </c>
      <c r="D35" s="113" t="s">
        <v>70</v>
      </c>
      <c r="E35" s="266">
        <v>854998</v>
      </c>
      <c r="F35" s="266">
        <v>2197133.4578942787</v>
      </c>
      <c r="G35" s="266"/>
      <c r="H35" s="266"/>
      <c r="I35" s="266"/>
      <c r="J35" s="266"/>
      <c r="K35" s="266"/>
      <c r="L35" s="266"/>
      <c r="M35" s="266"/>
      <c r="N35" s="266"/>
      <c r="O35" s="266"/>
    </row>
    <row r="36" spans="2:15" ht="13.8" thickBot="1">
      <c r="B36" s="584"/>
      <c r="C36" s="311" t="s">
        <v>121</v>
      </c>
      <c r="D36" s="310" t="s">
        <v>70</v>
      </c>
      <c r="E36" s="314">
        <v>300</v>
      </c>
      <c r="F36" s="314">
        <v>3300</v>
      </c>
      <c r="G36" s="314"/>
      <c r="H36" s="314"/>
      <c r="I36" s="314"/>
      <c r="J36" s="314"/>
      <c r="K36" s="314"/>
      <c r="L36" s="314"/>
      <c r="M36" s="314"/>
      <c r="N36" s="314"/>
      <c r="O36" s="314"/>
    </row>
    <row r="37" spans="2:15">
      <c r="B37" s="583" t="s">
        <v>79</v>
      </c>
      <c r="C37" s="312" t="s">
        <v>299</v>
      </c>
      <c r="D37" s="583" t="s">
        <v>70</v>
      </c>
      <c r="E37" s="315">
        <v>8068409.5123438826</v>
      </c>
      <c r="F37" s="315">
        <v>8143755.8995631151</v>
      </c>
      <c r="G37" s="315"/>
      <c r="H37" s="315"/>
      <c r="I37" s="315"/>
      <c r="J37" s="315"/>
      <c r="K37" s="315"/>
      <c r="L37" s="315"/>
      <c r="M37" s="315"/>
      <c r="N37" s="315"/>
      <c r="O37" s="315"/>
    </row>
    <row r="38" spans="2:15">
      <c r="B38" s="580"/>
      <c r="C38" s="113" t="s">
        <v>78</v>
      </c>
      <c r="D38" s="580"/>
      <c r="E38" s="302">
        <v>9428735.2416260391</v>
      </c>
      <c r="F38" s="302">
        <v>22723866.798301022</v>
      </c>
      <c r="G38" s="302"/>
      <c r="H38" s="302"/>
      <c r="I38" s="302"/>
      <c r="J38" s="302"/>
      <c r="K38" s="302"/>
      <c r="L38" s="302"/>
      <c r="M38" s="302"/>
      <c r="N38" s="302"/>
      <c r="O38" s="302"/>
    </row>
    <row r="39" spans="2:15">
      <c r="B39" s="580"/>
      <c r="C39" s="113" t="s">
        <v>231</v>
      </c>
      <c r="D39" s="580"/>
      <c r="E39" s="302">
        <v>357262</v>
      </c>
      <c r="F39" s="302">
        <v>3632434.6563931196</v>
      </c>
      <c r="G39" s="302"/>
      <c r="H39" s="302"/>
      <c r="I39" s="302"/>
      <c r="J39" s="302"/>
      <c r="K39" s="302"/>
      <c r="L39" s="302"/>
      <c r="M39" s="302"/>
      <c r="N39" s="302"/>
      <c r="O39" s="302"/>
    </row>
    <row r="40" spans="2:15">
      <c r="B40" s="580"/>
      <c r="C40" s="263" t="s">
        <v>288</v>
      </c>
      <c r="D40" s="580"/>
      <c r="E40" s="302">
        <v>0</v>
      </c>
      <c r="F40" s="302">
        <v>110894</v>
      </c>
      <c r="G40" s="302"/>
      <c r="H40" s="302"/>
      <c r="I40" s="302"/>
      <c r="J40" s="302"/>
      <c r="K40" s="302"/>
      <c r="L40" s="302"/>
      <c r="M40" s="302"/>
      <c r="N40" s="302"/>
      <c r="O40" s="302"/>
    </row>
    <row r="41" spans="2:15">
      <c r="B41" s="580"/>
      <c r="C41" s="113" t="s">
        <v>30</v>
      </c>
      <c r="D41" s="580"/>
      <c r="E41" s="302">
        <v>0</v>
      </c>
      <c r="F41" s="302">
        <v>12200</v>
      </c>
      <c r="G41" s="302"/>
      <c r="H41" s="302"/>
      <c r="I41" s="302"/>
      <c r="J41" s="302"/>
      <c r="K41" s="302"/>
      <c r="L41" s="302"/>
      <c r="M41" s="302"/>
      <c r="N41" s="302"/>
      <c r="O41" s="302"/>
    </row>
    <row r="42" spans="2:15">
      <c r="B42" s="580"/>
      <c r="C42" s="113" t="s">
        <v>248</v>
      </c>
      <c r="D42" s="580"/>
      <c r="E42" s="302">
        <v>0</v>
      </c>
      <c r="F42" s="302">
        <v>0</v>
      </c>
      <c r="G42" s="302"/>
      <c r="H42" s="302"/>
      <c r="I42" s="302"/>
      <c r="J42" s="302"/>
      <c r="K42" s="302"/>
      <c r="L42" s="302"/>
      <c r="M42" s="302"/>
      <c r="N42" s="302"/>
      <c r="O42" s="302"/>
    </row>
    <row r="43" spans="2:15" ht="13.8" thickBot="1">
      <c r="B43" s="584"/>
      <c r="C43" s="310"/>
      <c r="D43" s="584"/>
      <c r="E43" s="316">
        <v>0</v>
      </c>
      <c r="F43" s="316">
        <v>0</v>
      </c>
      <c r="G43" s="316"/>
      <c r="H43" s="316"/>
      <c r="I43" s="316"/>
      <c r="J43" s="316"/>
      <c r="K43" s="316"/>
      <c r="L43" s="316"/>
      <c r="M43" s="316"/>
      <c r="N43" s="316"/>
      <c r="O43" s="316"/>
    </row>
  </sheetData>
  <mergeCells count="6">
    <mergeCell ref="B12:B21"/>
    <mergeCell ref="C24:C26"/>
    <mergeCell ref="B37:B43"/>
    <mergeCell ref="D37:D43"/>
    <mergeCell ref="B33:B36"/>
    <mergeCell ref="B22:B3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A2:X375"/>
  <sheetViews>
    <sheetView showGridLines="0" zoomScale="70" zoomScaleNormal="70" zoomScalePageLayoutView="60" workbookViewId="0"/>
  </sheetViews>
  <sheetFormatPr defaultColWidth="8.77734375" defaultRowHeight="13.8"/>
  <cols>
    <col min="1" max="1" width="4.44140625" style="151" customWidth="1"/>
    <col min="2" max="2" width="32.44140625" style="151" customWidth="1"/>
    <col min="3" max="13" width="13.21875" style="151" customWidth="1"/>
    <col min="14" max="14" width="13.44140625" style="151" customWidth="1"/>
    <col min="15" max="15" width="14.44140625" style="151" customWidth="1"/>
    <col min="16" max="16" width="14.6640625" style="151" customWidth="1"/>
    <col min="17" max="17" width="13.44140625" style="151" customWidth="1"/>
    <col min="18" max="18" width="12.77734375" style="151" customWidth="1"/>
    <col min="19" max="19" width="14" style="151" customWidth="1"/>
    <col min="20" max="20" width="13.21875" style="151" customWidth="1"/>
    <col min="21" max="21" width="12.44140625" style="151" customWidth="1"/>
    <col min="22" max="22" width="10.44140625" style="151" customWidth="1"/>
    <col min="23" max="23" width="11.77734375" style="151" customWidth="1"/>
    <col min="24" max="25" width="10.44140625" style="151" customWidth="1"/>
    <col min="26" max="16384" width="8.77734375" style="151"/>
  </cols>
  <sheetData>
    <row r="2" spans="2:9" ht="17.399999999999999">
      <c r="B2" s="100" t="str">
        <f>Introduction!B2</f>
        <v xml:space="preserve">LightCounting Optical Components Market Forecast </v>
      </c>
    </row>
    <row r="3" spans="2:9" ht="15.6">
      <c r="B3" s="585" t="str">
        <f>Introduction!B3</f>
        <v>Published 31 October 2023 - Sample - for illustrative purposes only</v>
      </c>
    </row>
    <row r="4" spans="2:9" ht="17.399999999999999">
      <c r="B4" s="178" t="s">
        <v>252</v>
      </c>
    </row>
    <row r="5" spans="2:9" ht="17.399999999999999">
      <c r="B5" s="178"/>
    </row>
    <row r="6" spans="2:9" ht="23.4">
      <c r="B6" s="275" t="s">
        <v>423</v>
      </c>
    </row>
    <row r="8" spans="2:9" ht="18">
      <c r="B8" s="276" t="s">
        <v>564</v>
      </c>
      <c r="C8" s="474"/>
      <c r="D8" s="474"/>
      <c r="E8" s="244"/>
      <c r="F8" s="244"/>
      <c r="G8" s="244"/>
      <c r="H8" s="244"/>
      <c r="I8" s="244"/>
    </row>
    <row r="9" spans="2:9">
      <c r="C9" s="474"/>
      <c r="D9" s="474"/>
      <c r="E9" s="244"/>
      <c r="F9" s="244"/>
      <c r="G9" s="244"/>
      <c r="H9" s="244"/>
      <c r="I9" s="244"/>
    </row>
    <row r="10" spans="2:9">
      <c r="C10" s="474"/>
      <c r="D10" s="474"/>
      <c r="E10" s="244"/>
      <c r="F10" s="244"/>
      <c r="G10" s="244"/>
      <c r="H10" s="244"/>
      <c r="I10" s="244"/>
    </row>
    <row r="11" spans="2:9">
      <c r="C11" s="474"/>
      <c r="D11" s="474"/>
      <c r="E11" s="244"/>
      <c r="F11" s="244"/>
      <c r="G11" s="244"/>
      <c r="H11" s="244"/>
      <c r="I11" s="244"/>
    </row>
    <row r="12" spans="2:9">
      <c r="C12" s="474"/>
      <c r="D12" s="474"/>
      <c r="E12" s="244"/>
      <c r="F12" s="244"/>
      <c r="G12" s="244"/>
      <c r="H12" s="244"/>
      <c r="I12" s="244"/>
    </row>
    <row r="13" spans="2:9">
      <c r="C13" s="474"/>
      <c r="D13" s="474"/>
      <c r="E13" s="244"/>
      <c r="F13" s="244"/>
      <c r="G13" s="244"/>
      <c r="H13" s="244"/>
      <c r="I13" s="244"/>
    </row>
    <row r="14" spans="2:9">
      <c r="C14" s="474"/>
      <c r="D14" s="474"/>
      <c r="E14" s="244"/>
      <c r="F14" s="244"/>
      <c r="G14" s="244"/>
      <c r="H14" s="244"/>
      <c r="I14" s="244"/>
    </row>
    <row r="15" spans="2:9">
      <c r="C15" s="474"/>
      <c r="D15" s="474"/>
      <c r="E15" s="244"/>
      <c r="F15" s="244"/>
      <c r="G15" s="244"/>
      <c r="H15" s="244"/>
      <c r="I15" s="244"/>
    </row>
    <row r="16" spans="2:9">
      <c r="C16" s="474"/>
      <c r="D16" s="474"/>
      <c r="E16" s="244"/>
      <c r="F16" s="244"/>
      <c r="G16" s="244"/>
      <c r="H16" s="244"/>
      <c r="I16" s="244"/>
    </row>
    <row r="17" spans="2:11">
      <c r="C17" s="474"/>
      <c r="D17" s="474"/>
      <c r="E17" s="244"/>
      <c r="F17" s="244"/>
      <c r="G17" s="244"/>
      <c r="H17" s="244"/>
      <c r="I17" s="244"/>
    </row>
    <row r="18" spans="2:11">
      <c r="C18" s="474"/>
      <c r="D18" s="474"/>
      <c r="E18" s="244"/>
      <c r="F18" s="244"/>
      <c r="G18" s="244"/>
      <c r="H18" s="244"/>
      <c r="I18" s="244"/>
    </row>
    <row r="19" spans="2:11">
      <c r="C19" s="474"/>
      <c r="D19" s="474"/>
      <c r="E19" s="244"/>
      <c r="F19" s="244"/>
      <c r="G19" s="244"/>
      <c r="H19" s="244"/>
      <c r="I19" s="244"/>
    </row>
    <row r="20" spans="2:11">
      <c r="C20" s="474"/>
      <c r="D20" s="474"/>
      <c r="E20" s="244"/>
      <c r="F20" s="244"/>
      <c r="G20" s="244"/>
      <c r="H20" s="244"/>
      <c r="I20" s="244"/>
    </row>
    <row r="21" spans="2:11">
      <c r="C21" s="474"/>
      <c r="D21" s="474"/>
      <c r="E21" s="244"/>
      <c r="F21" s="244"/>
      <c r="G21" s="244"/>
      <c r="H21" s="244"/>
      <c r="I21" s="244"/>
    </row>
    <row r="22" spans="2:11">
      <c r="C22" s="474"/>
      <c r="D22" s="474"/>
      <c r="E22" s="244"/>
      <c r="F22" s="244"/>
      <c r="G22" s="244"/>
      <c r="H22" s="244"/>
      <c r="I22" s="244"/>
    </row>
    <row r="23" spans="2:11">
      <c r="C23" s="474"/>
      <c r="D23" s="474"/>
      <c r="E23" s="244"/>
      <c r="F23" s="244"/>
      <c r="G23" s="244"/>
      <c r="H23" s="244"/>
      <c r="I23" s="244"/>
    </row>
    <row r="24" spans="2:11">
      <c r="C24" s="474"/>
      <c r="D24" s="474"/>
      <c r="E24" s="244"/>
      <c r="F24" s="244"/>
      <c r="G24" s="244"/>
      <c r="H24" s="244"/>
      <c r="I24" s="244"/>
    </row>
    <row r="25" spans="2:11">
      <c r="C25" s="474"/>
      <c r="D25" s="474"/>
      <c r="E25" s="244"/>
      <c r="F25" s="244"/>
      <c r="G25" s="244"/>
      <c r="H25" s="244"/>
      <c r="I25" s="244"/>
    </row>
    <row r="26" spans="2:11">
      <c r="C26" s="474"/>
      <c r="D26" s="474"/>
      <c r="E26" s="244"/>
      <c r="F26" s="244"/>
      <c r="G26" s="244"/>
      <c r="H26" s="244"/>
      <c r="I26" s="244"/>
    </row>
    <row r="27" spans="2:11">
      <c r="C27" s="474"/>
      <c r="D27" s="474"/>
      <c r="E27" s="244"/>
      <c r="F27" s="244"/>
      <c r="G27" s="244"/>
      <c r="H27" s="244"/>
      <c r="I27" s="244"/>
    </row>
    <row r="28" spans="2:11">
      <c r="C28" s="474"/>
      <c r="D28" s="474"/>
      <c r="E28" s="244"/>
      <c r="F28" s="244"/>
      <c r="G28" s="244"/>
      <c r="H28" s="244"/>
      <c r="I28" s="244"/>
    </row>
    <row r="29" spans="2:11">
      <c r="C29" s="474"/>
      <c r="D29" s="474"/>
      <c r="E29" s="244"/>
      <c r="F29" s="244"/>
      <c r="G29" s="244"/>
      <c r="H29" s="244"/>
      <c r="I29" s="244"/>
    </row>
    <row r="30" spans="2:11" ht="23.4">
      <c r="B30" s="276" t="s">
        <v>424</v>
      </c>
      <c r="F30" s="485"/>
      <c r="K30" s="485"/>
    </row>
    <row r="39" spans="3:3" ht="14.4">
      <c r="C39" s="559"/>
    </row>
    <row r="52" spans="2:2" ht="18">
      <c r="B52" s="276" t="s">
        <v>425</v>
      </c>
    </row>
    <row r="71" spans="2:10" ht="14.4">
      <c r="B71" s="456" t="s">
        <v>418</v>
      </c>
      <c r="C71" s="257">
        <v>2016</v>
      </c>
      <c r="D71" s="257">
        <v>2017</v>
      </c>
      <c r="E71" s="108">
        <v>2018</v>
      </c>
      <c r="F71" s="108">
        <v>2019</v>
      </c>
      <c r="G71" s="108">
        <v>2020</v>
      </c>
      <c r="H71" s="108">
        <v>2021</v>
      </c>
      <c r="I71" s="108">
        <v>2022</v>
      </c>
      <c r="J71" s="108" t="s">
        <v>469</v>
      </c>
    </row>
    <row r="72" spans="2:10">
      <c r="B72" s="455" t="s">
        <v>416</v>
      </c>
      <c r="C72" s="453">
        <v>176.69215136806716</v>
      </c>
      <c r="D72" s="453">
        <v>171.85648568711298</v>
      </c>
      <c r="E72" s="453">
        <v>171.96407556088107</v>
      </c>
      <c r="F72" s="453"/>
      <c r="G72" s="453"/>
      <c r="H72" s="453"/>
      <c r="I72" s="453"/>
      <c r="J72" s="453"/>
    </row>
    <row r="73" spans="2:10">
      <c r="B73" s="455" t="s">
        <v>417</v>
      </c>
      <c r="C73" s="453">
        <v>51.60541888384882</v>
      </c>
      <c r="D73" s="453">
        <v>63.688943714347737</v>
      </c>
      <c r="E73" s="453">
        <v>97.009259034306709</v>
      </c>
      <c r="F73" s="453"/>
      <c r="G73" s="453"/>
      <c r="H73" s="453"/>
      <c r="I73" s="453"/>
      <c r="J73" s="453"/>
    </row>
    <row r="78" spans="2:10" ht="23.4">
      <c r="B78" s="275" t="s">
        <v>264</v>
      </c>
    </row>
    <row r="80" spans="2:10" ht="15.6">
      <c r="B80" s="246" t="s">
        <v>265</v>
      </c>
    </row>
    <row r="98" spans="2:17" ht="15.6">
      <c r="H98" s="411"/>
    </row>
    <row r="99" spans="2:17">
      <c r="C99" s="108">
        <v>2010</v>
      </c>
      <c r="D99" s="108">
        <v>2011</v>
      </c>
      <c r="E99" s="108">
        <v>2012</v>
      </c>
      <c r="F99" s="108">
        <v>2013</v>
      </c>
      <c r="G99" s="108">
        <v>2014</v>
      </c>
      <c r="H99" s="108">
        <v>2015</v>
      </c>
      <c r="I99" s="108">
        <v>2016</v>
      </c>
      <c r="J99" s="108">
        <v>2017</v>
      </c>
      <c r="K99" s="108">
        <v>2018</v>
      </c>
      <c r="L99" s="108">
        <v>2019</v>
      </c>
      <c r="M99" s="108">
        <v>2020</v>
      </c>
      <c r="N99" s="108">
        <v>2021</v>
      </c>
      <c r="O99" s="108">
        <v>2022</v>
      </c>
      <c r="P99" s="108" t="s">
        <v>469</v>
      </c>
      <c r="Q99" s="292" t="s">
        <v>472</v>
      </c>
    </row>
    <row r="100" spans="2:17">
      <c r="B100" s="424" t="s">
        <v>290</v>
      </c>
      <c r="C100" s="453">
        <v>11.949143743650291</v>
      </c>
      <c r="D100" s="453">
        <v>15.26648873523358</v>
      </c>
      <c r="E100" s="453">
        <v>23.996349681767459</v>
      </c>
      <c r="F100" s="453">
        <v>30.125902783179761</v>
      </c>
      <c r="G100" s="453">
        <v>39.220457516815429</v>
      </c>
      <c r="H100" s="453">
        <v>42.942120514974171</v>
      </c>
      <c r="I100" s="453">
        <v>51.60541888384882</v>
      </c>
      <c r="J100" s="453">
        <v>63.688943714347737</v>
      </c>
      <c r="K100" s="453">
        <v>97.009259034306709</v>
      </c>
      <c r="L100" s="453"/>
      <c r="M100" s="453"/>
      <c r="N100" s="453"/>
      <c r="O100" s="453"/>
      <c r="P100" s="453"/>
      <c r="Q100" s="442">
        <f>(P100/C100)^(1/13)-1</f>
        <v>-1</v>
      </c>
    </row>
    <row r="101" spans="2:17">
      <c r="B101" s="424" t="s">
        <v>376</v>
      </c>
      <c r="C101" s="240"/>
      <c r="D101" s="442">
        <f t="shared" ref="D101:K101" si="0">D100/C100-1</f>
        <v>0.27762198386358072</v>
      </c>
      <c r="E101" s="286">
        <f t="shared" si="0"/>
        <v>0.57183161746854094</v>
      </c>
      <c r="F101" s="286">
        <f t="shared" si="0"/>
        <v>0.25543689697394134</v>
      </c>
      <c r="G101" s="286">
        <f t="shared" si="0"/>
        <v>0.30188488620873599</v>
      </c>
      <c r="H101" s="286">
        <f t="shared" si="0"/>
        <v>9.4890861397093795E-2</v>
      </c>
      <c r="I101" s="286">
        <f t="shared" si="0"/>
        <v>0.20174360895507482</v>
      </c>
      <c r="J101" s="423">
        <f t="shared" si="0"/>
        <v>0.23415224780358779</v>
      </c>
      <c r="K101" s="423">
        <f t="shared" si="0"/>
        <v>0.52317267922364086</v>
      </c>
      <c r="L101" s="423"/>
      <c r="M101" s="423"/>
      <c r="N101" s="423"/>
      <c r="O101" s="423"/>
      <c r="P101" s="423"/>
    </row>
    <row r="103" spans="2:17" ht="23.4">
      <c r="B103" s="275" t="s">
        <v>263</v>
      </c>
    </row>
    <row r="105" spans="2:17" ht="15.6">
      <c r="B105" s="246" t="s">
        <v>521</v>
      </c>
      <c r="J105" s="246"/>
    </row>
    <row r="126" spans="10:10" ht="15.6">
      <c r="J126" s="383"/>
    </row>
    <row r="129" spans="2:13" ht="15.6">
      <c r="B129" s="78" t="s">
        <v>444</v>
      </c>
      <c r="H129" s="383"/>
    </row>
    <row r="130" spans="2:13">
      <c r="C130" s="242">
        <v>2018</v>
      </c>
      <c r="D130" s="242">
        <v>2019</v>
      </c>
      <c r="E130" s="242">
        <v>2020</v>
      </c>
      <c r="F130" s="242">
        <v>2021</v>
      </c>
      <c r="G130" s="242">
        <v>2022</v>
      </c>
      <c r="H130" s="242">
        <v>2023</v>
      </c>
      <c r="I130" s="242">
        <v>2024</v>
      </c>
      <c r="J130" s="242">
        <v>2025</v>
      </c>
      <c r="K130" s="242">
        <v>2026</v>
      </c>
      <c r="L130" s="242">
        <v>2027</v>
      </c>
      <c r="M130" s="242">
        <v>2028</v>
      </c>
    </row>
    <row r="131" spans="2:13">
      <c r="B131" s="443" t="s">
        <v>254</v>
      </c>
      <c r="C131" s="554">
        <v>19.278010195619807</v>
      </c>
      <c r="D131" s="554">
        <v>28.041115814340749</v>
      </c>
      <c r="E131" s="554"/>
      <c r="F131" s="554"/>
      <c r="G131" s="554"/>
      <c r="H131" s="554"/>
      <c r="I131" s="554"/>
      <c r="J131" s="554"/>
      <c r="K131" s="554"/>
      <c r="L131" s="554"/>
      <c r="M131" s="554"/>
    </row>
    <row r="132" spans="2:13">
      <c r="B132" s="444" t="s">
        <v>226</v>
      </c>
      <c r="C132" s="554">
        <v>47.804295142622948</v>
      </c>
      <c r="D132" s="554">
        <v>69.728426538603699</v>
      </c>
      <c r="E132" s="554"/>
      <c r="F132" s="554"/>
      <c r="G132" s="554"/>
      <c r="H132" s="554"/>
      <c r="I132" s="554"/>
      <c r="J132" s="554"/>
      <c r="K132" s="554"/>
      <c r="L132" s="554"/>
      <c r="M132" s="554"/>
    </row>
    <row r="133" spans="2:13">
      <c r="B133" s="445" t="s">
        <v>255</v>
      </c>
      <c r="C133" s="554">
        <v>4.8104253608118679</v>
      </c>
      <c r="D133" s="554">
        <v>4.9272151470555592</v>
      </c>
      <c r="E133" s="554"/>
      <c r="F133" s="554"/>
      <c r="G133" s="554"/>
      <c r="H133" s="554"/>
      <c r="I133" s="554"/>
      <c r="J133" s="554"/>
      <c r="K133" s="554"/>
      <c r="L133" s="554"/>
      <c r="M133" s="554"/>
    </row>
    <row r="134" spans="2:13">
      <c r="B134" s="240" t="s">
        <v>93</v>
      </c>
      <c r="C134" s="457">
        <f t="shared" ref="C134:K134" si="1">SUM(C131:C133)</f>
        <v>71.89273069905461</v>
      </c>
      <c r="D134" s="457">
        <f t="shared" si="1"/>
        <v>102.69675750000002</v>
      </c>
      <c r="E134" s="457">
        <f t="shared" si="1"/>
        <v>0</v>
      </c>
      <c r="F134" s="457">
        <f t="shared" si="1"/>
        <v>0</v>
      </c>
      <c r="G134" s="457">
        <f t="shared" si="1"/>
        <v>0</v>
      </c>
      <c r="H134" s="457">
        <f t="shared" si="1"/>
        <v>0</v>
      </c>
      <c r="I134" s="457">
        <f t="shared" si="1"/>
        <v>0</v>
      </c>
      <c r="J134" s="457">
        <f t="shared" si="1"/>
        <v>0</v>
      </c>
      <c r="K134" s="457">
        <f t="shared" si="1"/>
        <v>0</v>
      </c>
      <c r="L134" s="457">
        <f t="shared" ref="L134:M134" si="2">SUM(L131:L133)</f>
        <v>0</v>
      </c>
      <c r="M134" s="457">
        <f t="shared" si="2"/>
        <v>0</v>
      </c>
    </row>
    <row r="135" spans="2:13">
      <c r="B135" s="151" t="s">
        <v>334</v>
      </c>
      <c r="C135" s="474">
        <f t="shared" ref="C135:M135" si="3">C131/C134</f>
        <v>0.26814964472998259</v>
      </c>
      <c r="D135" s="474">
        <f t="shared" si="3"/>
        <v>0.27304772318970971</v>
      </c>
      <c r="E135" s="474" t="e">
        <f t="shared" si="3"/>
        <v>#DIV/0!</v>
      </c>
      <c r="F135" s="474" t="e">
        <f t="shared" si="3"/>
        <v>#DIV/0!</v>
      </c>
      <c r="G135" s="474" t="e">
        <f t="shared" si="3"/>
        <v>#DIV/0!</v>
      </c>
      <c r="H135" s="474" t="e">
        <f t="shared" si="3"/>
        <v>#DIV/0!</v>
      </c>
      <c r="I135" s="474" t="e">
        <f t="shared" si="3"/>
        <v>#DIV/0!</v>
      </c>
      <c r="J135" s="474" t="e">
        <f t="shared" si="3"/>
        <v>#DIV/0!</v>
      </c>
      <c r="K135" s="474" t="e">
        <f t="shared" si="3"/>
        <v>#DIV/0!</v>
      </c>
      <c r="L135" s="474" t="e">
        <f t="shared" si="3"/>
        <v>#DIV/0!</v>
      </c>
      <c r="M135" s="474" t="e">
        <f t="shared" si="3"/>
        <v>#DIV/0!</v>
      </c>
    </row>
    <row r="136" spans="2:13">
      <c r="D136" s="474">
        <f t="shared" ref="D136:M136" si="4">D132/D134</f>
        <v>0.67897398356129879</v>
      </c>
      <c r="E136" s="474" t="e">
        <f t="shared" si="4"/>
        <v>#DIV/0!</v>
      </c>
      <c r="F136" s="474" t="e">
        <f t="shared" si="4"/>
        <v>#DIV/0!</v>
      </c>
      <c r="G136" s="474" t="e">
        <f t="shared" si="4"/>
        <v>#DIV/0!</v>
      </c>
      <c r="H136" s="474" t="e">
        <f t="shared" si="4"/>
        <v>#DIV/0!</v>
      </c>
      <c r="I136" s="474" t="e">
        <f t="shared" si="4"/>
        <v>#DIV/0!</v>
      </c>
      <c r="J136" s="474" t="e">
        <f t="shared" si="4"/>
        <v>#DIV/0!</v>
      </c>
      <c r="K136" s="474" t="e">
        <f t="shared" si="4"/>
        <v>#DIV/0!</v>
      </c>
      <c r="L136" s="474" t="e">
        <f t="shared" si="4"/>
        <v>#DIV/0!</v>
      </c>
      <c r="M136" s="474" t="e">
        <f t="shared" si="4"/>
        <v>#DIV/0!</v>
      </c>
    </row>
    <row r="138" spans="2:13" ht="15.6">
      <c r="B138" s="246" t="s">
        <v>467</v>
      </c>
      <c r="I138" s="246"/>
    </row>
    <row r="159" spans="9:15" ht="15.6">
      <c r="I159" s="383"/>
      <c r="O159" s="383"/>
    </row>
    <row r="162" spans="2:15" ht="15.6">
      <c r="B162" s="78" t="s">
        <v>468</v>
      </c>
      <c r="C162"/>
      <c r="D162"/>
      <c r="H162" s="383"/>
    </row>
    <row r="163" spans="2:15">
      <c r="C163" s="108">
        <v>2018</v>
      </c>
      <c r="D163" s="108">
        <v>2019</v>
      </c>
      <c r="E163" s="108">
        <v>2020</v>
      </c>
      <c r="F163" s="108">
        <v>2021</v>
      </c>
      <c r="G163" s="108">
        <v>2022</v>
      </c>
      <c r="H163" s="108">
        <v>2023</v>
      </c>
      <c r="I163" s="108">
        <v>2024</v>
      </c>
      <c r="J163" s="108">
        <v>2025</v>
      </c>
      <c r="K163" s="108">
        <v>2026</v>
      </c>
      <c r="L163" s="108">
        <v>2027</v>
      </c>
      <c r="M163" s="108">
        <v>2028</v>
      </c>
    </row>
    <row r="164" spans="2:15">
      <c r="B164" s="496" t="s">
        <v>401</v>
      </c>
      <c r="C164" s="453">
        <f>SUM('CWDM and DWDM'!F58:F68)</f>
        <v>3693.8165612727266</v>
      </c>
      <c r="D164" s="453">
        <f>SUM('CWDM and DWDM'!G58:G68)</f>
        <v>3325.801859284973</v>
      </c>
      <c r="E164" s="453">
        <f>SUM('CWDM and DWDM'!H58:H68)</f>
        <v>0</v>
      </c>
      <c r="F164" s="453">
        <f>SUM('CWDM and DWDM'!I58:I68)</f>
        <v>0</v>
      </c>
      <c r="G164" s="453">
        <f>SUM('CWDM and DWDM'!J58:J68)</f>
        <v>0</v>
      </c>
      <c r="H164" s="453">
        <f>SUM('CWDM and DWDM'!K58:K68)</f>
        <v>0</v>
      </c>
      <c r="I164" s="453">
        <f>SUM('CWDM and DWDM'!L58:L68)</f>
        <v>0</v>
      </c>
      <c r="J164" s="453">
        <f>SUM('CWDM and DWDM'!M58:M68)</f>
        <v>0</v>
      </c>
      <c r="K164" s="453">
        <f>SUM('CWDM and DWDM'!N58:N68)</f>
        <v>0</v>
      </c>
      <c r="L164" s="453">
        <f>SUM('CWDM and DWDM'!O58:O68)</f>
        <v>0</v>
      </c>
      <c r="M164" s="453">
        <f>SUM('CWDM and DWDM'!P58:P68)</f>
        <v>0</v>
      </c>
    </row>
    <row r="165" spans="2:15">
      <c r="B165" s="496" t="s">
        <v>258</v>
      </c>
      <c r="C165" s="453">
        <f>SUM('CWDM and DWDM'!F69:F72)</f>
        <v>0</v>
      </c>
      <c r="D165" s="453">
        <f>SUM('CWDM and DWDM'!G69:G72)</f>
        <v>339.76545454545453</v>
      </c>
      <c r="E165" s="453">
        <f>SUM('CWDM and DWDM'!H69:H72)</f>
        <v>0</v>
      </c>
      <c r="F165" s="453">
        <f>SUM('CWDM and DWDM'!I69:I72)</f>
        <v>0</v>
      </c>
      <c r="G165" s="453">
        <f>SUM('CWDM and DWDM'!J69:J72)</f>
        <v>0</v>
      </c>
      <c r="H165" s="453">
        <f>SUM('CWDM and DWDM'!K69:K72)</f>
        <v>0</v>
      </c>
      <c r="I165" s="453">
        <f>SUM('CWDM and DWDM'!L69:L72)</f>
        <v>0</v>
      </c>
      <c r="J165" s="453">
        <f>SUM('CWDM and DWDM'!M69:M72)</f>
        <v>0</v>
      </c>
      <c r="K165" s="453">
        <f>SUM('CWDM and DWDM'!N69:N72)</f>
        <v>0</v>
      </c>
      <c r="L165" s="453">
        <f>SUM('CWDM and DWDM'!O69:O72)</f>
        <v>0</v>
      </c>
      <c r="M165" s="453">
        <f>SUM('CWDM and DWDM'!P69:P72)</f>
        <v>0</v>
      </c>
    </row>
    <row r="166" spans="2:15">
      <c r="B166" s="496" t="s">
        <v>479</v>
      </c>
      <c r="C166" s="453">
        <f>'CWDM and DWDM'!F73</f>
        <v>0</v>
      </c>
      <c r="D166" s="453">
        <f>'CWDM and DWDM'!G73</f>
        <v>0.82</v>
      </c>
      <c r="E166" s="453">
        <f>'CWDM and DWDM'!H73</f>
        <v>0</v>
      </c>
      <c r="F166" s="453">
        <f>'CWDM and DWDM'!I73</f>
        <v>0</v>
      </c>
      <c r="G166" s="453">
        <f>'CWDM and DWDM'!J73</f>
        <v>0</v>
      </c>
      <c r="H166" s="453">
        <f>'CWDM and DWDM'!K73</f>
        <v>0</v>
      </c>
      <c r="I166" s="453">
        <f>'CWDM and DWDM'!L73</f>
        <v>0</v>
      </c>
      <c r="J166" s="453">
        <f>'CWDM and DWDM'!M73</f>
        <v>0</v>
      </c>
      <c r="K166" s="453">
        <f>'CWDM and DWDM'!N73</f>
        <v>0</v>
      </c>
      <c r="L166" s="453">
        <f>'CWDM and DWDM'!O73</f>
        <v>0</v>
      </c>
      <c r="M166" s="453">
        <f>'CWDM and DWDM'!P73</f>
        <v>0</v>
      </c>
    </row>
    <row r="167" spans="2:15">
      <c r="B167" s="496" t="s">
        <v>478</v>
      </c>
      <c r="C167" s="453">
        <f>SUM('CWDM and DWDM'!F74:F77)</f>
        <v>0</v>
      </c>
      <c r="D167" s="453">
        <f>SUM('CWDM and DWDM'!G74:G77)</f>
        <v>0</v>
      </c>
      <c r="E167" s="453">
        <f>SUM('CWDM and DWDM'!H74:H77)</f>
        <v>0</v>
      </c>
      <c r="F167" s="453">
        <f>SUM('CWDM and DWDM'!I74:I77)</f>
        <v>0</v>
      </c>
      <c r="G167" s="453">
        <f>SUM('CWDM and DWDM'!J74:J77)</f>
        <v>0</v>
      </c>
      <c r="H167" s="453">
        <f>SUM('CWDM and DWDM'!K74:K77)</f>
        <v>0</v>
      </c>
      <c r="I167" s="453">
        <f>SUM('CWDM and DWDM'!L74:L77)</f>
        <v>0</v>
      </c>
      <c r="J167" s="453">
        <f>SUM('CWDM and DWDM'!M74:M77)</f>
        <v>0</v>
      </c>
      <c r="K167" s="453">
        <f>SUM('CWDM and DWDM'!N74:N77)</f>
        <v>0</v>
      </c>
      <c r="L167" s="453">
        <f>SUM('CWDM and DWDM'!O74:O77)</f>
        <v>0</v>
      </c>
      <c r="M167" s="453">
        <f>SUM('CWDM and DWDM'!P74:P77)</f>
        <v>0</v>
      </c>
    </row>
    <row r="168" spans="2:15">
      <c r="B168" s="240" t="s">
        <v>93</v>
      </c>
      <c r="C168" s="453">
        <f t="shared" ref="C168:M168" si="5">SUM(C164:C166)</f>
        <v>3693.8165612727266</v>
      </c>
      <c r="D168" s="453">
        <f t="shared" si="5"/>
        <v>3666.3873138304275</v>
      </c>
      <c r="E168" s="453">
        <f t="shared" si="5"/>
        <v>0</v>
      </c>
      <c r="F168" s="453">
        <f t="shared" si="5"/>
        <v>0</v>
      </c>
      <c r="G168" s="453">
        <f t="shared" si="5"/>
        <v>0</v>
      </c>
      <c r="H168" s="453">
        <f t="shared" si="5"/>
        <v>0</v>
      </c>
      <c r="I168" s="453">
        <f t="shared" si="5"/>
        <v>0</v>
      </c>
      <c r="J168" s="453">
        <f t="shared" si="5"/>
        <v>0</v>
      </c>
      <c r="K168" s="453">
        <f t="shared" si="5"/>
        <v>0</v>
      </c>
      <c r="L168" s="453">
        <f t="shared" si="5"/>
        <v>0</v>
      </c>
      <c r="M168" s="453">
        <f t="shared" si="5"/>
        <v>0</v>
      </c>
    </row>
    <row r="169" spans="2:15">
      <c r="C169" s="486"/>
      <c r="D169" s="486"/>
      <c r="E169" s="486"/>
      <c r="F169" s="486"/>
      <c r="G169" s="486"/>
      <c r="H169" s="486"/>
      <c r="I169" s="486"/>
      <c r="J169" s="486"/>
      <c r="K169" s="486"/>
      <c r="L169" s="486"/>
      <c r="M169" s="486"/>
    </row>
    <row r="170" spans="2:15">
      <c r="D170" s="474"/>
      <c r="E170" s="474"/>
      <c r="F170" s="474"/>
      <c r="G170" s="474"/>
      <c r="H170" s="474"/>
      <c r="I170" s="474"/>
      <c r="J170" s="474"/>
      <c r="K170" s="474"/>
      <c r="L170" s="474"/>
      <c r="M170" s="474"/>
    </row>
    <row r="171" spans="2:15" ht="23.4">
      <c r="B171" s="275" t="s">
        <v>259</v>
      </c>
    </row>
    <row r="173" spans="2:15" ht="15.6">
      <c r="B173" s="246" t="s">
        <v>260</v>
      </c>
      <c r="O173" s="246" t="s">
        <v>351</v>
      </c>
    </row>
    <row r="195" spans="1:24" ht="15.6">
      <c r="B195" s="78" t="s">
        <v>352</v>
      </c>
      <c r="C195"/>
      <c r="D195"/>
      <c r="E195"/>
      <c r="F195"/>
      <c r="G195"/>
      <c r="I195"/>
      <c r="M195"/>
      <c r="Q195"/>
      <c r="R195"/>
      <c r="U195" s="490"/>
      <c r="X195" s="490"/>
    </row>
    <row r="196" spans="1:24">
      <c r="B196" s="158" t="s">
        <v>3</v>
      </c>
      <c r="C196" s="108">
        <v>2007</v>
      </c>
      <c r="D196" s="108">
        <v>2008</v>
      </c>
      <c r="E196" s="108">
        <v>2009</v>
      </c>
      <c r="F196" s="108">
        <v>2010</v>
      </c>
      <c r="G196" s="108">
        <v>2011</v>
      </c>
      <c r="H196" s="108">
        <v>2012</v>
      </c>
      <c r="I196" s="108">
        <v>2013</v>
      </c>
      <c r="J196" s="108">
        <v>2014</v>
      </c>
      <c r="K196" s="108">
        <v>2015</v>
      </c>
      <c r="L196" s="108">
        <v>2016</v>
      </c>
      <c r="M196" s="109">
        <v>2017</v>
      </c>
      <c r="N196" s="108">
        <v>2018</v>
      </c>
      <c r="O196" s="108">
        <v>2019</v>
      </c>
      <c r="P196" s="108">
        <v>2020</v>
      </c>
      <c r="Q196" s="108">
        <v>2021</v>
      </c>
      <c r="R196" s="108">
        <v>2022</v>
      </c>
      <c r="S196" s="108">
        <v>2023</v>
      </c>
      <c r="T196" s="108">
        <v>2024</v>
      </c>
      <c r="U196" s="108">
        <v>2025</v>
      </c>
      <c r="V196" s="108">
        <v>2026</v>
      </c>
      <c r="W196" s="108">
        <v>2027</v>
      </c>
      <c r="X196" s="108">
        <v>2028</v>
      </c>
    </row>
    <row r="197" spans="1:24">
      <c r="B197" s="165" t="s">
        <v>337</v>
      </c>
      <c r="C197" s="386">
        <v>3.40294775</v>
      </c>
      <c r="D197" s="386">
        <v>4.9481772499999996</v>
      </c>
      <c r="E197" s="386">
        <v>4.4359250000000001</v>
      </c>
      <c r="F197" s="386">
        <v>5.3562000000000003</v>
      </c>
      <c r="G197" s="386">
        <v>8.9536999999999995</v>
      </c>
      <c r="H197" s="386">
        <v>12.113099999999999</v>
      </c>
      <c r="I197" s="386">
        <v>14.562979999999996</v>
      </c>
      <c r="J197" s="386">
        <v>16.972600000000007</v>
      </c>
      <c r="K197" s="386">
        <v>10.886705882352949</v>
      </c>
      <c r="L197" s="448">
        <v>11.975376470588259</v>
      </c>
      <c r="M197" s="448">
        <v>13.053160352941177</v>
      </c>
      <c r="N197" s="448">
        <v>14.097413181176492</v>
      </c>
      <c r="O197" s="448">
        <v>15.084232103858838</v>
      </c>
      <c r="P197" s="448"/>
      <c r="Q197" s="448"/>
      <c r="R197" s="448"/>
      <c r="S197" s="448"/>
      <c r="T197" s="448"/>
      <c r="U197" s="448"/>
      <c r="V197" s="448"/>
      <c r="W197" s="448"/>
      <c r="X197" s="448"/>
    </row>
    <row r="198" spans="1:24">
      <c r="B198" s="22" t="s">
        <v>338</v>
      </c>
      <c r="C198" s="385">
        <v>0</v>
      </c>
      <c r="D198" s="385">
        <v>0</v>
      </c>
      <c r="E198" s="385">
        <v>0</v>
      </c>
      <c r="F198" s="385">
        <v>0</v>
      </c>
      <c r="G198" s="385">
        <v>4</v>
      </c>
      <c r="H198" s="385">
        <v>10</v>
      </c>
      <c r="I198" s="385">
        <v>20.502120000000005</v>
      </c>
      <c r="J198" s="385">
        <v>27.492999999999995</v>
      </c>
      <c r="K198" s="385">
        <v>51.683999999999997</v>
      </c>
      <c r="L198" s="449">
        <v>114.99000000000001</v>
      </c>
      <c r="M198" s="449">
        <v>60.2</v>
      </c>
      <c r="N198" s="449">
        <v>62.8</v>
      </c>
      <c r="O198" s="449">
        <v>44.009999999999991</v>
      </c>
      <c r="P198" s="449"/>
      <c r="Q198" s="449"/>
      <c r="R198" s="449"/>
      <c r="S198" s="449"/>
      <c r="T198" s="449"/>
      <c r="U198" s="449"/>
      <c r="V198" s="449"/>
      <c r="W198" s="449"/>
      <c r="X198" s="449"/>
    </row>
    <row r="199" spans="1:24">
      <c r="B199" s="25" t="s">
        <v>339</v>
      </c>
      <c r="C199" s="387">
        <v>8.1134152999999998</v>
      </c>
      <c r="D199" s="387">
        <v>8.2080601280896808</v>
      </c>
      <c r="E199" s="387">
        <v>7.0048540133463595</v>
      </c>
      <c r="F199" s="387">
        <v>13.555659155341536</v>
      </c>
      <c r="G199" s="387">
        <v>23.273366314671335</v>
      </c>
      <c r="H199" s="387">
        <v>48.630160018940536</v>
      </c>
      <c r="I199" s="387">
        <v>30.49104019248205</v>
      </c>
      <c r="J199" s="387">
        <v>51.012343618061941</v>
      </c>
      <c r="K199" s="387">
        <v>92.644190175719586</v>
      </c>
      <c r="L199" s="387">
        <v>96.220915200000022</v>
      </c>
      <c r="M199" s="387">
        <v>73.699194631999987</v>
      </c>
      <c r="N199" s="450">
        <f>(FTTx!C30-FTTx!C29-FTTx!C23-FTTx!C21-FTTx!C17-FTTx!C14-FTTx!C11-FTTx!C10)/10^6</f>
        <v>87.139066942399992</v>
      </c>
      <c r="O199" s="450">
        <f>(FTTx!D30-FTTx!D29-FTTx!D23-FTTx!D21-FTTx!D17-FTTx!D14-FTTx!D11-FTTx!D10)/10^6</f>
        <v>65.601846545668096</v>
      </c>
      <c r="P199" s="450"/>
      <c r="Q199" s="450"/>
      <c r="R199" s="450"/>
      <c r="S199" s="450"/>
      <c r="T199" s="450"/>
      <c r="U199" s="450"/>
      <c r="V199" s="450"/>
      <c r="W199" s="450"/>
      <c r="X199" s="450"/>
    </row>
    <row r="201" spans="1:24" ht="15.6">
      <c r="B201" s="78" t="s">
        <v>409</v>
      </c>
      <c r="C201"/>
      <c r="E201"/>
      <c r="N201" s="383"/>
      <c r="O201" s="383"/>
    </row>
    <row r="202" spans="1:24">
      <c r="B202" s="158" t="s">
        <v>3</v>
      </c>
      <c r="C202" s="108">
        <v>2010</v>
      </c>
      <c r="D202" s="108">
        <v>2011</v>
      </c>
      <c r="E202" s="108">
        <v>2012</v>
      </c>
      <c r="F202" s="108">
        <v>2013</v>
      </c>
      <c r="G202" s="108">
        <v>2014</v>
      </c>
      <c r="H202" s="108">
        <v>2015</v>
      </c>
      <c r="I202" s="108">
        <v>2016</v>
      </c>
      <c r="J202" s="109">
        <v>2017</v>
      </c>
      <c r="K202" s="108">
        <v>2018</v>
      </c>
      <c r="L202" s="108">
        <v>2019</v>
      </c>
      <c r="M202" s="108">
        <v>2020</v>
      </c>
      <c r="N202" s="108">
        <v>2021</v>
      </c>
      <c r="O202" s="108">
        <v>2022</v>
      </c>
      <c r="P202" s="108">
        <v>2023</v>
      </c>
      <c r="Q202" s="108">
        <v>2024</v>
      </c>
      <c r="R202" s="108">
        <v>2025</v>
      </c>
      <c r="S202" s="108">
        <v>2026</v>
      </c>
      <c r="T202" s="108">
        <v>2027</v>
      </c>
      <c r="U202" s="108">
        <v>2028</v>
      </c>
    </row>
    <row r="203" spans="1:24">
      <c r="B203" s="165" t="s">
        <v>410</v>
      </c>
      <c r="C203" s="107">
        <f>SUM(C199:F199)</f>
        <v>36.881988596777575</v>
      </c>
      <c r="D203" s="107">
        <f>C203+G199</f>
        <v>60.15535491144891</v>
      </c>
      <c r="E203" s="107">
        <f t="shared" ref="E203:L203" si="6">D203+H199</f>
        <v>108.78551493038944</v>
      </c>
      <c r="F203" s="107">
        <f t="shared" si="6"/>
        <v>139.27655512287149</v>
      </c>
      <c r="G203" s="107">
        <f t="shared" si="6"/>
        <v>190.28889874093343</v>
      </c>
      <c r="H203" s="107">
        <f t="shared" si="6"/>
        <v>282.93308891665299</v>
      </c>
      <c r="I203" s="107">
        <f t="shared" si="6"/>
        <v>379.15400411665303</v>
      </c>
      <c r="J203" s="107">
        <f t="shared" si="6"/>
        <v>452.85319874865303</v>
      </c>
      <c r="K203" s="107">
        <f t="shared" si="6"/>
        <v>539.99226569105303</v>
      </c>
      <c r="L203" s="107">
        <f t="shared" si="6"/>
        <v>605.59411223672112</v>
      </c>
      <c r="M203" s="107"/>
      <c r="N203" s="107"/>
      <c r="O203" s="107"/>
      <c r="P203" s="107"/>
      <c r="Q203" s="107"/>
      <c r="R203" s="107"/>
      <c r="S203" s="107"/>
      <c r="T203" s="107"/>
      <c r="U203" s="107"/>
    </row>
    <row r="204" spans="1:24">
      <c r="B204" s="25" t="s">
        <v>411</v>
      </c>
      <c r="C204" s="68">
        <f>SUM(C197:F198)</f>
        <v>18.143250000000002</v>
      </c>
      <c r="D204" s="68">
        <f>C204+SUM(G197:G198)</f>
        <v>31.09695</v>
      </c>
      <c r="E204" s="68">
        <f t="shared" ref="E204:L204" si="7">D204+SUM(H197:H198)</f>
        <v>53.210049999999995</v>
      </c>
      <c r="F204" s="68">
        <f t="shared" si="7"/>
        <v>88.275149999999996</v>
      </c>
      <c r="G204" s="68">
        <f t="shared" si="7"/>
        <v>132.74074999999999</v>
      </c>
      <c r="H204" s="68">
        <f t="shared" si="7"/>
        <v>195.31145588235293</v>
      </c>
      <c r="I204" s="68">
        <f t="shared" si="7"/>
        <v>322.2768323529412</v>
      </c>
      <c r="J204" s="68">
        <f t="shared" si="7"/>
        <v>395.52999270588236</v>
      </c>
      <c r="K204" s="68">
        <f t="shared" si="7"/>
        <v>472.42740588705885</v>
      </c>
      <c r="L204" s="68">
        <f t="shared" si="7"/>
        <v>531.52163799091772</v>
      </c>
      <c r="M204" s="68"/>
      <c r="N204" s="68"/>
      <c r="O204" s="68"/>
      <c r="P204" s="68"/>
      <c r="Q204" s="68"/>
      <c r="R204" s="68"/>
      <c r="S204" s="68"/>
      <c r="T204" s="68"/>
      <c r="U204" s="68"/>
    </row>
    <row r="205" spans="1:24" customFormat="1">
      <c r="A205" s="151"/>
      <c r="E205" s="151"/>
    </row>
    <row r="206" spans="1:24" ht="15.6">
      <c r="B206" s="78" t="s">
        <v>353</v>
      </c>
      <c r="C206"/>
      <c r="D206"/>
      <c r="E206"/>
      <c r="S206" s="490"/>
      <c r="U206" s="490"/>
    </row>
    <row r="207" spans="1:24">
      <c r="B207" s="158" t="s">
        <v>3</v>
      </c>
      <c r="C207" s="108">
        <v>2010</v>
      </c>
      <c r="D207" s="108">
        <v>2011</v>
      </c>
      <c r="E207" s="108">
        <v>2012</v>
      </c>
      <c r="F207" s="108">
        <v>2013</v>
      </c>
      <c r="G207" s="108">
        <v>2014</v>
      </c>
      <c r="H207" s="108">
        <v>2015</v>
      </c>
      <c r="I207" s="108">
        <v>2016</v>
      </c>
      <c r="J207" s="109">
        <v>2017</v>
      </c>
      <c r="K207" s="108">
        <v>2018</v>
      </c>
      <c r="L207" s="108">
        <v>2019</v>
      </c>
      <c r="M207" s="108">
        <v>2020</v>
      </c>
      <c r="N207" s="108">
        <v>2021</v>
      </c>
      <c r="O207" s="108">
        <v>2022</v>
      </c>
      <c r="P207" s="108">
        <v>2023</v>
      </c>
      <c r="Q207" s="108">
        <v>2024</v>
      </c>
      <c r="R207" s="108">
        <v>2025</v>
      </c>
      <c r="S207" s="108">
        <v>2026</v>
      </c>
      <c r="T207" s="108">
        <v>2027</v>
      </c>
      <c r="U207" s="108">
        <v>2028</v>
      </c>
    </row>
    <row r="208" spans="1:24">
      <c r="B208" s="165" t="s">
        <v>292</v>
      </c>
      <c r="C208" s="487">
        <f t="shared" ref="C208:L208" si="8">C210-C209</f>
        <v>12369267.23113355</v>
      </c>
      <c r="D208" s="487">
        <f t="shared" si="8"/>
        <v>16706123.229828592</v>
      </c>
      <c r="E208" s="107">
        <f t="shared" si="8"/>
        <v>21915782.254107412</v>
      </c>
      <c r="F208" s="107">
        <f t="shared" si="8"/>
        <v>22589653.369850434</v>
      </c>
      <c r="G208" s="107">
        <f t="shared" si="8"/>
        <v>27121446.893514648</v>
      </c>
      <c r="H208" s="107">
        <f t="shared" si="8"/>
        <v>29100701.521674216</v>
      </c>
      <c r="I208" s="107">
        <f t="shared" si="8"/>
        <v>32067023.855470598</v>
      </c>
      <c r="J208" s="107">
        <f t="shared" si="8"/>
        <v>27725256.357814707</v>
      </c>
      <c r="K208" s="107">
        <f t="shared" si="8"/>
        <v>25749587.389839992</v>
      </c>
      <c r="L208" s="107">
        <f t="shared" si="8"/>
        <v>21814187.485600002</v>
      </c>
      <c r="M208" s="107"/>
      <c r="N208" s="107"/>
      <c r="O208" s="107"/>
      <c r="P208" s="107"/>
      <c r="Q208" s="107"/>
      <c r="R208" s="107"/>
      <c r="S208" s="107"/>
      <c r="T208" s="107"/>
      <c r="U208" s="107"/>
    </row>
    <row r="209" spans="1:21">
      <c r="B209" s="22" t="s">
        <v>340</v>
      </c>
      <c r="C209" s="489">
        <v>2315701.9833646622</v>
      </c>
      <c r="D209" s="489">
        <v>9815216.2041024007</v>
      </c>
      <c r="E209" s="69">
        <v>30515737.48593707</v>
      </c>
      <c r="F209" s="69">
        <v>11554037.663990624</v>
      </c>
      <c r="G209" s="69">
        <v>28445961.28442914</v>
      </c>
      <c r="H209" s="69">
        <v>69215801.514222041</v>
      </c>
      <c r="I209" s="69">
        <v>70132891.609235302</v>
      </c>
      <c r="J209" s="69">
        <v>50127314.850361757</v>
      </c>
      <c r="K209" s="446">
        <v>66114397.552560002</v>
      </c>
      <c r="L209" s="446">
        <v>50116894.485600002</v>
      </c>
      <c r="M209" s="446"/>
      <c r="N209" s="446"/>
      <c r="O209" s="446"/>
      <c r="P209" s="446"/>
      <c r="Q209" s="446"/>
      <c r="R209" s="446"/>
      <c r="S209" s="446"/>
      <c r="T209" s="446"/>
      <c r="U209" s="446"/>
    </row>
    <row r="210" spans="1:21">
      <c r="B210" s="25" t="s">
        <v>354</v>
      </c>
      <c r="C210" s="488">
        <v>14684969.214498213</v>
      </c>
      <c r="D210" s="488">
        <v>26521339.433930993</v>
      </c>
      <c r="E210" s="68">
        <v>52431519.740044482</v>
      </c>
      <c r="F210" s="68">
        <v>34143691.033841059</v>
      </c>
      <c r="G210" s="68">
        <v>55567408.177943788</v>
      </c>
      <c r="H210" s="68">
        <v>98316503.035896257</v>
      </c>
      <c r="I210" s="68">
        <v>102199915.4647059</v>
      </c>
      <c r="J210" s="68">
        <v>77852571.208176464</v>
      </c>
      <c r="K210" s="447">
        <v>91863984.942399994</v>
      </c>
      <c r="L210" s="447">
        <v>71931081.971200004</v>
      </c>
      <c r="M210" s="447"/>
      <c r="N210" s="447"/>
      <c r="O210" s="447"/>
      <c r="P210" s="447"/>
      <c r="Q210" s="447"/>
      <c r="R210" s="447"/>
      <c r="S210" s="447"/>
      <c r="T210" s="447"/>
      <c r="U210" s="447"/>
    </row>
    <row r="211" spans="1:21" customFormat="1">
      <c r="A211" s="151"/>
      <c r="E211" s="151"/>
      <c r="U211" s="151"/>
    </row>
    <row r="212" spans="1:21" ht="15.6">
      <c r="B212" s="246" t="s">
        <v>285</v>
      </c>
    </row>
    <row r="218" spans="1:21" ht="18">
      <c r="H218" s="293"/>
    </row>
    <row r="220" spans="1:21" ht="15.6">
      <c r="H220" s="383"/>
    </row>
    <row r="232" spans="2:13" ht="15.6">
      <c r="H232" s="383" t="s">
        <v>367</v>
      </c>
    </row>
    <row r="233" spans="2:13">
      <c r="B233" s="158" t="s">
        <v>3</v>
      </c>
      <c r="C233" s="108">
        <v>2018</v>
      </c>
      <c r="D233" s="108">
        <v>2019</v>
      </c>
      <c r="E233" s="108">
        <v>2020</v>
      </c>
      <c r="F233" s="108">
        <v>2021</v>
      </c>
      <c r="G233" s="108">
        <v>2022</v>
      </c>
      <c r="H233" s="108">
        <v>2023</v>
      </c>
      <c r="I233" s="108">
        <v>2024</v>
      </c>
      <c r="J233" s="108">
        <v>2025</v>
      </c>
      <c r="K233" s="103">
        <v>2026</v>
      </c>
      <c r="L233" s="103">
        <v>2027</v>
      </c>
      <c r="M233" s="103">
        <v>2028</v>
      </c>
    </row>
    <row r="234" spans="2:13">
      <c r="B234" s="165" t="s">
        <v>286</v>
      </c>
      <c r="C234" s="104">
        <f>FTTx!C81-SUM(C235:C237)</f>
        <v>464.70328129693621</v>
      </c>
      <c r="D234" s="104">
        <f>FTTx!D81-SUM(D235:D237)</f>
        <v>340.91913960044269</v>
      </c>
      <c r="E234" s="104">
        <f>FTTx!E81-SUM(E235:E237)</f>
        <v>265.28878357054845</v>
      </c>
      <c r="F234" s="104">
        <f>FTTx!F81-SUM(F235:F237)</f>
        <v>0</v>
      </c>
      <c r="G234" s="104">
        <f>FTTx!G81-SUM(G235:G237)</f>
        <v>0</v>
      </c>
      <c r="H234" s="104">
        <f>FTTx!H81-SUM(H235:H237)</f>
        <v>0</v>
      </c>
      <c r="I234" s="104">
        <f>FTTx!I81-SUM(I235:I237)</f>
        <v>0</v>
      </c>
      <c r="J234" s="104">
        <f>FTTx!J81-SUM(J235:J237)</f>
        <v>0</v>
      </c>
      <c r="K234" s="104">
        <f>FTTx!K81-SUM(K235:K237)</f>
        <v>0</v>
      </c>
      <c r="L234" s="104">
        <f>FTTx!L81-SUM(L235:L237)</f>
        <v>0</v>
      </c>
      <c r="M234" s="104">
        <f>FTTx!M81-SUM(M235:M237)</f>
        <v>0</v>
      </c>
    </row>
    <row r="235" spans="2:13">
      <c r="B235" s="22" t="s">
        <v>33</v>
      </c>
      <c r="C235" s="64">
        <f>SUM(FTTx!C68:C72)</f>
        <v>177.16118277626254</v>
      </c>
      <c r="D235" s="64">
        <f>SUM(FTTx!D68:D72)</f>
        <v>240.88624230991547</v>
      </c>
      <c r="E235" s="64">
        <f>SUM(FTTx!E68:E72)</f>
        <v>337.29472763209816</v>
      </c>
      <c r="F235" s="64">
        <f>SUM(FTTx!F68:F72)</f>
        <v>0</v>
      </c>
      <c r="G235" s="64">
        <f>SUM(FTTx!G68:G72)</f>
        <v>0</v>
      </c>
      <c r="H235" s="64">
        <f>SUM(FTTx!H68:H72)</f>
        <v>0</v>
      </c>
      <c r="I235" s="64">
        <f>SUM(FTTx!I68:I72)</f>
        <v>0</v>
      </c>
      <c r="J235" s="64">
        <f>SUM(FTTx!J68:J72)</f>
        <v>0</v>
      </c>
      <c r="K235" s="64">
        <f>SUM(FTTx!K68:K72)</f>
        <v>0</v>
      </c>
      <c r="L235" s="64">
        <f>SUM(FTTx!L68:L72)</f>
        <v>0</v>
      </c>
      <c r="M235" s="64">
        <f>SUM(FTTx!M68:M72)</f>
        <v>0</v>
      </c>
    </row>
    <row r="236" spans="2:13">
      <c r="B236" s="22" t="s">
        <v>457</v>
      </c>
      <c r="C236" s="64">
        <f>SUM(FTTx!C75:C76)</f>
        <v>0</v>
      </c>
      <c r="D236" s="64">
        <f>SUM(FTTx!D75:D76)</f>
        <v>0</v>
      </c>
      <c r="E236" s="64">
        <f>SUM(FTTx!E75:E76)</f>
        <v>0</v>
      </c>
      <c r="F236" s="64">
        <f>SUM(FTTx!F75:F76)</f>
        <v>0</v>
      </c>
      <c r="G236" s="64">
        <f>SUM(FTTx!G75:G76)</f>
        <v>0</v>
      </c>
      <c r="H236" s="64">
        <f>SUM(FTTx!H75:H76)</f>
        <v>0</v>
      </c>
      <c r="I236" s="64">
        <f>SUM(FTTx!I75:I76)</f>
        <v>0</v>
      </c>
      <c r="J236" s="64">
        <f>SUM(FTTx!J75:J76)</f>
        <v>0</v>
      </c>
      <c r="K236" s="64">
        <f>SUM(FTTx!K75:K76)</f>
        <v>0</v>
      </c>
      <c r="L236" s="64">
        <f>SUM(FTTx!L75:L76)</f>
        <v>0</v>
      </c>
      <c r="M236" s="64">
        <f>SUM(FTTx!M75:M76)</f>
        <v>0</v>
      </c>
    </row>
    <row r="237" spans="2:13">
      <c r="B237" s="25" t="s">
        <v>458</v>
      </c>
      <c r="C237" s="65">
        <f>SUM(FTTx!C77:C78)</f>
        <v>0</v>
      </c>
      <c r="D237" s="65">
        <f>SUM(FTTx!D77:D78)</f>
        <v>0</v>
      </c>
      <c r="E237" s="65">
        <f>SUM(FTTx!E77:E78)</f>
        <v>0</v>
      </c>
      <c r="F237" s="65">
        <f>SUM(FTTx!F77:F78)</f>
        <v>0</v>
      </c>
      <c r="G237" s="65">
        <f>SUM(FTTx!G77:G78)</f>
        <v>0</v>
      </c>
      <c r="H237" s="65">
        <f>SUM(FTTx!H77:H78)</f>
        <v>0</v>
      </c>
      <c r="I237" s="65">
        <f>SUM(FTTx!I77:I78)</f>
        <v>0</v>
      </c>
      <c r="J237" s="65">
        <f>SUM(FTTx!J77:J78)</f>
        <v>0</v>
      </c>
      <c r="K237" s="65">
        <f>SUM(FTTx!K77:K78)</f>
        <v>0</v>
      </c>
      <c r="L237" s="65">
        <f>SUM(FTTx!L77:L78)</f>
        <v>0</v>
      </c>
      <c r="M237" s="65">
        <f>SUM(FTTx!M77:M78)</f>
        <v>0</v>
      </c>
    </row>
    <row r="238" spans="2:13">
      <c r="B238" s="165" t="s">
        <v>455</v>
      </c>
      <c r="C238" s="107">
        <f>FTTx!C24+FTTx!C25</f>
        <v>0</v>
      </c>
      <c r="D238" s="107">
        <f>FTTx!D24+FTTx!D25</f>
        <v>0</v>
      </c>
      <c r="E238" s="107">
        <f>FTTx!E24+FTTx!E25</f>
        <v>0</v>
      </c>
      <c r="F238" s="107">
        <f>FTTx!F24+FTTx!F25</f>
        <v>0</v>
      </c>
      <c r="G238" s="107">
        <f>FTTx!G24+FTTx!G25</f>
        <v>0</v>
      </c>
      <c r="H238" s="107">
        <f>FTTx!H24+FTTx!H25</f>
        <v>0</v>
      </c>
      <c r="I238" s="107">
        <f>FTTx!I24+FTTx!I25</f>
        <v>0</v>
      </c>
      <c r="J238" s="107">
        <f>FTTx!J24+FTTx!J25</f>
        <v>0</v>
      </c>
      <c r="K238" s="107">
        <f>FTTx!K24+FTTx!K25</f>
        <v>0</v>
      </c>
      <c r="L238" s="107">
        <f>FTTx!L24+FTTx!L25</f>
        <v>0</v>
      </c>
      <c r="M238" s="107">
        <f>FTTx!M24+FTTx!M25</f>
        <v>0</v>
      </c>
    </row>
    <row r="239" spans="2:13">
      <c r="B239" s="25" t="s">
        <v>456</v>
      </c>
      <c r="C239" s="68">
        <f>FTTx!C26+FTTx!C27</f>
        <v>0</v>
      </c>
      <c r="D239" s="68">
        <f>FTTx!D26+FTTx!D27</f>
        <v>0</v>
      </c>
      <c r="E239" s="68">
        <f>FTTx!E26+FTTx!E27</f>
        <v>0</v>
      </c>
      <c r="F239" s="68">
        <f>FTTx!F26+FTTx!F27</f>
        <v>0</v>
      </c>
      <c r="G239" s="68">
        <f>FTTx!G26+FTTx!G27</f>
        <v>0</v>
      </c>
      <c r="H239" s="68">
        <f>FTTx!H26+FTTx!H27</f>
        <v>0</v>
      </c>
      <c r="I239" s="68">
        <f>FTTx!I26+FTTx!I27</f>
        <v>0</v>
      </c>
      <c r="J239" s="68">
        <f>FTTx!J26+FTTx!J27</f>
        <v>0</v>
      </c>
      <c r="K239" s="68">
        <f>FTTx!K26+FTTx!K27</f>
        <v>0</v>
      </c>
      <c r="L239" s="68">
        <f>FTTx!L26+FTTx!L27</f>
        <v>0</v>
      </c>
      <c r="M239" s="68">
        <f>FTTx!M26+FTTx!M27</f>
        <v>0</v>
      </c>
    </row>
    <row r="241" spans="2:2" ht="15.6">
      <c r="B241" s="246" t="s">
        <v>261</v>
      </c>
    </row>
    <row r="258" spans="2:19" ht="15.6">
      <c r="H258" s="383"/>
    </row>
    <row r="259" spans="2:19" ht="15.6">
      <c r="H259" s="383"/>
      <c r="N259" s="383"/>
    </row>
    <row r="260" spans="2:19" ht="12" customHeight="1">
      <c r="B260" s="158" t="s">
        <v>355</v>
      </c>
      <c r="C260" s="103">
        <v>2012</v>
      </c>
      <c r="D260" s="103">
        <v>2013</v>
      </c>
      <c r="E260" s="103">
        <v>2014</v>
      </c>
      <c r="F260" s="103">
        <v>2015</v>
      </c>
      <c r="G260" s="103">
        <v>2016</v>
      </c>
      <c r="H260" s="117">
        <v>2017</v>
      </c>
      <c r="I260" s="108">
        <v>2018</v>
      </c>
      <c r="J260" s="103">
        <v>2019</v>
      </c>
      <c r="K260" s="103">
        <v>2020</v>
      </c>
      <c r="L260" s="103">
        <v>2021</v>
      </c>
      <c r="M260" s="103">
        <v>2022</v>
      </c>
      <c r="N260" s="103">
        <v>2023</v>
      </c>
      <c r="O260" s="103">
        <v>2024</v>
      </c>
      <c r="P260" s="103">
        <v>2025</v>
      </c>
      <c r="Q260" s="103">
        <v>2026</v>
      </c>
      <c r="R260" s="103">
        <v>2027</v>
      </c>
      <c r="S260" s="103">
        <v>2028</v>
      </c>
    </row>
    <row r="261" spans="2:19">
      <c r="B261" s="33" t="s">
        <v>341</v>
      </c>
      <c r="C261" s="148"/>
      <c r="D261" s="148"/>
      <c r="E261" s="115"/>
      <c r="F261" s="115"/>
      <c r="G261" s="115">
        <v>0</v>
      </c>
      <c r="H261" s="115">
        <v>0</v>
      </c>
      <c r="I261" s="115">
        <v>0.19</v>
      </c>
      <c r="J261" s="115">
        <v>12.717000000000001</v>
      </c>
      <c r="K261" s="115"/>
      <c r="L261" s="115"/>
      <c r="M261" s="115"/>
      <c r="N261" s="115"/>
      <c r="O261" s="115"/>
      <c r="P261" s="115"/>
      <c r="Q261" s="115"/>
      <c r="R261" s="115"/>
      <c r="S261" s="148"/>
    </row>
    <row r="262" spans="2:19">
      <c r="B262" s="33" t="s">
        <v>342</v>
      </c>
      <c r="C262" s="489">
        <v>71.798000000000002</v>
      </c>
      <c r="D262" s="489">
        <v>195.976</v>
      </c>
      <c r="E262" s="69">
        <v>518.22699999999998</v>
      </c>
      <c r="F262" s="69">
        <v>1131.857</v>
      </c>
      <c r="G262" s="69">
        <v>1962.6990000000001</v>
      </c>
      <c r="H262" s="69">
        <v>2770.85</v>
      </c>
      <c r="I262" s="69">
        <v>3566.0250000000001</v>
      </c>
      <c r="J262" s="69">
        <v>4323.2420000000002</v>
      </c>
      <c r="K262" s="69"/>
      <c r="L262" s="69"/>
      <c r="M262" s="69"/>
      <c r="N262" s="69"/>
      <c r="O262" s="69"/>
      <c r="P262" s="69"/>
      <c r="Q262" s="69"/>
      <c r="R262" s="69"/>
      <c r="S262" s="489"/>
    </row>
    <row r="263" spans="2:19">
      <c r="B263" s="33" t="s">
        <v>343</v>
      </c>
      <c r="C263" s="489">
        <v>1315.213</v>
      </c>
      <c r="D263" s="489">
        <v>1759.2890000000002</v>
      </c>
      <c r="E263" s="69">
        <v>2363.0050000000001</v>
      </c>
      <c r="F263" s="69">
        <v>3201.634</v>
      </c>
      <c r="G263" s="69">
        <v>4135.7569999999996</v>
      </c>
      <c r="H263" s="69">
        <v>4924.0509999999995</v>
      </c>
      <c r="I263" s="69">
        <v>5511.1450000000004</v>
      </c>
      <c r="J263" s="69">
        <v>6122.2829999999994</v>
      </c>
      <c r="K263" s="69"/>
      <c r="L263" s="69"/>
      <c r="M263" s="69"/>
      <c r="N263" s="69"/>
      <c r="O263" s="69"/>
      <c r="P263" s="69"/>
      <c r="Q263" s="69"/>
      <c r="R263" s="69"/>
      <c r="S263" s="489"/>
    </row>
    <row r="264" spans="2:19">
      <c r="B264" s="34" t="s">
        <v>344</v>
      </c>
      <c r="C264" s="256">
        <v>6297.7549999999992</v>
      </c>
      <c r="D264" s="256">
        <v>6621.3940000000011</v>
      </c>
      <c r="E264" s="26">
        <v>7021.4089999999997</v>
      </c>
      <c r="F264" s="26">
        <v>7238.3910000000005</v>
      </c>
      <c r="G264" s="26">
        <v>7361.5069999999996</v>
      </c>
      <c r="H264" s="26">
        <v>7579.1399999999994</v>
      </c>
      <c r="I264" s="26">
        <v>7656.3149999999996</v>
      </c>
      <c r="J264" s="26">
        <v>7911.1839999999993</v>
      </c>
      <c r="K264" s="26"/>
      <c r="L264" s="26"/>
      <c r="M264" s="26"/>
      <c r="N264" s="26"/>
      <c r="O264" s="26"/>
      <c r="P264" s="26"/>
      <c r="Q264" s="26"/>
      <c r="R264" s="26"/>
      <c r="S264" s="256"/>
    </row>
    <row r="266" spans="2:19" ht="15.6">
      <c r="B266" s="246" t="s">
        <v>262</v>
      </c>
    </row>
    <row r="289" spans="2:14" ht="15.6">
      <c r="B289" s="307"/>
      <c r="H289" s="383"/>
      <c r="N289" s="307"/>
    </row>
    <row r="290" spans="2:14">
      <c r="B290" s="158" t="s">
        <v>3</v>
      </c>
      <c r="C290" s="108">
        <v>2018</v>
      </c>
      <c r="D290" s="103">
        <v>2019</v>
      </c>
      <c r="E290" s="103">
        <v>2020</v>
      </c>
      <c r="F290" s="103">
        <v>2021</v>
      </c>
      <c r="G290" s="103">
        <v>2022</v>
      </c>
      <c r="H290" s="103">
        <v>2023</v>
      </c>
      <c r="I290" s="103">
        <v>2024</v>
      </c>
      <c r="J290" s="103">
        <v>2025</v>
      </c>
      <c r="K290" s="103">
        <v>2026</v>
      </c>
      <c r="L290" s="103">
        <v>2027</v>
      </c>
      <c r="M290" s="103">
        <v>2028</v>
      </c>
    </row>
    <row r="291" spans="2:14">
      <c r="B291" s="33" t="s">
        <v>345</v>
      </c>
      <c r="C291" s="161">
        <f>SUM(Fronthaul!F44:F46)</f>
        <v>80.887100000000004</v>
      </c>
      <c r="D291" s="161">
        <f>SUM(Fronthaul!G44:G46)</f>
        <v>314.43081093681275</v>
      </c>
      <c r="E291" s="161"/>
      <c r="F291" s="161"/>
      <c r="G291" s="161"/>
      <c r="H291" s="161"/>
      <c r="I291" s="161"/>
      <c r="J291" s="161"/>
      <c r="K291" s="161"/>
      <c r="L291" s="161"/>
      <c r="M291" s="161"/>
    </row>
    <row r="292" spans="2:14">
      <c r="B292" s="33" t="s">
        <v>346</v>
      </c>
      <c r="C292" s="64">
        <f t="shared" ref="C292:D292" si="9">C293-C291</f>
        <v>284.90360959702161</v>
      </c>
      <c r="D292" s="64">
        <f t="shared" si="9"/>
        <v>603.65461816460333</v>
      </c>
      <c r="E292" s="64"/>
      <c r="F292" s="64"/>
      <c r="G292" s="64"/>
      <c r="H292" s="64"/>
      <c r="I292" s="64"/>
      <c r="J292" s="64"/>
      <c r="K292" s="64"/>
      <c r="L292" s="64"/>
      <c r="M292" s="64"/>
    </row>
    <row r="293" spans="2:14">
      <c r="B293" s="160" t="s">
        <v>9</v>
      </c>
      <c r="C293" s="308">
        <f>Fronthaul!F47</f>
        <v>365.79070959702165</v>
      </c>
      <c r="D293" s="308">
        <f>Fronthaul!G47</f>
        <v>918.08542910141614</v>
      </c>
      <c r="E293" s="308"/>
      <c r="F293" s="308"/>
      <c r="G293" s="308"/>
      <c r="H293" s="308"/>
      <c r="I293" s="308"/>
      <c r="J293" s="308"/>
      <c r="K293" s="308"/>
      <c r="L293" s="308"/>
      <c r="M293" s="308"/>
    </row>
    <row r="294" spans="2:14">
      <c r="B294" s="16"/>
      <c r="C294" s="294"/>
      <c r="D294" s="294"/>
      <c r="E294" s="294"/>
      <c r="F294" s="294"/>
      <c r="G294" s="294"/>
      <c r="H294" s="294"/>
      <c r="I294" s="294"/>
      <c r="J294" s="294"/>
      <c r="K294" s="294"/>
      <c r="L294" s="294"/>
      <c r="M294" s="294"/>
    </row>
    <row r="296" spans="2:14">
      <c r="E296" s="274"/>
      <c r="F296" s="274"/>
      <c r="G296" s="274"/>
      <c r="H296" s="274"/>
    </row>
    <row r="298" spans="2:14" ht="15.6">
      <c r="B298" s="246" t="s">
        <v>335</v>
      </c>
    </row>
    <row r="321" spans="2:13" ht="15.6">
      <c r="I321" s="383"/>
      <c r="J321" s="383"/>
    </row>
    <row r="322" spans="2:13">
      <c r="B322" s="151" t="s">
        <v>1</v>
      </c>
      <c r="C322" s="108">
        <v>2018</v>
      </c>
      <c r="D322" s="108">
        <v>2019</v>
      </c>
      <c r="E322" s="108">
        <v>2020</v>
      </c>
      <c r="F322" s="108">
        <v>2021</v>
      </c>
      <c r="G322" s="108">
        <v>2022</v>
      </c>
      <c r="H322" s="108">
        <v>2023</v>
      </c>
      <c r="I322" s="108">
        <v>2024</v>
      </c>
      <c r="J322" s="108">
        <v>2025</v>
      </c>
      <c r="K322" s="108">
        <v>2026</v>
      </c>
      <c r="L322" s="108">
        <v>2027</v>
      </c>
      <c r="M322" s="108">
        <v>2028</v>
      </c>
    </row>
    <row r="323" spans="2:13">
      <c r="B323" s="151" t="s">
        <v>335</v>
      </c>
      <c r="C323" s="105">
        <f>WSS!D34</f>
        <v>365.31830158163763</v>
      </c>
      <c r="D323" s="105">
        <f>WSS!E34</f>
        <v>518.68237217981789</v>
      </c>
      <c r="E323" s="105">
        <f>WSS!F34</f>
        <v>0</v>
      </c>
      <c r="F323" s="105">
        <f>WSS!G34</f>
        <v>0</v>
      </c>
      <c r="G323" s="105">
        <f>WSS!H34</f>
        <v>0</v>
      </c>
      <c r="H323" s="105">
        <f>WSS!I34</f>
        <v>0</v>
      </c>
      <c r="I323" s="105">
        <f>WSS!J34</f>
        <v>0</v>
      </c>
      <c r="J323" s="105">
        <f>WSS!K34</f>
        <v>0</v>
      </c>
      <c r="K323" s="105">
        <f>WSS!L34</f>
        <v>0</v>
      </c>
      <c r="L323" s="105">
        <f>WSS!M34</f>
        <v>0</v>
      </c>
      <c r="M323" s="105">
        <f>WSS!N34</f>
        <v>0</v>
      </c>
    </row>
    <row r="326" spans="2:13" ht="15.6">
      <c r="B326" s="553" t="s">
        <v>519</v>
      </c>
    </row>
    <row r="348" spans="2:4" ht="15.6">
      <c r="D348" s="383" t="s">
        <v>520</v>
      </c>
    </row>
    <row r="351" spans="2:4" ht="23.4">
      <c r="B351" s="275" t="s">
        <v>369</v>
      </c>
    </row>
    <row r="371" spans="2:20" ht="15.6">
      <c r="L371" s="383"/>
    </row>
    <row r="372" spans="2:20">
      <c r="C372" s="103">
        <v>2011</v>
      </c>
      <c r="D372" s="103">
        <v>2012</v>
      </c>
      <c r="E372" s="103">
        <v>2013</v>
      </c>
      <c r="F372" s="103">
        <v>2014</v>
      </c>
      <c r="G372" s="103">
        <v>2015</v>
      </c>
      <c r="H372" s="103">
        <v>2016</v>
      </c>
      <c r="I372" s="103">
        <v>2017</v>
      </c>
      <c r="J372" s="103">
        <v>2018</v>
      </c>
      <c r="K372" s="103">
        <v>2019</v>
      </c>
      <c r="L372" s="103">
        <v>2020</v>
      </c>
      <c r="M372" s="103">
        <v>2021</v>
      </c>
      <c r="N372" s="103">
        <v>2022</v>
      </c>
      <c r="O372" s="103">
        <v>2023</v>
      </c>
      <c r="P372" s="103">
        <v>2024</v>
      </c>
      <c r="Q372" s="103">
        <v>2025</v>
      </c>
      <c r="R372" s="103">
        <v>2026</v>
      </c>
      <c r="S372" s="103">
        <v>2027</v>
      </c>
      <c r="T372" s="103">
        <v>2028</v>
      </c>
    </row>
    <row r="373" spans="2:20">
      <c r="B373" s="288" t="s">
        <v>377</v>
      </c>
      <c r="C373" s="474"/>
      <c r="D373" s="474">
        <v>1.6523605150214595</v>
      </c>
      <c r="E373" s="244">
        <v>1.3106796116504853</v>
      </c>
      <c r="F373" s="244">
        <v>0.75280112044817948</v>
      </c>
      <c r="G373" s="244">
        <v>0.68118258090291639</v>
      </c>
      <c r="H373" s="244">
        <v>0.62024714828897354</v>
      </c>
      <c r="I373" s="244">
        <v>0.58668231152830752</v>
      </c>
      <c r="J373" s="244">
        <v>1.057589203179885</v>
      </c>
      <c r="K373" s="244">
        <v>0.50712071521631685</v>
      </c>
      <c r="L373" s="244"/>
      <c r="M373" s="244"/>
      <c r="N373" s="244"/>
      <c r="O373" s="244"/>
      <c r="P373" s="244"/>
      <c r="Q373" s="244"/>
      <c r="R373" s="244"/>
      <c r="S373" s="244"/>
      <c r="T373" s="244"/>
    </row>
    <row r="374" spans="2:20">
      <c r="B374" s="288" t="s">
        <v>378</v>
      </c>
      <c r="C374" s="412">
        <v>0.38</v>
      </c>
      <c r="D374" s="412">
        <v>0.37</v>
      </c>
      <c r="E374" s="412">
        <v>0.36</v>
      </c>
      <c r="F374" s="412">
        <v>0.35</v>
      </c>
      <c r="G374" s="412">
        <v>0.33</v>
      </c>
      <c r="H374" s="412">
        <v>0.31</v>
      </c>
      <c r="I374" s="412">
        <v>0.3</v>
      </c>
      <c r="J374" s="412">
        <v>0.28999999999999998</v>
      </c>
      <c r="K374" s="412">
        <v>0.28999999999999998</v>
      </c>
      <c r="L374" s="412"/>
      <c r="M374" s="412"/>
      <c r="N374" s="412"/>
      <c r="O374" s="412"/>
      <c r="P374" s="412"/>
      <c r="Q374" s="412"/>
      <c r="R374" s="412"/>
      <c r="S374" s="412"/>
      <c r="T374" s="412"/>
    </row>
    <row r="375" spans="2:20">
      <c r="B375" s="288" t="s">
        <v>370</v>
      </c>
      <c r="C375" s="412">
        <v>0.35424178685897445</v>
      </c>
      <c r="D375" s="412">
        <v>0.62576040530296018</v>
      </c>
      <c r="E375" s="412">
        <v>0.50283192684757627</v>
      </c>
      <c r="F375" s="412">
        <v>0.56072439419394882</v>
      </c>
      <c r="G375" s="412">
        <v>1.0301506563028835</v>
      </c>
      <c r="H375" s="412">
        <v>1.2358889844272474</v>
      </c>
      <c r="I375" s="412">
        <v>1.4714063104828412</v>
      </c>
      <c r="J375" s="412">
        <v>0.91913871694967275</v>
      </c>
      <c r="K375" s="412">
        <v>0.5</v>
      </c>
      <c r="L375" s="412"/>
      <c r="M375" s="412"/>
      <c r="N375" s="412"/>
      <c r="O375" s="412"/>
      <c r="P375" s="412"/>
      <c r="Q375" s="412"/>
      <c r="R375" s="41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X68"/>
  <sheetViews>
    <sheetView topLeftCell="B1" zoomScale="80" zoomScaleNormal="80" zoomScalePageLayoutView="80" workbookViewId="0">
      <selection activeCell="B1" sqref="B1"/>
    </sheetView>
  </sheetViews>
  <sheetFormatPr defaultColWidth="9.21875" defaultRowHeight="13.2"/>
  <cols>
    <col min="1" max="1" width="4.44140625" style="13" customWidth="1"/>
    <col min="2" max="2" width="16.44140625" style="13" customWidth="1"/>
    <col min="3" max="11" width="8.44140625" style="13" customWidth="1"/>
    <col min="12" max="12" width="9" style="13" customWidth="1"/>
    <col min="13" max="16384" width="9.21875" style="13"/>
  </cols>
  <sheetData>
    <row r="2" spans="2:9" ht="17.399999999999999">
      <c r="B2" s="101" t="str">
        <f>Introduction!B2</f>
        <v xml:space="preserve">LightCounting Optical Components Market Forecast </v>
      </c>
    </row>
    <row r="3" spans="2:9" ht="15">
      <c r="B3" s="585" t="str">
        <f>Introduction!$B$3</f>
        <v>Published 31 October 2023 - Sample - for illustrative purposes only</v>
      </c>
    </row>
    <row r="4" spans="2:9" ht="17.399999999999999">
      <c r="B4" s="177" t="s">
        <v>48</v>
      </c>
    </row>
    <row r="6" spans="2:9">
      <c r="B6" s="562" t="s">
        <v>49</v>
      </c>
      <c r="C6" s="562"/>
      <c r="D6" s="562"/>
      <c r="E6" s="562"/>
      <c r="F6" s="562"/>
      <c r="G6" s="562"/>
      <c r="H6" s="562"/>
      <c r="I6" s="562"/>
    </row>
    <row r="7" spans="2:9">
      <c r="B7" s="562"/>
      <c r="C7" s="562"/>
      <c r="D7" s="562"/>
      <c r="E7" s="562"/>
      <c r="F7" s="562"/>
      <c r="G7" s="562"/>
      <c r="H7" s="562"/>
      <c r="I7" s="562"/>
    </row>
    <row r="8" spans="2:9">
      <c r="B8" s="14"/>
      <c r="C8" s="14"/>
      <c r="D8" s="14"/>
      <c r="E8" s="14"/>
      <c r="F8" s="14"/>
      <c r="G8" s="14"/>
      <c r="H8" s="14"/>
      <c r="I8" s="14"/>
    </row>
    <row r="9" spans="2:9">
      <c r="B9" s="565" t="s">
        <v>50</v>
      </c>
      <c r="C9" s="565"/>
      <c r="D9" s="565"/>
      <c r="E9" s="565"/>
      <c r="F9" s="565"/>
      <c r="G9" s="565"/>
      <c r="H9" s="565"/>
      <c r="I9" s="565"/>
    </row>
    <row r="23" spans="2:24">
      <c r="B23" s="37" t="s">
        <v>67</v>
      </c>
    </row>
    <row r="24" spans="2:24">
      <c r="B24" s="37" t="s">
        <v>191</v>
      </c>
    </row>
    <row r="25" spans="2:24">
      <c r="B25" s="37" t="s">
        <v>68</v>
      </c>
    </row>
    <row r="26" spans="2:24">
      <c r="B26"/>
    </row>
    <row r="27" spans="2:24">
      <c r="B27" s="47" t="s">
        <v>69</v>
      </c>
      <c r="S27" s="13" t="s">
        <v>129</v>
      </c>
    </row>
    <row r="28" spans="2:24">
      <c r="B28" s="20" t="s">
        <v>3</v>
      </c>
      <c r="C28" s="71">
        <v>2007</v>
      </c>
      <c r="D28" s="71">
        <v>2008</v>
      </c>
      <c r="E28" s="71">
        <v>2009</v>
      </c>
      <c r="F28" s="71">
        <v>2010</v>
      </c>
      <c r="G28" s="71">
        <v>2011</v>
      </c>
      <c r="H28" s="71">
        <v>2012</v>
      </c>
      <c r="I28" s="71">
        <v>2013</v>
      </c>
      <c r="J28" s="71">
        <v>2014</v>
      </c>
      <c r="K28" s="83">
        <v>2015</v>
      </c>
      <c r="L28" s="90">
        <v>2016</v>
      </c>
      <c r="M28" s="90">
        <v>2017</v>
      </c>
      <c r="N28" s="90">
        <v>2018</v>
      </c>
      <c r="O28" s="90">
        <v>2019</v>
      </c>
      <c r="P28" s="90">
        <v>2020</v>
      </c>
      <c r="Q28" s="90">
        <v>2021</v>
      </c>
      <c r="R28" s="90">
        <v>2022</v>
      </c>
      <c r="S28" s="90">
        <v>2023</v>
      </c>
      <c r="T28" s="90">
        <v>2024</v>
      </c>
      <c r="U28" s="90">
        <v>2025</v>
      </c>
      <c r="V28" s="90">
        <v>2026</v>
      </c>
      <c r="W28" s="90">
        <v>2027</v>
      </c>
      <c r="X28" s="90">
        <v>2028</v>
      </c>
    </row>
    <row r="29" spans="2:24" s="96" customFormat="1">
      <c r="B29" s="17" t="s">
        <v>122</v>
      </c>
      <c r="C29" s="235">
        <v>0.45098039215686292</v>
      </c>
      <c r="D29" s="235">
        <v>0.41891891891891886</v>
      </c>
      <c r="E29" s="235">
        <v>0.39999999999999991</v>
      </c>
      <c r="F29" s="235">
        <v>0.38775510204081631</v>
      </c>
      <c r="G29" s="235">
        <v>0.38</v>
      </c>
      <c r="H29" s="235">
        <v>0.37</v>
      </c>
      <c r="I29" s="235">
        <v>0.36</v>
      </c>
      <c r="J29" s="235">
        <v>0.35</v>
      </c>
      <c r="K29" s="235">
        <v>0.33</v>
      </c>
      <c r="L29" s="235">
        <v>0.31</v>
      </c>
      <c r="M29" s="235">
        <v>0.3</v>
      </c>
      <c r="N29" s="235">
        <v>0.28999999999999998</v>
      </c>
      <c r="O29" s="235">
        <v>0.28999999999999998</v>
      </c>
      <c r="P29" s="235">
        <v>0.5</v>
      </c>
      <c r="Q29" s="235">
        <v>0.35</v>
      </c>
      <c r="R29" s="235">
        <v>0.3</v>
      </c>
      <c r="S29" s="235">
        <v>0.28999999999999998</v>
      </c>
      <c r="T29" s="235">
        <v>0.28000000000000003</v>
      </c>
      <c r="U29" s="235">
        <v>0.27</v>
      </c>
      <c r="V29" s="235">
        <v>0.25800000000000001</v>
      </c>
      <c r="W29" s="235">
        <v>0.246</v>
      </c>
      <c r="X29" s="235">
        <v>0.23399999999999999</v>
      </c>
    </row>
    <row r="30" spans="2:24">
      <c r="B30" s="17" t="s">
        <v>371</v>
      </c>
      <c r="C30" s="236">
        <v>0.2363366825514075</v>
      </c>
      <c r="D30" s="236">
        <v>0.26126010671388444</v>
      </c>
      <c r="E30" s="236">
        <v>0.25114039004710653</v>
      </c>
      <c r="F30" s="236">
        <v>0.38417207079295546</v>
      </c>
      <c r="G30" s="236">
        <v>0.42417382322831676</v>
      </c>
      <c r="H30" s="236">
        <v>0.37489363230622441</v>
      </c>
      <c r="I30" s="236">
        <v>0.43190873335062818</v>
      </c>
      <c r="J30" s="236">
        <v>0.49082663568861773</v>
      </c>
      <c r="K30" s="236">
        <v>0.39953696134919681</v>
      </c>
      <c r="L30" s="236">
        <v>0.41922148072449872</v>
      </c>
      <c r="M30" s="236">
        <v>0.464032235755518</v>
      </c>
      <c r="N30" s="236">
        <v>0.4825440362243909</v>
      </c>
      <c r="O30" s="236">
        <v>0.38287821729406568</v>
      </c>
      <c r="P30" s="236">
        <v>0.49684907901277331</v>
      </c>
      <c r="Q30" s="236">
        <v>0.5206620502651238</v>
      </c>
      <c r="R30" s="236">
        <v>0.47042476689043422</v>
      </c>
      <c r="S30" s="236">
        <v>0.37687709454086038</v>
      </c>
      <c r="T30" s="236">
        <v>0.47180163302369338</v>
      </c>
      <c r="U30" s="236">
        <v>0.55823494970175247</v>
      </c>
      <c r="V30" s="236">
        <v>0.51372867091482277</v>
      </c>
      <c r="W30" s="236">
        <v>0.43602298647588111</v>
      </c>
      <c r="X30" s="236">
        <v>0.39506102955603883</v>
      </c>
    </row>
    <row r="31" spans="2:24">
      <c r="B31" s="17" t="s">
        <v>336</v>
      </c>
      <c r="C31" s="236">
        <v>0.40606751301296207</v>
      </c>
      <c r="D31" s="236">
        <v>0.50744472069135105</v>
      </c>
      <c r="E31" s="236">
        <v>0.24842156785301661</v>
      </c>
      <c r="F31" s="236">
        <v>0.22001159553324645</v>
      </c>
      <c r="G31" s="236">
        <v>0.31682528349686678</v>
      </c>
      <c r="H31" s="236">
        <v>0.38660684502076625</v>
      </c>
      <c r="I31" s="236">
        <v>0.41913726843312915</v>
      </c>
      <c r="J31" s="236">
        <v>0.42631212042630495</v>
      </c>
      <c r="K31" s="236">
        <v>0.44820797319536432</v>
      </c>
      <c r="L31" s="236">
        <v>0.54001448252248263</v>
      </c>
      <c r="M31" s="236">
        <v>0.43822789139532881</v>
      </c>
      <c r="N31" s="236">
        <v>0.39453901742709951</v>
      </c>
      <c r="O31" s="236">
        <v>0.37386496484692233</v>
      </c>
      <c r="P31" s="236">
        <v>0.53489477926419249</v>
      </c>
      <c r="Q31" s="236">
        <v>0.49253313836017454</v>
      </c>
      <c r="R31" s="236">
        <v>0.39377600906102006</v>
      </c>
      <c r="S31" s="236">
        <v>0.31049563731589713</v>
      </c>
      <c r="T31" s="236">
        <v>0.34540569725506987</v>
      </c>
      <c r="U31" s="236">
        <v>0.38530341795802947</v>
      </c>
      <c r="V31" s="236">
        <v>0.41389984915552258</v>
      </c>
      <c r="W31" s="236">
        <v>0.39971849173314422</v>
      </c>
      <c r="X31" s="236">
        <v>0.37682865052460768</v>
      </c>
    </row>
    <row r="33" spans="2:11">
      <c r="K33" s="13" t="s">
        <v>190</v>
      </c>
    </row>
    <row r="35" spans="2:11">
      <c r="B35" s="13" t="s">
        <v>51</v>
      </c>
    </row>
    <row r="37" spans="2:11">
      <c r="B37" s="15" t="s">
        <v>52</v>
      </c>
    </row>
    <row r="38" spans="2:11">
      <c r="B38" s="15"/>
    </row>
    <row r="39" spans="2:11">
      <c r="B39" s="564" t="s">
        <v>53</v>
      </c>
      <c r="C39" s="562"/>
      <c r="D39" s="562"/>
      <c r="E39" s="562"/>
      <c r="F39" s="562"/>
      <c r="G39" s="562"/>
      <c r="H39" s="562"/>
      <c r="I39" s="562"/>
    </row>
    <row r="40" spans="2:11">
      <c r="B40" s="562"/>
      <c r="C40" s="562"/>
      <c r="D40" s="562"/>
      <c r="E40" s="562"/>
      <c r="F40" s="562"/>
      <c r="G40" s="562"/>
      <c r="H40" s="562"/>
      <c r="I40" s="562"/>
    </row>
    <row r="41" spans="2:11">
      <c r="B41" s="563"/>
      <c r="C41" s="563"/>
      <c r="D41" s="563"/>
      <c r="E41" s="563"/>
      <c r="F41" s="563"/>
      <c r="G41" s="563"/>
      <c r="H41" s="563"/>
      <c r="I41" s="563"/>
    </row>
    <row r="42" spans="2:11">
      <c r="B42" s="563"/>
      <c r="C42" s="563"/>
      <c r="D42" s="563"/>
      <c r="E42" s="563"/>
      <c r="F42" s="563"/>
      <c r="G42" s="563"/>
      <c r="H42" s="563"/>
      <c r="I42" s="563"/>
    </row>
    <row r="44" spans="2:11">
      <c r="B44" s="15" t="s">
        <v>54</v>
      </c>
    </row>
    <row r="45" spans="2:11">
      <c r="B45" s="562" t="s">
        <v>55</v>
      </c>
      <c r="C45" s="562"/>
      <c r="D45" s="562"/>
      <c r="E45" s="562"/>
      <c r="F45" s="562"/>
      <c r="G45" s="562"/>
      <c r="H45" s="562"/>
      <c r="I45" s="562"/>
    </row>
    <row r="46" spans="2:11">
      <c r="B46" s="562"/>
      <c r="C46" s="562"/>
      <c r="D46" s="562"/>
      <c r="E46" s="562"/>
      <c r="F46" s="562"/>
      <c r="G46" s="562"/>
      <c r="H46" s="562"/>
      <c r="I46" s="562"/>
    </row>
    <row r="47" spans="2:11">
      <c r="B47" s="563"/>
      <c r="C47" s="563"/>
      <c r="D47" s="563"/>
      <c r="E47" s="563"/>
      <c r="F47" s="563"/>
      <c r="G47" s="563"/>
      <c r="H47" s="563"/>
      <c r="I47" s="563"/>
    </row>
    <row r="48" spans="2:11">
      <c r="B48" s="563"/>
      <c r="C48" s="563"/>
      <c r="D48" s="563"/>
      <c r="E48" s="563"/>
      <c r="F48" s="563"/>
      <c r="G48" s="563"/>
      <c r="H48" s="563"/>
      <c r="I48" s="563"/>
    </row>
    <row r="50" spans="2:9">
      <c r="B50" s="15" t="s">
        <v>56</v>
      </c>
    </row>
    <row r="51" spans="2:9">
      <c r="B51" s="15"/>
    </row>
    <row r="52" spans="2:9">
      <c r="B52" s="564" t="s">
        <v>57</v>
      </c>
      <c r="C52" s="562"/>
      <c r="D52" s="562"/>
      <c r="E52" s="562"/>
      <c r="F52" s="562"/>
      <c r="G52" s="562"/>
      <c r="H52" s="562"/>
      <c r="I52" s="562"/>
    </row>
    <row r="53" spans="2:9">
      <c r="B53" s="562"/>
      <c r="C53" s="562"/>
      <c r="D53" s="562"/>
      <c r="E53" s="562"/>
      <c r="F53" s="562"/>
      <c r="G53" s="562"/>
      <c r="H53" s="562"/>
      <c r="I53" s="562"/>
    </row>
    <row r="54" spans="2:9">
      <c r="B54" s="562"/>
      <c r="C54" s="562"/>
      <c r="D54" s="562"/>
      <c r="E54" s="562"/>
      <c r="F54" s="562"/>
      <c r="G54" s="562"/>
      <c r="H54" s="562"/>
      <c r="I54" s="562"/>
    </row>
    <row r="55" spans="2:9">
      <c r="B55" s="563"/>
      <c r="C55" s="563"/>
      <c r="D55" s="563"/>
      <c r="E55" s="563"/>
      <c r="F55" s="563"/>
      <c r="G55" s="563"/>
      <c r="H55" s="563"/>
      <c r="I55" s="563"/>
    </row>
    <row r="56" spans="2:9">
      <c r="B56" s="563"/>
      <c r="C56" s="563"/>
      <c r="D56" s="563"/>
      <c r="E56" s="563"/>
      <c r="F56" s="563"/>
      <c r="G56" s="563"/>
      <c r="H56" s="563"/>
      <c r="I56" s="563"/>
    </row>
    <row r="58" spans="2:9">
      <c r="B58" s="15" t="s">
        <v>58</v>
      </c>
    </row>
    <row r="59" spans="2:9">
      <c r="B59" s="562" t="s">
        <v>59</v>
      </c>
      <c r="C59" s="562"/>
      <c r="D59" s="562"/>
      <c r="E59" s="562"/>
      <c r="F59" s="562"/>
      <c r="G59" s="562"/>
      <c r="H59" s="562"/>
      <c r="I59" s="562"/>
    </row>
    <row r="60" spans="2:9">
      <c r="B60" s="562"/>
      <c r="C60" s="562"/>
      <c r="D60" s="562"/>
      <c r="E60" s="562"/>
      <c r="F60" s="562"/>
      <c r="G60" s="562"/>
      <c r="H60" s="562"/>
      <c r="I60" s="562"/>
    </row>
    <row r="61" spans="2:9">
      <c r="B61" s="563"/>
      <c r="C61" s="563"/>
      <c r="D61" s="563"/>
      <c r="E61" s="563"/>
      <c r="F61" s="563"/>
      <c r="G61" s="563"/>
      <c r="H61" s="563"/>
      <c r="I61" s="563"/>
    </row>
    <row r="62" spans="2:9">
      <c r="B62" s="563"/>
      <c r="C62" s="563"/>
      <c r="D62" s="563"/>
      <c r="E62" s="563"/>
      <c r="F62" s="563"/>
      <c r="G62" s="563"/>
      <c r="H62" s="563"/>
      <c r="I62" s="563"/>
    </row>
    <row r="64" spans="2:9">
      <c r="B64" s="15" t="s">
        <v>60</v>
      </c>
    </row>
    <row r="65" spans="2:9">
      <c r="B65" s="564" t="s">
        <v>61</v>
      </c>
      <c r="C65" s="562"/>
      <c r="D65" s="562"/>
      <c r="E65" s="562"/>
      <c r="F65" s="562"/>
      <c r="G65" s="562"/>
      <c r="H65" s="562"/>
      <c r="I65" s="562"/>
    </row>
    <row r="66" spans="2:9">
      <c r="B66" s="562"/>
      <c r="C66" s="562"/>
      <c r="D66" s="562"/>
      <c r="E66" s="562"/>
      <c r="F66" s="562"/>
      <c r="G66" s="562"/>
      <c r="H66" s="562"/>
      <c r="I66" s="562"/>
    </row>
    <row r="67" spans="2:9">
      <c r="B67" s="563"/>
      <c r="C67" s="563"/>
      <c r="D67" s="563"/>
      <c r="E67" s="563"/>
      <c r="F67" s="563"/>
      <c r="G67" s="563"/>
      <c r="H67" s="563"/>
      <c r="I67" s="563"/>
    </row>
    <row r="68" spans="2:9">
      <c r="B68" s="563"/>
      <c r="C68" s="563"/>
      <c r="D68" s="563"/>
      <c r="E68" s="563"/>
      <c r="F68" s="563"/>
      <c r="G68" s="563"/>
      <c r="H68" s="563"/>
      <c r="I68" s="563"/>
    </row>
  </sheetData>
  <mergeCells count="7">
    <mergeCell ref="B59:I62"/>
    <mergeCell ref="B65:I68"/>
    <mergeCell ref="B6:I7"/>
    <mergeCell ref="B9:I9"/>
    <mergeCell ref="B52:I56"/>
    <mergeCell ref="B39:I42"/>
    <mergeCell ref="B45:I4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8"/>
  <sheetViews>
    <sheetView showGridLines="0" zoomScale="80" zoomScaleNormal="80" zoomScalePageLayoutView="80" workbookViewId="0"/>
  </sheetViews>
  <sheetFormatPr defaultColWidth="8.77734375" defaultRowHeight="13.8"/>
  <cols>
    <col min="1" max="1" width="4.44140625" style="151" customWidth="1"/>
    <col min="2" max="2" width="17.44140625" style="151" customWidth="1"/>
    <col min="3" max="7" width="14.44140625" style="151" customWidth="1"/>
    <col min="8" max="8" width="14" style="151" customWidth="1"/>
    <col min="9" max="14" width="13.44140625" style="151" customWidth="1"/>
    <col min="15" max="15" width="14.44140625" style="151" customWidth="1"/>
    <col min="16" max="16384" width="8.77734375" style="151"/>
  </cols>
  <sheetData>
    <row r="2" spans="2:15" ht="17.399999999999999">
      <c r="B2" s="100" t="str">
        <f>Introduction!B2</f>
        <v xml:space="preserve">LightCounting Optical Components Market Forecast </v>
      </c>
    </row>
    <row r="3" spans="2:15" ht="15.6">
      <c r="B3" s="585" t="str">
        <f>Introduction!$B$3</f>
        <v>Published 31 October 2023 - Sample - for illustrative purposes only</v>
      </c>
    </row>
    <row r="4" spans="2:15" ht="17.399999999999999">
      <c r="B4" s="178" t="s">
        <v>131</v>
      </c>
    </row>
    <row r="7" spans="2:15" ht="31.2">
      <c r="B7" s="153" t="s">
        <v>132</v>
      </c>
      <c r="C7" s="154" t="s">
        <v>133</v>
      </c>
      <c r="D7" s="155"/>
      <c r="E7" s="155"/>
      <c r="F7" s="155"/>
      <c r="G7" s="155"/>
      <c r="H7" s="156"/>
      <c r="I7" s="154" t="s">
        <v>134</v>
      </c>
      <c r="J7" s="157"/>
      <c r="K7" s="155"/>
      <c r="L7" s="155"/>
      <c r="M7" s="155"/>
      <c r="N7" s="155"/>
      <c r="O7" s="156"/>
    </row>
    <row r="8" spans="2:15" ht="32.25" customHeight="1">
      <c r="B8" s="153" t="s">
        <v>4</v>
      </c>
      <c r="C8" s="566" t="s">
        <v>222</v>
      </c>
      <c r="D8" s="567"/>
      <c r="E8" s="567"/>
      <c r="F8" s="567"/>
      <c r="G8" s="567"/>
      <c r="H8" s="568"/>
      <c r="I8" s="566" t="s">
        <v>302</v>
      </c>
      <c r="J8" s="567"/>
      <c r="K8" s="567"/>
      <c r="L8" s="567"/>
      <c r="M8" s="567"/>
      <c r="N8" s="567"/>
      <c r="O8" s="568"/>
    </row>
    <row r="9" spans="2:15" ht="48.75" customHeight="1">
      <c r="B9" s="153" t="s">
        <v>143</v>
      </c>
      <c r="C9" s="566" t="s">
        <v>144</v>
      </c>
      <c r="D9" s="567"/>
      <c r="E9" s="567"/>
      <c r="F9" s="567"/>
      <c r="G9" s="567"/>
      <c r="H9" s="568"/>
      <c r="I9" s="566" t="s">
        <v>223</v>
      </c>
      <c r="J9" s="567"/>
      <c r="K9" s="567"/>
      <c r="L9" s="567"/>
      <c r="M9" s="567"/>
      <c r="N9" s="567"/>
      <c r="O9" s="568"/>
    </row>
    <row r="10" spans="2:15" ht="35.25" customHeight="1">
      <c r="B10" s="153" t="s">
        <v>7</v>
      </c>
      <c r="C10" s="566" t="s">
        <v>145</v>
      </c>
      <c r="D10" s="567"/>
      <c r="E10" s="567"/>
      <c r="F10" s="567"/>
      <c r="G10" s="567"/>
      <c r="H10" s="568"/>
      <c r="I10" s="566" t="s">
        <v>146</v>
      </c>
      <c r="J10" s="567"/>
      <c r="K10" s="567"/>
      <c r="L10" s="567"/>
      <c r="M10" s="567"/>
      <c r="N10" s="567"/>
      <c r="O10" s="568"/>
    </row>
    <row r="11" spans="2:15" ht="45.75" customHeight="1">
      <c r="B11" s="153" t="s">
        <v>140</v>
      </c>
      <c r="C11" s="566" t="s">
        <v>141</v>
      </c>
      <c r="D11" s="567"/>
      <c r="E11" s="567"/>
      <c r="F11" s="567"/>
      <c r="G11" s="567"/>
      <c r="H11" s="568"/>
      <c r="I11" s="566" t="s">
        <v>303</v>
      </c>
      <c r="J11" s="567"/>
      <c r="K11" s="567"/>
      <c r="L11" s="567"/>
      <c r="M11" s="567"/>
      <c r="N11" s="567"/>
      <c r="O11" s="568"/>
    </row>
    <row r="12" spans="2:15" ht="45.75" customHeight="1">
      <c r="B12" s="153" t="s">
        <v>326</v>
      </c>
      <c r="C12" s="566" t="s">
        <v>328</v>
      </c>
      <c r="D12" s="567"/>
      <c r="E12" s="567"/>
      <c r="F12" s="567"/>
      <c r="G12" s="567"/>
      <c r="H12" s="568"/>
      <c r="I12" s="566" t="s">
        <v>304</v>
      </c>
      <c r="J12" s="567"/>
      <c r="K12" s="567"/>
      <c r="L12" s="567"/>
      <c r="M12" s="567"/>
      <c r="N12" s="567"/>
      <c r="O12" s="568"/>
    </row>
    <row r="13" spans="2:15" ht="32.25" customHeight="1">
      <c r="B13" s="153" t="s">
        <v>327</v>
      </c>
      <c r="C13" s="566" t="s">
        <v>329</v>
      </c>
      <c r="D13" s="567"/>
      <c r="E13" s="567"/>
      <c r="F13" s="567"/>
      <c r="G13" s="567"/>
      <c r="H13" s="568"/>
      <c r="I13" s="566" t="s">
        <v>330</v>
      </c>
      <c r="J13" s="567"/>
      <c r="K13" s="567"/>
      <c r="L13" s="567"/>
      <c r="M13" s="567"/>
      <c r="N13" s="567"/>
      <c r="O13" s="568"/>
    </row>
    <row r="14" spans="2:15" ht="32.25" customHeight="1">
      <c r="B14" s="153" t="s">
        <v>8</v>
      </c>
      <c r="C14" s="566" t="s">
        <v>142</v>
      </c>
      <c r="D14" s="567"/>
      <c r="E14" s="567"/>
      <c r="F14" s="567"/>
      <c r="G14" s="567"/>
      <c r="H14" s="568"/>
      <c r="I14" s="566" t="s">
        <v>305</v>
      </c>
      <c r="J14" s="567"/>
      <c r="K14" s="567"/>
      <c r="L14" s="567"/>
      <c r="M14" s="567"/>
      <c r="N14" s="567"/>
      <c r="O14" s="568"/>
    </row>
    <row r="15" spans="2:15" ht="31.2">
      <c r="B15" s="153" t="s">
        <v>300</v>
      </c>
      <c r="C15" s="566" t="s">
        <v>315</v>
      </c>
      <c r="D15" s="567"/>
      <c r="E15" s="567"/>
      <c r="F15" s="567"/>
      <c r="G15" s="567"/>
      <c r="H15" s="568"/>
      <c r="I15" s="566" t="s">
        <v>314</v>
      </c>
      <c r="J15" s="567"/>
      <c r="K15" s="567"/>
      <c r="L15" s="567"/>
      <c r="M15" s="567"/>
      <c r="N15" s="567"/>
      <c r="O15" s="568"/>
    </row>
    <row r="16" spans="2:15" ht="32.25" customHeight="1">
      <c r="B16" s="153" t="s">
        <v>137</v>
      </c>
      <c r="C16" s="566" t="s">
        <v>138</v>
      </c>
      <c r="D16" s="567"/>
      <c r="E16" s="567"/>
      <c r="F16" s="567"/>
      <c r="G16" s="567"/>
      <c r="H16" s="568"/>
      <c r="I16" s="566" t="s">
        <v>139</v>
      </c>
      <c r="J16" s="567"/>
      <c r="K16" s="567"/>
      <c r="L16" s="567"/>
      <c r="M16" s="567"/>
      <c r="N16" s="567"/>
      <c r="O16" s="568"/>
    </row>
    <row r="17" spans="2:15" ht="32.25" customHeight="1">
      <c r="B17" s="153" t="s">
        <v>135</v>
      </c>
      <c r="C17" s="566" t="s">
        <v>136</v>
      </c>
      <c r="D17" s="567"/>
      <c r="E17" s="567"/>
      <c r="F17" s="567"/>
      <c r="G17" s="567"/>
      <c r="H17" s="568"/>
      <c r="I17" s="566" t="s">
        <v>316</v>
      </c>
      <c r="J17" s="567"/>
      <c r="K17" s="567"/>
      <c r="L17" s="567"/>
      <c r="M17" s="567"/>
      <c r="N17" s="567"/>
      <c r="O17" s="568"/>
    </row>
    <row r="18" spans="2:15" ht="32.25" customHeight="1">
      <c r="B18" s="153" t="s">
        <v>10</v>
      </c>
      <c r="C18" s="566" t="s">
        <v>301</v>
      </c>
      <c r="D18" s="567"/>
      <c r="E18" s="567"/>
      <c r="F18" s="567"/>
      <c r="G18" s="567"/>
      <c r="H18" s="568"/>
      <c r="I18" s="569" t="s">
        <v>365</v>
      </c>
      <c r="J18" s="567"/>
      <c r="K18" s="567"/>
      <c r="L18" s="567"/>
      <c r="M18" s="567"/>
      <c r="N18" s="567"/>
      <c r="O18" s="568"/>
    </row>
    <row r="20" spans="2:15">
      <c r="B20" s="152"/>
    </row>
    <row r="21" spans="2:15">
      <c r="B21" s="152"/>
    </row>
    <row r="22" spans="2:15">
      <c r="B22" s="152"/>
    </row>
    <row r="24" spans="2:15">
      <c r="B24" s="152"/>
    </row>
    <row r="25" spans="2:15">
      <c r="B25" s="152"/>
    </row>
    <row r="26" spans="2:15">
      <c r="B26" s="152"/>
    </row>
    <row r="28" spans="2:15">
      <c r="B28" s="152"/>
    </row>
    <row r="29" spans="2:15">
      <c r="B29" s="152"/>
    </row>
    <row r="30" spans="2:15">
      <c r="B30" s="152"/>
    </row>
    <row r="31" spans="2:15">
      <c r="B31" s="152"/>
    </row>
    <row r="38" spans="2:2">
      <c r="B38" s="152"/>
    </row>
  </sheetData>
  <mergeCells count="22">
    <mergeCell ref="I15:O15"/>
    <mergeCell ref="C15:H15"/>
    <mergeCell ref="C11:H11"/>
    <mergeCell ref="I11:O11"/>
    <mergeCell ref="C14:H14"/>
    <mergeCell ref="I14:O14"/>
    <mergeCell ref="C13:H13"/>
    <mergeCell ref="I13:O13"/>
    <mergeCell ref="C12:H12"/>
    <mergeCell ref="I12:O12"/>
    <mergeCell ref="C17:H17"/>
    <mergeCell ref="I17:O17"/>
    <mergeCell ref="C16:H16"/>
    <mergeCell ref="I16:O16"/>
    <mergeCell ref="I18:O18"/>
    <mergeCell ref="C18:H18"/>
    <mergeCell ref="C8:H8"/>
    <mergeCell ref="I8:O8"/>
    <mergeCell ref="C9:H9"/>
    <mergeCell ref="I9:O9"/>
    <mergeCell ref="C10:H10"/>
    <mergeCell ref="I10:O10"/>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Y590"/>
  <sheetViews>
    <sheetView showGridLines="0" zoomScale="60" zoomScaleNormal="60" zoomScalePageLayoutView="50" workbookViewId="0"/>
  </sheetViews>
  <sheetFormatPr defaultColWidth="8.44140625" defaultRowHeight="13.2"/>
  <cols>
    <col min="1" max="1" width="4.44140625" customWidth="1"/>
    <col min="2" max="2" width="25" customWidth="1"/>
    <col min="3" max="13" width="13.21875" customWidth="1"/>
    <col min="14" max="14" width="12.21875" customWidth="1"/>
    <col min="15" max="22" width="11.21875" customWidth="1"/>
    <col min="23" max="25" width="13" customWidth="1"/>
    <col min="26" max="26" width="13.44140625" customWidth="1"/>
    <col min="27" max="28" width="10.44140625" customWidth="1"/>
    <col min="29" max="29" width="20.21875" customWidth="1"/>
    <col min="30" max="30" width="14.77734375" customWidth="1"/>
    <col min="31" max="35" width="9.44140625" bestFit="1" customWidth="1"/>
    <col min="36" max="36" width="10.44140625" bestFit="1" customWidth="1"/>
    <col min="40" max="40" width="9.44140625" customWidth="1"/>
  </cols>
  <sheetData>
    <row r="1" spans="2:25">
      <c r="Q1" s="7"/>
      <c r="R1" s="7"/>
      <c r="S1" s="7"/>
      <c r="T1" s="7"/>
      <c r="U1" s="7"/>
      <c r="V1" s="7"/>
      <c r="W1" s="7"/>
      <c r="X1" s="7"/>
      <c r="Y1" s="7"/>
    </row>
    <row r="2" spans="2:25" ht="17.399999999999999">
      <c r="B2" s="70" t="str">
        <f>Introduction!B2</f>
        <v xml:space="preserve">LightCounting Optical Components Market Forecast </v>
      </c>
      <c r="Q2" s="7"/>
      <c r="R2" s="7"/>
      <c r="S2" s="7"/>
      <c r="T2" s="7"/>
      <c r="U2" s="7"/>
      <c r="V2" s="7"/>
      <c r="W2" s="7"/>
      <c r="X2" s="7"/>
      <c r="Y2" s="7"/>
    </row>
    <row r="3" spans="2:25" ht="15">
      <c r="B3" s="587" t="str">
        <f>Introduction!B3</f>
        <v>Published 31 October 2023 - Sample - for illustrative purposes only</v>
      </c>
      <c r="C3" s="16"/>
      <c r="D3" s="16"/>
      <c r="E3" s="16"/>
      <c r="F3" s="16"/>
      <c r="G3" s="16"/>
      <c r="H3" s="16"/>
      <c r="I3" s="16"/>
      <c r="J3" s="16"/>
      <c r="K3" s="16"/>
      <c r="L3" s="16"/>
      <c r="M3" s="16"/>
      <c r="N3" s="16"/>
      <c r="O3" s="16"/>
      <c r="P3" s="16"/>
      <c r="Q3" s="138"/>
      <c r="R3" s="138"/>
      <c r="S3" s="138"/>
      <c r="T3" s="138"/>
      <c r="U3" s="138"/>
      <c r="V3" s="138"/>
      <c r="W3" s="138"/>
      <c r="X3" s="138"/>
      <c r="Y3" s="138"/>
    </row>
    <row r="4" spans="2:25" ht="17.399999999999999">
      <c r="B4" s="178" t="s">
        <v>85</v>
      </c>
      <c r="C4" s="16"/>
      <c r="D4" s="16"/>
      <c r="E4" s="16"/>
      <c r="F4" s="16"/>
      <c r="G4" s="16"/>
      <c r="H4" s="16"/>
      <c r="I4" s="16"/>
      <c r="J4" s="16"/>
      <c r="K4" s="16"/>
      <c r="L4" s="16"/>
      <c r="M4" s="16"/>
      <c r="N4" s="16"/>
      <c r="O4" s="16"/>
      <c r="P4" s="16"/>
      <c r="Q4" s="138"/>
      <c r="R4" s="138"/>
      <c r="S4" s="138"/>
      <c r="T4" s="138"/>
      <c r="U4" s="138"/>
      <c r="V4" s="138"/>
      <c r="W4" s="138"/>
      <c r="X4" s="138"/>
      <c r="Y4" s="138"/>
    </row>
    <row r="5" spans="2:25">
      <c r="B5" s="16"/>
      <c r="C5" s="16"/>
      <c r="D5" s="16"/>
      <c r="E5" s="16"/>
      <c r="F5" s="16"/>
      <c r="G5" s="16"/>
      <c r="H5" s="16"/>
      <c r="I5" s="16"/>
      <c r="J5" s="16"/>
      <c r="K5" s="16"/>
      <c r="L5" s="16"/>
      <c r="M5" s="16"/>
      <c r="N5" s="16"/>
      <c r="O5" s="16"/>
      <c r="P5" s="16"/>
      <c r="Q5" s="138"/>
      <c r="R5" s="138"/>
      <c r="S5" s="138"/>
      <c r="T5" s="138"/>
      <c r="U5" s="138"/>
      <c r="V5" s="138"/>
      <c r="W5" s="138"/>
      <c r="X5" s="138"/>
      <c r="Y5" s="138"/>
    </row>
    <row r="6" spans="2:25" ht="15.6">
      <c r="B6" s="78" t="s">
        <v>232</v>
      </c>
      <c r="F6" s="16"/>
      <c r="G6" s="16"/>
      <c r="H6" s="78" t="s">
        <v>463</v>
      </c>
    </row>
    <row r="7" spans="2:25" ht="17.399999999999999">
      <c r="B7" s="16"/>
      <c r="K7" s="49"/>
      <c r="L7" s="49"/>
      <c r="M7" s="49"/>
      <c r="N7" s="49"/>
    </row>
    <row r="8" spans="2:25">
      <c r="B8" s="16"/>
    </row>
    <row r="9" spans="2:25">
      <c r="B9" s="16"/>
    </row>
    <row r="10" spans="2:25">
      <c r="B10" s="16"/>
    </row>
    <row r="11" spans="2:25">
      <c r="B11" s="16"/>
    </row>
    <row r="12" spans="2:25">
      <c r="B12" s="16"/>
    </row>
    <row r="13" spans="2:25">
      <c r="B13" s="16"/>
    </row>
    <row r="14" spans="2:25">
      <c r="B14" s="16"/>
    </row>
    <row r="15" spans="2:25">
      <c r="B15" s="16"/>
    </row>
    <row r="16" spans="2:25">
      <c r="B16" s="16"/>
    </row>
    <row r="17" spans="2:14">
      <c r="B17" s="16"/>
    </row>
    <row r="18" spans="2:14">
      <c r="B18" s="16"/>
    </row>
    <row r="19" spans="2:14">
      <c r="B19" s="16"/>
    </row>
    <row r="20" spans="2:14">
      <c r="B20" s="16"/>
    </row>
    <row r="21" spans="2:14">
      <c r="B21" s="16"/>
    </row>
    <row r="22" spans="2:14">
      <c r="B22" s="16"/>
    </row>
    <row r="23" spans="2:14">
      <c r="B23" s="16"/>
    </row>
    <row r="25" spans="2:14" ht="15.6">
      <c r="B25" s="78" t="s">
        <v>160</v>
      </c>
      <c r="N25" s="118" t="s">
        <v>2</v>
      </c>
    </row>
    <row r="26" spans="2:14" ht="13.8" thickBot="1">
      <c r="B26" s="125" t="s">
        <v>161</v>
      </c>
      <c r="C26" s="135">
        <v>2018</v>
      </c>
      <c r="D26" s="135">
        <v>2019</v>
      </c>
      <c r="E26" s="135">
        <v>2020</v>
      </c>
      <c r="F26" s="135">
        <v>2021</v>
      </c>
      <c r="G26" s="135">
        <v>2022</v>
      </c>
      <c r="H26" s="135">
        <v>2023</v>
      </c>
      <c r="I26" s="135">
        <v>2024</v>
      </c>
      <c r="J26" s="135">
        <v>2025</v>
      </c>
      <c r="K26" s="135">
        <v>2026</v>
      </c>
      <c r="L26" s="135">
        <v>2027</v>
      </c>
      <c r="M26" s="135">
        <v>2028</v>
      </c>
      <c r="N26" s="103" t="s">
        <v>470</v>
      </c>
    </row>
    <row r="27" spans="2:14">
      <c r="B27" s="121" t="s">
        <v>162</v>
      </c>
      <c r="C27" s="87">
        <f>Summary!C104</f>
        <v>8676.7760814520188</v>
      </c>
      <c r="D27" s="87">
        <f>Summary!D104</f>
        <v>8822.1295519970263</v>
      </c>
      <c r="E27" s="87"/>
      <c r="F27" s="87"/>
      <c r="G27" s="87"/>
      <c r="H27" s="87"/>
      <c r="I27" s="87"/>
      <c r="J27" s="87"/>
      <c r="K27" s="87"/>
      <c r="L27" s="87"/>
      <c r="M27" s="87"/>
      <c r="N27" s="139" t="e">
        <f>(M27/G27)^(1/6)-1</f>
        <v>#DIV/0!</v>
      </c>
    </row>
    <row r="28" spans="2:14">
      <c r="B28" s="123" t="s">
        <v>333</v>
      </c>
      <c r="C28" s="161">
        <f>WSS!D34</f>
        <v>365.31830158163763</v>
      </c>
      <c r="D28" s="161">
        <f>WSS!E34</f>
        <v>518.68237217981789</v>
      </c>
      <c r="E28" s="161"/>
      <c r="F28" s="161"/>
      <c r="G28" s="161"/>
      <c r="H28" s="161"/>
      <c r="I28" s="161"/>
      <c r="J28" s="161"/>
      <c r="K28" s="161"/>
      <c r="L28" s="161"/>
      <c r="M28" s="161"/>
      <c r="N28" s="139" t="e">
        <f>(M28/G28)^(1/6)-1</f>
        <v>#DIV/0!</v>
      </c>
    </row>
    <row r="29" spans="2:14" ht="13.8" thickBot="1">
      <c r="B29" s="124" t="s">
        <v>157</v>
      </c>
      <c r="C29" s="89">
        <f t="shared" ref="C29:D29" si="0">SUM(C27:C28)</f>
        <v>9042.0943830336564</v>
      </c>
      <c r="D29" s="89">
        <f t="shared" si="0"/>
        <v>9340.8119241768436</v>
      </c>
      <c r="E29" s="89"/>
      <c r="F29" s="89"/>
      <c r="G29" s="89"/>
      <c r="H29" s="89"/>
      <c r="I29" s="89"/>
      <c r="J29" s="89"/>
      <c r="K29" s="89"/>
      <c r="L29" s="89"/>
      <c r="M29" s="89"/>
      <c r="N29" s="441" t="e">
        <f>(M29/G29)^(1/6)-1</f>
        <v>#DIV/0!</v>
      </c>
    </row>
    <row r="30" spans="2:14">
      <c r="B30" s="122" t="s">
        <v>109</v>
      </c>
      <c r="C30" s="86"/>
      <c r="D30" s="86">
        <f t="shared" ref="D30" si="1">D27/C27-1</f>
        <v>1.6752013556708301E-2</v>
      </c>
      <c r="E30" s="86"/>
      <c r="F30" s="86"/>
      <c r="G30" s="86"/>
      <c r="H30" s="86"/>
      <c r="I30" s="86"/>
      <c r="J30" s="86"/>
      <c r="K30" s="86"/>
      <c r="L30" s="86"/>
      <c r="M30" s="86"/>
    </row>
    <row r="31" spans="2:14">
      <c r="B31" s="123" t="s">
        <v>110</v>
      </c>
      <c r="C31" s="119"/>
      <c r="D31" s="119">
        <f t="shared" ref="D31" si="2">D28/C28-1</f>
        <v>0.41980943723375996</v>
      </c>
      <c r="E31" s="119"/>
      <c r="F31" s="119"/>
      <c r="G31" s="119"/>
      <c r="H31" s="119"/>
      <c r="I31" s="119"/>
      <c r="J31" s="119"/>
      <c r="K31" s="119"/>
      <c r="L31" s="119"/>
      <c r="M31" s="119"/>
    </row>
    <row r="32" spans="2:14" ht="13.8" thickBot="1">
      <c r="B32" s="124" t="s">
        <v>225</v>
      </c>
      <c r="C32" s="88"/>
      <c r="D32" s="88">
        <f t="shared" ref="D32" si="3">D29/C29-1</f>
        <v>3.3036321950331793E-2</v>
      </c>
      <c r="E32" s="88"/>
      <c r="F32" s="88"/>
      <c r="G32" s="88"/>
      <c r="H32" s="88"/>
      <c r="I32" s="88"/>
      <c r="J32" s="88"/>
      <c r="K32" s="88"/>
      <c r="L32" s="88"/>
      <c r="M32" s="88"/>
    </row>
    <row r="33" spans="2:16">
      <c r="B33" s="16"/>
      <c r="C33" s="16"/>
      <c r="D33" s="16"/>
      <c r="E33" s="16"/>
      <c r="F33" s="16"/>
      <c r="G33" s="16"/>
      <c r="H33" s="16"/>
      <c r="I33" s="16"/>
      <c r="J33" s="16"/>
      <c r="K33" s="16"/>
      <c r="L33" s="16"/>
      <c r="M33" s="16"/>
      <c r="N33" s="16"/>
      <c r="O33" s="16"/>
      <c r="P33" s="16"/>
    </row>
    <row r="34" spans="2:16" ht="15.6">
      <c r="B34" s="77" t="s">
        <v>228</v>
      </c>
      <c r="C34" s="16"/>
      <c r="D34" s="16"/>
      <c r="E34" s="16"/>
      <c r="F34" s="16"/>
      <c r="G34" s="16"/>
      <c r="H34" s="16"/>
      <c r="I34" s="77" t="s">
        <v>228</v>
      </c>
      <c r="J34" s="77"/>
      <c r="K34" s="77"/>
      <c r="L34" s="77"/>
      <c r="M34" s="77"/>
      <c r="O34" s="16"/>
    </row>
    <row r="35" spans="2:16">
      <c r="B35" s="16"/>
      <c r="C35" s="16"/>
      <c r="D35" s="16"/>
      <c r="E35" s="16"/>
      <c r="F35" s="16"/>
      <c r="G35" s="16"/>
      <c r="H35" s="16"/>
      <c r="I35" s="16"/>
      <c r="J35" s="16"/>
      <c r="K35" s="16"/>
      <c r="L35" s="16"/>
      <c r="M35" s="16"/>
      <c r="N35" s="16"/>
      <c r="O35" s="16"/>
    </row>
    <row r="36" spans="2:16">
      <c r="B36" s="16"/>
      <c r="C36" s="16"/>
      <c r="D36" s="16"/>
      <c r="E36" s="16"/>
      <c r="F36" s="16"/>
      <c r="G36" s="16"/>
      <c r="H36" s="16"/>
      <c r="I36" s="16"/>
      <c r="J36" s="16"/>
      <c r="K36" s="16"/>
      <c r="L36" s="16"/>
      <c r="M36" s="16"/>
      <c r="N36" s="16"/>
      <c r="O36" s="16"/>
    </row>
    <row r="37" spans="2:16">
      <c r="B37" s="16"/>
      <c r="C37" s="16"/>
      <c r="D37" s="16"/>
      <c r="E37" s="16"/>
      <c r="F37" s="16"/>
      <c r="G37" s="16"/>
      <c r="H37" s="16"/>
      <c r="I37" s="16"/>
      <c r="J37" s="16"/>
      <c r="K37" s="16"/>
      <c r="L37" s="16"/>
      <c r="M37" s="16"/>
      <c r="N37" s="16"/>
      <c r="O37" s="16"/>
    </row>
    <row r="38" spans="2:16">
      <c r="B38" s="16"/>
      <c r="C38" s="16"/>
      <c r="D38" s="16"/>
      <c r="E38" s="16"/>
      <c r="F38" s="16"/>
      <c r="G38" s="16"/>
      <c r="H38" s="16"/>
      <c r="I38" s="16"/>
      <c r="J38" s="16"/>
      <c r="K38" s="16"/>
      <c r="L38" s="16"/>
      <c r="M38" s="16"/>
      <c r="N38" s="16"/>
      <c r="O38" s="16"/>
    </row>
    <row r="39" spans="2:16">
      <c r="B39" s="16"/>
      <c r="C39" s="16"/>
      <c r="D39" s="16"/>
      <c r="E39" s="16"/>
      <c r="F39" s="16"/>
      <c r="G39" s="16"/>
      <c r="H39" s="16"/>
      <c r="I39" s="16"/>
      <c r="J39" s="16"/>
      <c r="K39" s="16"/>
      <c r="L39" s="16"/>
      <c r="M39" s="16"/>
      <c r="N39" s="16"/>
      <c r="O39" s="16"/>
    </row>
    <row r="40" spans="2:16">
      <c r="B40" s="16"/>
      <c r="C40" s="16"/>
      <c r="D40" s="16" t="s">
        <v>175</v>
      </c>
      <c r="E40" s="16"/>
      <c r="F40" s="16"/>
      <c r="G40" s="16"/>
      <c r="H40" s="16"/>
      <c r="I40" s="16"/>
      <c r="J40" s="16"/>
      <c r="K40" s="16"/>
      <c r="L40" s="16"/>
      <c r="M40" s="16"/>
      <c r="N40" s="16"/>
      <c r="O40" s="16"/>
    </row>
    <row r="41" spans="2:16">
      <c r="B41" s="16"/>
      <c r="C41" s="16"/>
      <c r="D41" s="16"/>
      <c r="E41" s="16"/>
      <c r="F41" s="16"/>
      <c r="G41" s="16"/>
      <c r="H41" s="16"/>
      <c r="I41" s="16"/>
      <c r="J41" s="16"/>
      <c r="K41" s="16"/>
      <c r="L41" s="16"/>
      <c r="M41" s="16"/>
      <c r="N41" s="16"/>
      <c r="O41" s="16"/>
    </row>
    <row r="42" spans="2:16">
      <c r="B42" s="16"/>
      <c r="C42" s="16"/>
      <c r="D42" s="16"/>
      <c r="E42" s="16"/>
      <c r="F42" s="16"/>
      <c r="G42" s="16"/>
      <c r="H42" s="16"/>
      <c r="I42" s="16"/>
      <c r="J42" s="16"/>
      <c r="K42" s="16"/>
      <c r="L42" s="16"/>
      <c r="M42" s="16"/>
      <c r="N42" s="16"/>
      <c r="O42" s="16"/>
    </row>
    <row r="43" spans="2:16">
      <c r="B43" s="16"/>
      <c r="C43" s="16"/>
      <c r="D43" s="16"/>
      <c r="E43" s="16"/>
      <c r="F43" s="16"/>
      <c r="G43" s="16"/>
      <c r="H43" s="16"/>
      <c r="I43" s="16"/>
      <c r="J43" s="16"/>
      <c r="K43" s="16"/>
      <c r="L43" s="16"/>
      <c r="M43" s="16"/>
      <c r="N43" s="16"/>
      <c r="O43" s="16"/>
    </row>
    <row r="44" spans="2:16">
      <c r="B44" s="16"/>
      <c r="C44" s="16"/>
      <c r="D44" s="16"/>
      <c r="E44" s="16"/>
      <c r="F44" s="16"/>
      <c r="G44" s="16"/>
      <c r="H44" s="16"/>
      <c r="I44" s="16"/>
      <c r="J44" s="16"/>
      <c r="K44" s="16"/>
      <c r="L44" s="16"/>
      <c r="M44" s="16"/>
      <c r="N44" s="16"/>
      <c r="O44" s="16"/>
    </row>
    <row r="45" spans="2:16">
      <c r="B45" s="16"/>
      <c r="C45" s="16"/>
      <c r="D45" s="16"/>
      <c r="E45" s="16"/>
      <c r="F45" s="16"/>
      <c r="G45" s="16"/>
      <c r="H45" s="16"/>
      <c r="I45" s="16"/>
      <c r="J45" s="16"/>
      <c r="K45" s="16"/>
      <c r="L45" s="16"/>
      <c r="M45" s="16"/>
      <c r="N45" s="16"/>
      <c r="O45" s="16"/>
    </row>
    <row r="46" spans="2:16">
      <c r="B46" s="16"/>
      <c r="C46" s="16"/>
      <c r="D46" s="16"/>
      <c r="E46" s="16"/>
      <c r="F46" s="16"/>
      <c r="G46" s="16"/>
      <c r="H46" s="16"/>
      <c r="I46" s="16"/>
      <c r="J46" s="16"/>
      <c r="K46" s="16"/>
      <c r="L46" s="16"/>
      <c r="M46" s="16"/>
      <c r="N46" s="16"/>
      <c r="O46" s="16"/>
    </row>
    <row r="47" spans="2:16">
      <c r="B47" s="16"/>
      <c r="C47" s="16"/>
      <c r="D47" s="16"/>
      <c r="E47" s="16"/>
      <c r="F47" s="16"/>
      <c r="G47" s="16"/>
      <c r="H47" s="16"/>
      <c r="I47" s="16"/>
      <c r="J47" s="16"/>
      <c r="K47" s="16"/>
      <c r="L47" s="16"/>
      <c r="M47" s="16"/>
      <c r="N47" s="16"/>
      <c r="O47" s="16"/>
    </row>
    <row r="48" spans="2:16">
      <c r="B48" s="16"/>
      <c r="C48" s="16"/>
      <c r="D48" s="16"/>
      <c r="E48" s="16"/>
      <c r="F48" s="16"/>
      <c r="G48" s="16"/>
      <c r="H48" s="16"/>
      <c r="I48" s="16"/>
      <c r="J48" s="16"/>
      <c r="K48" s="16"/>
      <c r="L48" s="16"/>
      <c r="M48" s="16"/>
      <c r="N48" s="16"/>
      <c r="O48" s="16"/>
    </row>
    <row r="49" spans="2:15">
      <c r="B49" s="16"/>
      <c r="C49" s="16"/>
      <c r="D49" s="16"/>
      <c r="E49" s="16"/>
      <c r="F49" s="16"/>
      <c r="G49" s="16"/>
      <c r="H49" s="16"/>
      <c r="I49" s="16"/>
      <c r="J49" s="16"/>
      <c r="K49" s="16"/>
      <c r="L49" s="16"/>
      <c r="M49" s="16"/>
      <c r="N49" s="16"/>
      <c r="O49" s="16"/>
    </row>
    <row r="50" spans="2:15">
      <c r="B50" s="16"/>
      <c r="C50" s="16"/>
      <c r="D50" s="16"/>
      <c r="E50" s="16"/>
      <c r="F50" s="16"/>
      <c r="G50" s="16"/>
      <c r="H50" s="16"/>
      <c r="I50" s="16"/>
      <c r="J50" s="16"/>
      <c r="K50" s="16"/>
      <c r="L50" s="16"/>
      <c r="M50" s="16"/>
      <c r="N50" s="16"/>
      <c r="O50" s="16"/>
    </row>
    <row r="51" spans="2:15">
      <c r="B51" s="16"/>
      <c r="C51" s="16"/>
      <c r="D51" s="16"/>
      <c r="E51" s="16"/>
      <c r="F51" s="16"/>
      <c r="G51" s="16"/>
      <c r="H51" s="16"/>
      <c r="I51" s="16"/>
      <c r="J51" s="16"/>
      <c r="K51" s="16"/>
      <c r="L51" s="16"/>
      <c r="M51" s="16"/>
      <c r="N51" s="16"/>
      <c r="O51" s="16"/>
    </row>
    <row r="52" spans="2:15">
      <c r="B52" s="16"/>
      <c r="C52" s="16"/>
      <c r="D52" s="16"/>
      <c r="E52" s="16"/>
      <c r="F52" s="16"/>
      <c r="G52" s="16"/>
      <c r="H52" s="16"/>
      <c r="I52" s="16"/>
      <c r="J52" s="16"/>
      <c r="K52" s="16"/>
      <c r="L52" s="16"/>
      <c r="M52" s="16"/>
      <c r="N52" s="16"/>
      <c r="O52" s="16"/>
    </row>
    <row r="53" spans="2:15">
      <c r="B53" s="16"/>
      <c r="C53" s="16"/>
      <c r="D53" s="16"/>
      <c r="E53" s="16"/>
      <c r="F53" s="16"/>
      <c r="G53" s="16"/>
      <c r="H53" s="16"/>
      <c r="I53" s="16"/>
      <c r="J53" s="16"/>
      <c r="K53" s="16"/>
      <c r="L53" s="16"/>
      <c r="M53" s="16"/>
      <c r="N53" s="16"/>
      <c r="O53" s="16"/>
    </row>
    <row r="54" spans="2:15">
      <c r="B54" s="16"/>
      <c r="C54" s="16"/>
      <c r="D54" s="16"/>
      <c r="E54" s="16"/>
      <c r="F54" s="16"/>
      <c r="G54" s="16"/>
      <c r="H54" s="16"/>
      <c r="I54" s="16"/>
      <c r="J54" s="16"/>
      <c r="K54" s="16"/>
      <c r="L54" s="16"/>
      <c r="M54" s="16"/>
      <c r="N54" s="16"/>
      <c r="O54" s="16"/>
    </row>
    <row r="55" spans="2:15">
      <c r="B55" s="57"/>
      <c r="C55" s="16"/>
      <c r="D55" s="16"/>
      <c r="E55" s="16"/>
      <c r="F55" s="16"/>
      <c r="G55" s="16"/>
      <c r="H55" s="30"/>
      <c r="I55" s="30"/>
      <c r="J55" s="30"/>
      <c r="K55" s="30"/>
      <c r="L55" s="30"/>
      <c r="M55" s="30"/>
      <c r="N55" s="30"/>
    </row>
    <row r="56" spans="2:15" ht="15.6">
      <c r="B56" s="78" t="s">
        <v>195</v>
      </c>
      <c r="N56" s="159" t="s">
        <v>2</v>
      </c>
    </row>
    <row r="57" spans="2:15">
      <c r="B57" s="158" t="s">
        <v>3</v>
      </c>
      <c r="C57" s="108">
        <v>2018</v>
      </c>
      <c r="D57" s="103">
        <v>2019</v>
      </c>
      <c r="E57" s="103">
        <v>2020</v>
      </c>
      <c r="F57" s="103">
        <v>2021</v>
      </c>
      <c r="G57" s="103">
        <v>2022</v>
      </c>
      <c r="H57" s="103">
        <v>2023</v>
      </c>
      <c r="I57" s="103">
        <v>2024</v>
      </c>
      <c r="J57" s="103">
        <v>2025</v>
      </c>
      <c r="K57" s="103">
        <v>2026</v>
      </c>
      <c r="L57" s="103">
        <v>2027</v>
      </c>
      <c r="M57" s="103">
        <v>2028</v>
      </c>
      <c r="N57" s="108" t="str">
        <f>N26</f>
        <v>2022-2028</v>
      </c>
    </row>
    <row r="58" spans="2:15">
      <c r="B58" s="33" t="s">
        <v>16</v>
      </c>
      <c r="C58" s="115">
        <f>Ethernet!E53</f>
        <v>45990087.589244679</v>
      </c>
      <c r="D58" s="115">
        <f>Ethernet!F53</f>
        <v>42208306.517515101</v>
      </c>
      <c r="E58" s="115"/>
      <c r="F58" s="115"/>
      <c r="G58" s="115"/>
      <c r="H58" s="115"/>
      <c r="I58" s="115"/>
      <c r="J58" s="115"/>
      <c r="K58" s="115"/>
      <c r="L58" s="115"/>
      <c r="M58" s="115"/>
      <c r="N58" s="139"/>
    </row>
    <row r="59" spans="2:15">
      <c r="B59" s="33" t="s">
        <v>5</v>
      </c>
      <c r="C59" s="23">
        <f>'Fibre Channel'!E18</f>
        <v>7839170</v>
      </c>
      <c r="D59" s="23">
        <f>'Fibre Channel'!F18</f>
        <v>7687734.5578942783</v>
      </c>
      <c r="E59" s="23"/>
      <c r="F59" s="23"/>
      <c r="G59" s="23"/>
      <c r="H59" s="23"/>
      <c r="I59" s="23"/>
      <c r="J59" s="23"/>
      <c r="K59" s="23"/>
      <c r="L59" s="23"/>
      <c r="M59" s="23"/>
      <c r="N59" s="140"/>
    </row>
    <row r="60" spans="2:15">
      <c r="B60" s="33" t="s">
        <v>7</v>
      </c>
      <c r="C60" s="23">
        <f>AOC!E16</f>
        <v>6080954</v>
      </c>
      <c r="D60" s="23">
        <f>AOC!F16</f>
        <v>4940245</v>
      </c>
      <c r="E60" s="23"/>
      <c r="F60" s="23"/>
      <c r="G60" s="23"/>
      <c r="H60" s="23"/>
      <c r="I60" s="23"/>
      <c r="J60" s="23"/>
      <c r="K60" s="23"/>
      <c r="L60" s="23"/>
      <c r="M60" s="23"/>
      <c r="N60" s="140"/>
    </row>
    <row r="61" spans="2:15">
      <c r="B61" s="33" t="s">
        <v>6</v>
      </c>
      <c r="C61" s="69">
        <f>'CWDM and DWDM'!F29</f>
        <v>1281197</v>
      </c>
      <c r="D61" s="69">
        <f>'CWDM and DWDM'!G29</f>
        <v>1540857</v>
      </c>
      <c r="E61" s="69"/>
      <c r="F61" s="69"/>
      <c r="G61" s="69"/>
      <c r="H61" s="69"/>
      <c r="I61" s="69"/>
      <c r="J61" s="69"/>
      <c r="K61" s="69"/>
      <c r="L61" s="69"/>
      <c r="M61" s="69"/>
      <c r="N61" s="140"/>
    </row>
    <row r="62" spans="2:15">
      <c r="B62" s="33" t="s">
        <v>322</v>
      </c>
      <c r="C62" s="23">
        <f>Fronthaul!F19</f>
        <v>16464669.061662231</v>
      </c>
      <c r="D62" s="23">
        <f>Fronthaul!G19</f>
        <v>32336900.96652998</v>
      </c>
      <c r="E62" s="23"/>
      <c r="F62" s="23"/>
      <c r="G62" s="23"/>
      <c r="H62" s="23"/>
      <c r="I62" s="23"/>
      <c r="J62" s="23"/>
      <c r="K62" s="23"/>
      <c r="L62" s="23"/>
      <c r="M62" s="23"/>
      <c r="N62" s="140"/>
    </row>
    <row r="63" spans="2:15">
      <c r="B63" s="33" t="s">
        <v>331</v>
      </c>
      <c r="C63" s="23">
        <f>+Backhaul!F14</f>
        <v>1389737.6923076923</v>
      </c>
      <c r="D63" s="23">
        <f>+Backhaul!G14</f>
        <v>2286250.3877272741</v>
      </c>
      <c r="E63" s="23"/>
      <c r="F63" s="23"/>
      <c r="G63" s="23"/>
      <c r="H63" s="23"/>
      <c r="I63" s="23"/>
      <c r="J63" s="23"/>
      <c r="K63" s="23"/>
      <c r="L63" s="23"/>
      <c r="M63" s="23"/>
      <c r="N63" s="140"/>
    </row>
    <row r="64" spans="2:15">
      <c r="B64" s="33" t="s">
        <v>8</v>
      </c>
      <c r="C64" s="26">
        <f>FTTx!C30</f>
        <v>92056484.942399994</v>
      </c>
      <c r="D64" s="26">
        <f>FTTx!D30</f>
        <v>72316081.971200004</v>
      </c>
      <c r="E64" s="26"/>
      <c r="F64" s="26"/>
      <c r="G64" s="26"/>
      <c r="H64" s="26"/>
      <c r="I64" s="26"/>
      <c r="J64" s="26"/>
      <c r="K64" s="26"/>
      <c r="L64" s="26"/>
      <c r="M64" s="26"/>
      <c r="N64" s="140"/>
    </row>
    <row r="65" spans="2:25">
      <c r="B65" s="160" t="s">
        <v>9</v>
      </c>
      <c r="C65" s="26">
        <f t="shared" ref="C65:D65" si="4">SUM(C58:C64)</f>
        <v>171102300.28561461</v>
      </c>
      <c r="D65" s="112">
        <f t="shared" si="4"/>
        <v>163316376.40086663</v>
      </c>
      <c r="E65" s="112"/>
      <c r="F65" s="112"/>
      <c r="G65" s="112"/>
      <c r="H65" s="112"/>
      <c r="I65" s="112"/>
      <c r="J65" s="112"/>
      <c r="K65" s="112"/>
      <c r="L65" s="112"/>
      <c r="M65" s="112"/>
      <c r="N65" s="144"/>
    </row>
    <row r="66" spans="2:25">
      <c r="B66" s="134" t="s">
        <v>163</v>
      </c>
      <c r="C66" s="103">
        <v>2018</v>
      </c>
      <c r="D66" s="103">
        <v>2019</v>
      </c>
      <c r="E66" s="103">
        <v>2020</v>
      </c>
      <c r="F66" s="103">
        <v>2021</v>
      </c>
      <c r="G66" s="103">
        <v>2022</v>
      </c>
      <c r="H66" s="103">
        <v>2023</v>
      </c>
      <c r="I66" s="103">
        <f>I57</f>
        <v>2024</v>
      </c>
      <c r="J66" s="103">
        <f>J57</f>
        <v>2025</v>
      </c>
      <c r="K66" s="103">
        <f t="shared" ref="K66:M66" si="5">K57</f>
        <v>2026</v>
      </c>
      <c r="L66" s="103">
        <f t="shared" si="5"/>
        <v>2027</v>
      </c>
      <c r="M66" s="103">
        <f t="shared" si="5"/>
        <v>2028</v>
      </c>
    </row>
    <row r="67" spans="2:25">
      <c r="B67" s="33" t="str">
        <f>B58</f>
        <v>Ethernet</v>
      </c>
      <c r="C67" s="128"/>
      <c r="D67" s="128">
        <f t="shared" ref="D67:J74" si="6">D58/C58-1</f>
        <v>-8.2230351581543681E-2</v>
      </c>
      <c r="E67" s="128"/>
      <c r="F67" s="128"/>
      <c r="G67" s="128"/>
      <c r="H67" s="128"/>
      <c r="I67" s="128"/>
      <c r="J67" s="128"/>
      <c r="K67" s="128"/>
      <c r="L67" s="128"/>
      <c r="M67" s="128"/>
      <c r="O67" s="19"/>
      <c r="Q67" s="7"/>
      <c r="R67" s="7"/>
      <c r="S67" s="7"/>
      <c r="T67" s="7"/>
      <c r="U67" s="7"/>
      <c r="V67" s="7"/>
      <c r="W67" s="7"/>
      <c r="X67" s="7"/>
      <c r="Y67" s="7"/>
    </row>
    <row r="68" spans="2:25">
      <c r="B68" s="33" t="str">
        <f t="shared" ref="B68:B73" si="7">B59</f>
        <v>Fibre Channel</v>
      </c>
      <c r="C68" s="128"/>
      <c r="D68" s="128">
        <f t="shared" si="6"/>
        <v>-1.9317790289752779E-2</v>
      </c>
      <c r="E68" s="128"/>
      <c r="F68" s="128"/>
      <c r="G68" s="128"/>
      <c r="H68" s="128"/>
      <c r="I68" s="128"/>
      <c r="J68" s="128"/>
      <c r="K68" s="128"/>
      <c r="L68" s="128"/>
      <c r="M68" s="128"/>
      <c r="O68" s="19"/>
      <c r="Q68" s="7"/>
      <c r="R68" s="7"/>
      <c r="S68" s="7"/>
      <c r="T68" s="7"/>
      <c r="U68" s="7"/>
      <c r="V68" s="7"/>
      <c r="W68" s="7"/>
      <c r="X68" s="7"/>
      <c r="Y68" s="7"/>
    </row>
    <row r="69" spans="2:25">
      <c r="B69" s="33" t="str">
        <f t="shared" si="7"/>
        <v>Optical Interconnects</v>
      </c>
      <c r="C69" s="128"/>
      <c r="D69" s="128">
        <f t="shared" si="6"/>
        <v>-0.18758717793293622</v>
      </c>
      <c r="E69" s="128"/>
      <c r="F69" s="128"/>
      <c r="G69" s="128"/>
      <c r="H69" s="128"/>
      <c r="I69" s="128"/>
      <c r="J69" s="128"/>
      <c r="K69" s="128"/>
      <c r="L69" s="128"/>
      <c r="M69" s="128"/>
      <c r="O69" s="19"/>
      <c r="Q69" s="7"/>
      <c r="R69" s="7"/>
      <c r="S69" s="7"/>
      <c r="T69" s="7"/>
      <c r="U69" s="7"/>
      <c r="V69" s="7"/>
      <c r="W69" s="7"/>
      <c r="X69" s="7"/>
      <c r="Y69" s="7"/>
    </row>
    <row r="70" spans="2:25">
      <c r="B70" s="33" t="str">
        <f t="shared" si="7"/>
        <v>CWDM / DWDM</v>
      </c>
      <c r="C70" s="128"/>
      <c r="D70" s="128">
        <f t="shared" si="6"/>
        <v>0.20266984702586721</v>
      </c>
      <c r="E70" s="128"/>
      <c r="F70" s="128"/>
      <c r="G70" s="128"/>
      <c r="H70" s="128"/>
      <c r="I70" s="128"/>
      <c r="J70" s="128"/>
      <c r="K70" s="128"/>
      <c r="L70" s="128"/>
      <c r="M70" s="128"/>
      <c r="O70" s="19"/>
      <c r="Q70" s="7"/>
      <c r="R70" s="7"/>
      <c r="S70" s="7"/>
      <c r="T70" s="7"/>
      <c r="U70" s="7"/>
      <c r="V70" s="7"/>
      <c r="W70" s="7"/>
      <c r="X70" s="7"/>
      <c r="Y70" s="7"/>
    </row>
    <row r="71" spans="2:25">
      <c r="B71" s="33" t="str">
        <f t="shared" si="7"/>
        <v>Wireless Fronthaul</v>
      </c>
      <c r="C71" s="128"/>
      <c r="D71" s="128">
        <f t="shared" si="6"/>
        <v>0.96401766992244231</v>
      </c>
      <c r="E71" s="128"/>
      <c r="F71" s="128"/>
      <c r="G71" s="128"/>
      <c r="H71" s="128"/>
      <c r="I71" s="128"/>
      <c r="J71" s="128"/>
      <c r="K71" s="128"/>
      <c r="L71" s="128"/>
      <c r="M71" s="128"/>
      <c r="O71" s="19"/>
      <c r="Q71" s="7"/>
      <c r="R71" s="7"/>
      <c r="S71" s="7"/>
      <c r="T71" s="7"/>
      <c r="U71" s="7"/>
      <c r="V71" s="7"/>
      <c r="W71" s="7"/>
      <c r="X71" s="7"/>
      <c r="Y71" s="7"/>
    </row>
    <row r="72" spans="2:25">
      <c r="B72" s="33" t="str">
        <f t="shared" si="7"/>
        <v>Wireless Backhaul</v>
      </c>
      <c r="C72" s="128"/>
      <c r="D72" s="128">
        <f t="shared" si="6"/>
        <v>0.64509489839834555</v>
      </c>
      <c r="E72" s="128"/>
      <c r="F72" s="128"/>
      <c r="G72" s="128"/>
      <c r="H72" s="128"/>
      <c r="I72" s="128"/>
      <c r="J72" s="128"/>
      <c r="K72" s="128"/>
      <c r="L72" s="128"/>
      <c r="M72" s="128"/>
      <c r="O72" s="19"/>
      <c r="Q72" s="7"/>
      <c r="R72" s="7"/>
      <c r="S72" s="7"/>
      <c r="T72" s="7"/>
      <c r="U72" s="7"/>
      <c r="V72" s="7"/>
      <c r="W72" s="7"/>
      <c r="X72" s="7"/>
      <c r="Y72" s="7"/>
    </row>
    <row r="73" spans="2:25">
      <c r="B73" s="33" t="str">
        <f t="shared" si="7"/>
        <v>FTTx</v>
      </c>
      <c r="C73" s="128"/>
      <c r="D73" s="128">
        <f t="shared" si="6"/>
        <v>-0.21443793974483838</v>
      </c>
      <c r="E73" s="128"/>
      <c r="F73" s="128"/>
      <c r="G73" s="128"/>
      <c r="H73" s="128"/>
      <c r="I73" s="128"/>
      <c r="J73" s="128"/>
      <c r="K73" s="128"/>
      <c r="L73" s="128"/>
      <c r="M73" s="128"/>
      <c r="O73" s="19"/>
      <c r="Q73" s="7"/>
      <c r="R73" s="7"/>
      <c r="S73" s="7"/>
      <c r="T73" s="7"/>
      <c r="U73" s="7"/>
      <c r="V73" s="7"/>
      <c r="W73" s="7"/>
      <c r="X73" s="7"/>
      <c r="Y73" s="7"/>
    </row>
    <row r="74" spans="2:25">
      <c r="B74" s="162" t="s">
        <v>9</v>
      </c>
      <c r="C74" s="209"/>
      <c r="D74" s="209">
        <f t="shared" si="6"/>
        <v>-4.5504495683291402E-2</v>
      </c>
      <c r="E74" s="114">
        <f t="shared" si="6"/>
        <v>-1</v>
      </c>
      <c r="F74" s="114" t="e">
        <f t="shared" si="6"/>
        <v>#DIV/0!</v>
      </c>
      <c r="G74" s="114" t="e">
        <f t="shared" si="6"/>
        <v>#DIV/0!</v>
      </c>
      <c r="H74" s="114" t="e">
        <f t="shared" si="6"/>
        <v>#DIV/0!</v>
      </c>
      <c r="I74" s="114" t="e">
        <f t="shared" si="6"/>
        <v>#DIV/0!</v>
      </c>
      <c r="J74" s="114" t="e">
        <f t="shared" si="6"/>
        <v>#DIV/0!</v>
      </c>
      <c r="K74" s="114" t="e">
        <f t="shared" ref="K74" si="8">K65/J65-1</f>
        <v>#DIV/0!</v>
      </c>
      <c r="L74" s="114" t="e">
        <f t="shared" ref="L74" si="9">L65/K65-1</f>
        <v>#DIV/0!</v>
      </c>
      <c r="M74" s="114" t="e">
        <f t="shared" ref="M74" si="10">M65/L65-1</f>
        <v>#DIV/0!</v>
      </c>
      <c r="O74" s="19"/>
      <c r="Q74" s="7"/>
      <c r="R74" s="7"/>
      <c r="S74" s="7"/>
      <c r="T74" s="7"/>
      <c r="U74" s="7"/>
      <c r="V74" s="7"/>
      <c r="W74" s="7"/>
      <c r="X74" s="7"/>
      <c r="Y74" s="7"/>
    </row>
    <row r="75" spans="2:25">
      <c r="B75" s="16"/>
      <c r="C75" s="46"/>
      <c r="D75" s="46"/>
      <c r="E75" s="46"/>
      <c r="F75" s="46"/>
      <c r="G75" s="46"/>
      <c r="H75" s="39"/>
      <c r="I75" s="39"/>
      <c r="J75" s="39"/>
      <c r="K75" s="39"/>
      <c r="L75" s="39"/>
      <c r="M75" s="39"/>
      <c r="N75" s="31"/>
      <c r="O75" s="19"/>
      <c r="Q75" s="7"/>
      <c r="R75" s="7"/>
      <c r="S75" s="7"/>
      <c r="T75" s="7"/>
      <c r="U75" s="7"/>
      <c r="V75" s="7"/>
      <c r="W75" s="7"/>
      <c r="X75" s="7"/>
      <c r="Y75" s="7"/>
    </row>
    <row r="76" spans="2:25" ht="15.6">
      <c r="B76" s="77" t="s">
        <v>227</v>
      </c>
      <c r="C76" s="16"/>
      <c r="D76" s="16"/>
      <c r="E76" s="16"/>
      <c r="F76" s="16"/>
      <c r="G76" s="16"/>
      <c r="H76" s="16"/>
      <c r="I76" s="77" t="s">
        <v>227</v>
      </c>
      <c r="J76" s="77"/>
      <c r="K76" s="77"/>
      <c r="L76" s="77"/>
      <c r="M76" s="77"/>
      <c r="O76" s="16"/>
      <c r="S76" t="s">
        <v>368</v>
      </c>
    </row>
    <row r="77" spans="2:25">
      <c r="B77" s="16"/>
      <c r="C77" s="16"/>
      <c r="D77" s="16"/>
      <c r="E77" s="16"/>
      <c r="F77" s="16"/>
      <c r="G77" s="16"/>
      <c r="H77" s="16"/>
      <c r="I77" s="16"/>
      <c r="J77" s="16"/>
      <c r="K77" s="16"/>
      <c r="L77" s="16"/>
      <c r="M77" s="16"/>
      <c r="N77" s="16"/>
      <c r="O77" s="16"/>
    </row>
    <row r="78" spans="2:25">
      <c r="B78" s="16"/>
      <c r="C78" s="16"/>
      <c r="D78" s="16"/>
      <c r="E78" s="16"/>
      <c r="F78" s="16"/>
      <c r="G78" s="16"/>
      <c r="H78" s="16"/>
      <c r="I78" s="16"/>
      <c r="J78" s="16"/>
      <c r="K78" s="16"/>
      <c r="L78" s="16"/>
      <c r="M78" s="16"/>
      <c r="N78" s="16"/>
      <c r="O78" s="16"/>
    </row>
    <row r="79" spans="2:25">
      <c r="B79" s="16"/>
      <c r="C79" s="16"/>
      <c r="D79" s="16"/>
      <c r="E79" s="16"/>
      <c r="F79" s="16"/>
      <c r="G79" s="16"/>
      <c r="H79" s="16"/>
      <c r="I79" s="16"/>
      <c r="J79" s="16"/>
      <c r="K79" s="16"/>
      <c r="L79" s="16"/>
      <c r="M79" s="16"/>
      <c r="N79" s="16"/>
      <c r="O79" s="16"/>
    </row>
    <row r="80" spans="2:25">
      <c r="B80" s="16"/>
      <c r="C80" s="16"/>
      <c r="D80" s="16"/>
      <c r="E80" s="16"/>
      <c r="F80" s="16"/>
      <c r="G80" s="16"/>
      <c r="H80" s="16"/>
      <c r="I80" s="16"/>
      <c r="J80" s="16"/>
      <c r="K80" s="16"/>
      <c r="L80" s="16"/>
      <c r="M80" s="16"/>
      <c r="N80" s="16"/>
      <c r="O80" s="16"/>
    </row>
    <row r="81" spans="2:15">
      <c r="B81" s="16"/>
      <c r="C81" s="16"/>
      <c r="D81" s="16"/>
      <c r="E81" s="16"/>
      <c r="F81" s="16"/>
      <c r="G81" s="16"/>
      <c r="H81" s="16"/>
      <c r="I81" s="16"/>
      <c r="J81" s="16"/>
      <c r="K81" s="16"/>
      <c r="L81" s="16"/>
      <c r="M81" s="16"/>
      <c r="N81" s="16"/>
      <c r="O81" s="16"/>
    </row>
    <row r="82" spans="2:15">
      <c r="B82" s="16"/>
      <c r="C82" s="16"/>
      <c r="D82" s="16"/>
      <c r="E82" s="16"/>
      <c r="F82" s="16"/>
      <c r="G82" s="16"/>
      <c r="H82" s="16"/>
      <c r="I82" s="16"/>
      <c r="J82" s="16"/>
      <c r="K82" s="16"/>
      <c r="L82" s="16"/>
      <c r="M82" s="16"/>
      <c r="N82" s="16"/>
      <c r="O82" s="16"/>
    </row>
    <row r="83" spans="2:15">
      <c r="B83" s="16"/>
      <c r="C83" s="16"/>
      <c r="D83" s="16"/>
      <c r="E83" s="16"/>
      <c r="F83" s="16"/>
      <c r="G83" s="16"/>
      <c r="H83" s="16"/>
      <c r="I83" s="16"/>
      <c r="J83" s="16"/>
      <c r="K83" s="16"/>
      <c r="L83" s="16"/>
      <c r="M83" s="16"/>
      <c r="N83" s="16"/>
      <c r="O83" s="16"/>
    </row>
    <row r="84" spans="2:15">
      <c r="B84" s="16"/>
      <c r="C84" s="16"/>
      <c r="D84" s="16"/>
      <c r="E84" s="16"/>
      <c r="F84" s="16"/>
      <c r="G84" s="16"/>
      <c r="H84" s="16"/>
      <c r="I84" s="16"/>
      <c r="J84" s="16"/>
      <c r="K84" s="16"/>
      <c r="L84" s="16"/>
      <c r="M84" s="16"/>
      <c r="N84" s="16"/>
      <c r="O84" s="16"/>
    </row>
    <row r="85" spans="2:15">
      <c r="B85" s="16"/>
      <c r="C85" s="16"/>
      <c r="D85" s="16" t="s">
        <v>175</v>
      </c>
      <c r="E85" s="16"/>
      <c r="F85" s="16"/>
      <c r="G85" s="16"/>
      <c r="H85" s="16"/>
      <c r="I85" s="16"/>
      <c r="J85" s="16"/>
      <c r="K85" s="16"/>
      <c r="L85" s="16"/>
      <c r="M85" s="16"/>
      <c r="N85" s="16"/>
      <c r="O85" s="16"/>
    </row>
    <row r="86" spans="2:15">
      <c r="B86" s="16"/>
      <c r="C86" s="16"/>
      <c r="D86" s="16"/>
      <c r="E86" s="16"/>
      <c r="F86" s="16"/>
      <c r="G86" s="16"/>
      <c r="H86" s="16"/>
      <c r="I86" s="16"/>
      <c r="J86" s="16"/>
      <c r="K86" s="16"/>
      <c r="L86" s="16"/>
      <c r="M86" s="16"/>
      <c r="N86" s="16"/>
      <c r="O86" s="16"/>
    </row>
    <row r="87" spans="2:15">
      <c r="B87" s="16"/>
      <c r="C87" s="16"/>
      <c r="D87" s="16"/>
      <c r="E87" s="16"/>
      <c r="F87" s="16"/>
      <c r="G87" s="16"/>
      <c r="H87" s="16"/>
      <c r="I87" s="16"/>
      <c r="J87" s="16"/>
      <c r="K87" s="16"/>
      <c r="L87" s="16"/>
      <c r="M87" s="16"/>
      <c r="N87" s="16"/>
      <c r="O87" s="16"/>
    </row>
    <row r="88" spans="2:15">
      <c r="B88" s="16"/>
      <c r="C88" s="16"/>
      <c r="D88" s="16"/>
      <c r="E88" s="16"/>
      <c r="F88" s="16"/>
      <c r="G88" s="16"/>
      <c r="H88" s="16"/>
      <c r="I88" s="16"/>
      <c r="J88" s="16"/>
      <c r="K88" s="16"/>
      <c r="L88" s="16"/>
      <c r="M88" s="16"/>
      <c r="N88" s="16"/>
      <c r="O88" s="16"/>
    </row>
    <row r="89" spans="2:15">
      <c r="B89" s="16"/>
      <c r="C89" s="16"/>
      <c r="D89" s="16"/>
      <c r="E89" s="16"/>
      <c r="F89" s="16"/>
      <c r="G89" s="16"/>
      <c r="H89" s="16"/>
      <c r="I89" s="16"/>
      <c r="J89" s="16"/>
      <c r="K89" s="16"/>
      <c r="L89" s="16"/>
      <c r="M89" s="16"/>
      <c r="N89" s="16"/>
      <c r="O89" s="16"/>
    </row>
    <row r="90" spans="2:15">
      <c r="B90" s="16"/>
      <c r="C90" s="16"/>
      <c r="D90" s="16"/>
      <c r="E90" s="16"/>
      <c r="F90" s="16"/>
      <c r="G90" s="16"/>
      <c r="H90" s="16"/>
      <c r="I90" s="16"/>
      <c r="J90" s="16"/>
      <c r="K90" s="16"/>
      <c r="L90" s="16"/>
      <c r="M90" s="16"/>
      <c r="N90" s="16"/>
      <c r="O90" s="16"/>
    </row>
    <row r="91" spans="2:15">
      <c r="B91" s="16"/>
      <c r="C91" s="16"/>
      <c r="D91" s="16"/>
      <c r="E91" s="16"/>
      <c r="F91" s="16"/>
      <c r="G91" s="16"/>
      <c r="H91" s="16"/>
      <c r="I91" s="16"/>
      <c r="J91" s="16"/>
      <c r="K91" s="16"/>
      <c r="L91" s="16"/>
      <c r="M91" s="16"/>
      <c r="N91" s="16"/>
      <c r="O91" s="16"/>
    </row>
    <row r="92" spans="2:15">
      <c r="B92" s="16"/>
      <c r="C92" s="16"/>
      <c r="D92" s="16"/>
      <c r="E92" s="16"/>
      <c r="F92" s="16"/>
      <c r="G92" s="16"/>
      <c r="H92" s="16"/>
      <c r="I92" s="16"/>
      <c r="J92" s="16"/>
      <c r="K92" s="16"/>
      <c r="L92" s="16"/>
      <c r="M92" s="16"/>
      <c r="N92" s="16"/>
      <c r="O92" s="16"/>
    </row>
    <row r="93" spans="2:15">
      <c r="B93" s="16"/>
      <c r="C93" s="16"/>
      <c r="D93" s="16"/>
      <c r="E93" s="16"/>
      <c r="F93" s="16"/>
      <c r="G93" s="16"/>
      <c r="H93" s="16"/>
      <c r="I93" s="16"/>
      <c r="J93" s="16"/>
      <c r="K93" s="16"/>
      <c r="L93" s="16"/>
      <c r="M93" s="16"/>
      <c r="N93" s="16"/>
      <c r="O93" s="16"/>
    </row>
    <row r="94" spans="2:15">
      <c r="B94" s="57"/>
      <c r="C94" s="16"/>
      <c r="D94" s="16"/>
      <c r="E94" s="16"/>
      <c r="F94" s="16"/>
      <c r="G94" s="16"/>
      <c r="H94" s="30"/>
      <c r="I94" s="30"/>
      <c r="J94" s="30"/>
      <c r="K94" s="30"/>
      <c r="L94" s="30"/>
      <c r="M94" s="30"/>
      <c r="N94" s="30"/>
    </row>
    <row r="95" spans="2:15" ht="15.6">
      <c r="B95" s="78" t="s">
        <v>164</v>
      </c>
      <c r="N95" s="159" t="s">
        <v>2</v>
      </c>
    </row>
    <row r="96" spans="2:15">
      <c r="B96" s="158" t="s">
        <v>3</v>
      </c>
      <c r="C96" s="108">
        <v>2018</v>
      </c>
      <c r="D96" s="103">
        <v>2019</v>
      </c>
      <c r="E96" s="103">
        <v>2020</v>
      </c>
      <c r="F96" s="103">
        <v>2021</v>
      </c>
      <c r="G96" s="103">
        <v>2022</v>
      </c>
      <c r="H96" s="103">
        <v>2023</v>
      </c>
      <c r="I96" s="103">
        <v>2024</v>
      </c>
      <c r="J96" s="103">
        <v>2025</v>
      </c>
      <c r="K96" s="103">
        <v>2026</v>
      </c>
      <c r="L96" s="103">
        <v>2027</v>
      </c>
      <c r="M96" s="103">
        <v>2028</v>
      </c>
      <c r="N96" s="108" t="str">
        <f>N57</f>
        <v>2022-2028</v>
      </c>
    </row>
    <row r="97" spans="2:25">
      <c r="B97" s="33" t="str">
        <f t="shared" ref="B97:B103" si="11">B58</f>
        <v>Ethernet</v>
      </c>
      <c r="C97" s="161">
        <f>Ethernet!E150</f>
        <v>3383.8982428713425</v>
      </c>
      <c r="D97" s="161">
        <f>Ethernet!F150</f>
        <v>2782.4703988713959</v>
      </c>
      <c r="E97" s="161"/>
      <c r="F97" s="161"/>
      <c r="G97" s="161"/>
      <c r="H97" s="161"/>
      <c r="I97" s="161"/>
      <c r="J97" s="161"/>
      <c r="K97" s="161"/>
      <c r="L97" s="161"/>
      <c r="M97" s="161"/>
      <c r="N97" s="139"/>
    </row>
    <row r="98" spans="2:25">
      <c r="B98" s="33" t="str">
        <f t="shared" si="11"/>
        <v>Fibre Channel</v>
      </c>
      <c r="C98" s="24">
        <f t="shared" ref="C98:D98" si="12">O551</f>
        <v>218.4222266667125</v>
      </c>
      <c r="D98" s="24">
        <f t="shared" si="12"/>
        <v>271.04595053612644</v>
      </c>
      <c r="E98" s="24"/>
      <c r="F98" s="24"/>
      <c r="G98" s="24"/>
      <c r="H98" s="24"/>
      <c r="I98" s="24"/>
      <c r="J98" s="24"/>
      <c r="K98" s="24"/>
      <c r="L98" s="24"/>
      <c r="M98" s="24"/>
      <c r="N98" s="140"/>
    </row>
    <row r="99" spans="2:25">
      <c r="B99" s="33" t="str">
        <f t="shared" si="11"/>
        <v>Optical Interconnects</v>
      </c>
      <c r="C99" s="24">
        <f>AOC!E39</f>
        <v>227.1686618283141</v>
      </c>
      <c r="D99" s="24">
        <f>AOC!F39</f>
        <v>383.14520409235945</v>
      </c>
      <c r="E99" s="24"/>
      <c r="F99" s="24"/>
      <c r="G99" s="24"/>
      <c r="H99" s="24"/>
      <c r="I99" s="24"/>
      <c r="J99" s="24"/>
      <c r="K99" s="24"/>
      <c r="L99" s="24"/>
      <c r="M99" s="24"/>
      <c r="N99" s="140"/>
    </row>
    <row r="100" spans="2:25">
      <c r="B100" s="33" t="str">
        <f t="shared" si="11"/>
        <v>CWDM / DWDM</v>
      </c>
      <c r="C100" s="64">
        <f>'CWDM and DWDM'!F78</f>
        <v>3757.3280952727268</v>
      </c>
      <c r="D100" s="64">
        <f>'CWDM and DWDM'!G78</f>
        <v>3740.8947562632848</v>
      </c>
      <c r="E100" s="64"/>
      <c r="F100" s="64"/>
      <c r="G100" s="64"/>
      <c r="H100" s="64"/>
      <c r="I100" s="64"/>
      <c r="J100" s="64"/>
      <c r="K100" s="64"/>
      <c r="L100" s="64"/>
      <c r="M100" s="64"/>
      <c r="N100" s="140"/>
    </row>
    <row r="101" spans="2:25">
      <c r="B101" s="33" t="str">
        <f t="shared" si="11"/>
        <v>Wireless Fronthaul</v>
      </c>
      <c r="C101" s="24">
        <f>Fronthaul!F47</f>
        <v>365.79070959702165</v>
      </c>
      <c r="D101" s="24">
        <f>Fronthaul!G47</f>
        <v>918.08542910141614</v>
      </c>
      <c r="E101" s="24"/>
      <c r="F101" s="24"/>
      <c r="G101" s="24"/>
      <c r="H101" s="24"/>
      <c r="I101" s="24"/>
      <c r="J101" s="24"/>
      <c r="K101" s="24"/>
      <c r="L101" s="24"/>
      <c r="M101" s="24"/>
      <c r="N101" s="140"/>
    </row>
    <row r="102" spans="2:25">
      <c r="B102" s="33" t="str">
        <f t="shared" si="11"/>
        <v>Wireless Backhaul</v>
      </c>
      <c r="C102" s="24">
        <f>Backhaul!F33</f>
        <v>82.303681142702601</v>
      </c>
      <c r="D102" s="24">
        <f>Backhaul!G33</f>
        <v>144.68243122208546</v>
      </c>
      <c r="E102" s="24"/>
      <c r="F102" s="24"/>
      <c r="G102" s="24"/>
      <c r="H102" s="24"/>
      <c r="I102" s="24"/>
      <c r="J102" s="24"/>
      <c r="K102" s="24"/>
      <c r="L102" s="24"/>
      <c r="M102" s="24"/>
      <c r="N102" s="140"/>
    </row>
    <row r="103" spans="2:25">
      <c r="B103" s="33" t="str">
        <f t="shared" si="11"/>
        <v>FTTx</v>
      </c>
      <c r="C103" s="27">
        <f>O301</f>
        <v>641.86446407319875</v>
      </c>
      <c r="D103" s="27">
        <f>P301</f>
        <v>581.80538191035816</v>
      </c>
      <c r="E103" s="27"/>
      <c r="F103" s="27"/>
      <c r="G103" s="27"/>
      <c r="H103" s="27"/>
      <c r="I103" s="27"/>
      <c r="J103" s="27"/>
      <c r="K103" s="27"/>
      <c r="L103" s="27"/>
      <c r="M103" s="27"/>
      <c r="N103" s="141"/>
    </row>
    <row r="104" spans="2:25">
      <c r="B104" s="160" t="s">
        <v>9</v>
      </c>
      <c r="C104" s="27">
        <f t="shared" ref="C104" si="13">SUM(C97:C103)</f>
        <v>8676.7760814520188</v>
      </c>
      <c r="D104" s="120">
        <f>SUM(D97:D103)</f>
        <v>8822.1295519970263</v>
      </c>
      <c r="E104" s="120"/>
      <c r="F104" s="120"/>
      <c r="G104" s="120"/>
      <c r="H104" s="120"/>
      <c r="I104" s="120"/>
      <c r="J104" s="120"/>
      <c r="K104" s="120"/>
      <c r="L104" s="120"/>
      <c r="M104" s="120"/>
      <c r="N104" s="144"/>
    </row>
    <row r="105" spans="2:25">
      <c r="B105" s="134" t="s">
        <v>163</v>
      </c>
      <c r="C105" s="103">
        <v>2018</v>
      </c>
      <c r="D105" s="103">
        <v>2019</v>
      </c>
      <c r="E105" s="103">
        <v>2020</v>
      </c>
      <c r="F105" s="103">
        <v>2021</v>
      </c>
      <c r="G105" s="103">
        <v>2022</v>
      </c>
      <c r="H105" s="103">
        <v>2023</v>
      </c>
      <c r="I105" s="103">
        <v>2024</v>
      </c>
      <c r="J105" s="103">
        <v>2025</v>
      </c>
      <c r="K105" s="103">
        <v>2026</v>
      </c>
      <c r="L105" s="103">
        <v>2027</v>
      </c>
      <c r="M105" s="103">
        <v>2028</v>
      </c>
    </row>
    <row r="106" spans="2:25">
      <c r="B106" s="33" t="str">
        <f t="shared" ref="B106:B112" si="14">B58</f>
        <v>Ethernet</v>
      </c>
      <c r="C106" s="128"/>
      <c r="D106" s="128">
        <f t="shared" ref="D106:D113" si="15">D97/C97-1</f>
        <v>-0.17773224867708093</v>
      </c>
      <c r="E106" s="128"/>
      <c r="F106" s="128"/>
      <c r="G106" s="128"/>
      <c r="H106" s="128"/>
      <c r="I106" s="128"/>
      <c r="J106" s="128"/>
      <c r="K106" s="128"/>
      <c r="L106" s="128"/>
      <c r="M106" s="128"/>
      <c r="N106" s="287"/>
      <c r="O106" s="19"/>
      <c r="Q106" s="7"/>
      <c r="R106" s="7"/>
      <c r="S106" s="7"/>
      <c r="T106" s="7"/>
      <c r="U106" s="7"/>
      <c r="V106" s="7"/>
      <c r="W106" s="7"/>
      <c r="X106" s="7"/>
      <c r="Y106" s="7"/>
    </row>
    <row r="107" spans="2:25">
      <c r="B107" s="33" t="str">
        <f t="shared" si="14"/>
        <v>Fibre Channel</v>
      </c>
      <c r="C107" s="128"/>
      <c r="D107" s="128">
        <f t="shared" si="15"/>
        <v>0.24092659740948319</v>
      </c>
      <c r="E107" s="128"/>
      <c r="F107" s="128"/>
      <c r="G107" s="128"/>
      <c r="H107" s="128"/>
      <c r="I107" s="128"/>
      <c r="J107" s="128"/>
      <c r="K107" s="128"/>
      <c r="L107" s="128"/>
      <c r="M107" s="128"/>
      <c r="O107" s="19"/>
      <c r="Q107" s="7"/>
      <c r="R107" s="7"/>
      <c r="S107" s="7"/>
      <c r="T107" s="7"/>
      <c r="U107" s="7"/>
      <c r="V107" s="7"/>
      <c r="W107" s="7"/>
      <c r="X107" s="7"/>
      <c r="Y107" s="7"/>
    </row>
    <row r="108" spans="2:25">
      <c r="B108" s="33" t="str">
        <f t="shared" si="14"/>
        <v>Optical Interconnects</v>
      </c>
      <c r="C108" s="128"/>
      <c r="D108" s="128">
        <f t="shared" si="15"/>
        <v>0.68661117694978024</v>
      </c>
      <c r="E108" s="128"/>
      <c r="F108" s="128"/>
      <c r="G108" s="128"/>
      <c r="H108" s="128"/>
      <c r="I108" s="128"/>
      <c r="J108" s="128"/>
      <c r="K108" s="128"/>
      <c r="L108" s="128"/>
      <c r="M108" s="128"/>
      <c r="O108" s="19"/>
      <c r="Q108" s="7"/>
      <c r="R108" s="7"/>
      <c r="S108" s="7"/>
      <c r="T108" s="7"/>
      <c r="U108" s="7"/>
      <c r="V108" s="7"/>
      <c r="W108" s="7"/>
      <c r="X108" s="7"/>
      <c r="Y108" s="7"/>
    </row>
    <row r="109" spans="2:25">
      <c r="B109" s="33" t="str">
        <f t="shared" si="14"/>
        <v>CWDM / DWDM</v>
      </c>
      <c r="C109" s="128"/>
      <c r="D109" s="128">
        <f t="shared" si="15"/>
        <v>-4.3736768769587764E-3</v>
      </c>
      <c r="E109" s="128"/>
      <c r="F109" s="128"/>
      <c r="G109" s="128"/>
      <c r="H109" s="128"/>
      <c r="I109" s="128"/>
      <c r="J109" s="128"/>
      <c r="K109" s="128"/>
      <c r="L109" s="128"/>
      <c r="M109" s="128"/>
      <c r="O109" s="19"/>
      <c r="Q109" s="7"/>
      <c r="R109" s="7"/>
      <c r="S109" s="7"/>
      <c r="T109" s="7"/>
      <c r="U109" s="7"/>
      <c r="V109" s="7"/>
      <c r="W109" s="7"/>
      <c r="X109" s="7"/>
      <c r="Y109" s="7"/>
    </row>
    <row r="110" spans="2:25">
      <c r="B110" s="33" t="str">
        <f t="shared" si="14"/>
        <v>Wireless Fronthaul</v>
      </c>
      <c r="C110" s="128"/>
      <c r="D110" s="128">
        <f t="shared" si="15"/>
        <v>1.5098653547347816</v>
      </c>
      <c r="E110" s="128"/>
      <c r="F110" s="128"/>
      <c r="G110" s="128"/>
      <c r="H110" s="128"/>
      <c r="I110" s="128"/>
      <c r="J110" s="128"/>
      <c r="K110" s="128"/>
      <c r="L110" s="128"/>
      <c r="M110" s="128"/>
      <c r="O110" s="19"/>
      <c r="Q110" s="7"/>
      <c r="R110" s="7"/>
      <c r="S110" s="7"/>
      <c r="T110" s="7"/>
      <c r="U110" s="7"/>
      <c r="V110" s="7"/>
      <c r="W110" s="7"/>
      <c r="X110" s="7"/>
      <c r="Y110" s="7"/>
    </row>
    <row r="111" spans="2:25">
      <c r="B111" s="33" t="str">
        <f t="shared" si="14"/>
        <v>Wireless Backhaul</v>
      </c>
      <c r="C111" s="128"/>
      <c r="D111" s="128">
        <f t="shared" si="15"/>
        <v>0.75790960031577659</v>
      </c>
      <c r="E111" s="128"/>
      <c r="F111" s="128"/>
      <c r="G111" s="128"/>
      <c r="H111" s="128"/>
      <c r="I111" s="128"/>
      <c r="J111" s="128"/>
      <c r="K111" s="128"/>
      <c r="L111" s="128"/>
      <c r="M111" s="128"/>
      <c r="O111" s="19"/>
      <c r="Q111" s="7"/>
      <c r="R111" s="7"/>
      <c r="S111" s="7"/>
      <c r="T111" s="7"/>
      <c r="U111" s="7"/>
      <c r="V111" s="7"/>
      <c r="W111" s="7"/>
      <c r="X111" s="7"/>
      <c r="Y111" s="7"/>
    </row>
    <row r="112" spans="2:25">
      <c r="B112" s="33" t="str">
        <f t="shared" si="14"/>
        <v>FTTx</v>
      </c>
      <c r="C112" s="128"/>
      <c r="D112" s="128">
        <f t="shared" si="15"/>
        <v>-9.3569726203118431E-2</v>
      </c>
      <c r="E112" s="128"/>
      <c r="F112" s="128"/>
      <c r="G112" s="128"/>
      <c r="H112" s="128"/>
      <c r="I112" s="128"/>
      <c r="J112" s="128"/>
      <c r="K112" s="128"/>
      <c r="L112" s="128"/>
      <c r="M112" s="128"/>
      <c r="O112" s="19"/>
      <c r="Q112" s="7"/>
      <c r="R112" s="7"/>
      <c r="S112" s="7"/>
      <c r="T112" s="7"/>
      <c r="U112" s="7"/>
      <c r="V112" s="7"/>
      <c r="W112" s="7"/>
      <c r="X112" s="7"/>
      <c r="Y112" s="7"/>
    </row>
    <row r="113" spans="1:29">
      <c r="B113" s="35" t="s">
        <v>9</v>
      </c>
      <c r="C113" s="414"/>
      <c r="D113" s="414">
        <f t="shared" si="15"/>
        <v>1.6752013556708301E-2</v>
      </c>
      <c r="E113" s="413"/>
      <c r="F113" s="413"/>
      <c r="G113" s="413"/>
      <c r="H113" s="413"/>
      <c r="I113" s="413"/>
      <c r="J113" s="413"/>
      <c r="K113" s="413"/>
      <c r="L113" s="413"/>
      <c r="M113" s="413"/>
      <c r="O113" s="19"/>
      <c r="Q113" s="7"/>
      <c r="R113" s="7"/>
      <c r="S113" s="7"/>
      <c r="T113" s="7"/>
      <c r="U113" s="7"/>
      <c r="V113" s="7"/>
      <c r="W113" s="7"/>
      <c r="X113" s="7"/>
      <c r="Y113" s="7"/>
    </row>
    <row r="114" spans="1:29">
      <c r="B114" s="415"/>
      <c r="C114" s="416">
        <f>C97/C104</f>
        <v>0.38999487956188705</v>
      </c>
      <c r="D114" s="416">
        <f t="shared" ref="D114" si="16">D97/D104</f>
        <v>0.315396683133217</v>
      </c>
      <c r="E114" s="416"/>
      <c r="F114" s="416"/>
      <c r="G114" s="416"/>
      <c r="H114" s="416"/>
      <c r="I114" s="416"/>
      <c r="J114" s="416"/>
      <c r="K114" s="416"/>
      <c r="L114" s="416"/>
      <c r="M114" s="416"/>
    </row>
    <row r="115" spans="1:29">
      <c r="D115" s="63">
        <f>D101+D102</f>
        <v>1062.7678603235015</v>
      </c>
      <c r="J115" s="63"/>
      <c r="K115" s="63"/>
      <c r="L115" s="63"/>
      <c r="M115" s="63"/>
    </row>
    <row r="116" spans="1:29" s="586" customFormat="1" ht="22.8">
      <c r="A116" s="394" t="s">
        <v>90</v>
      </c>
      <c r="B116" s="72"/>
      <c r="C116" s="74"/>
      <c r="D116" s="74"/>
      <c r="E116" s="74"/>
      <c r="F116" s="74"/>
      <c r="G116" s="74"/>
      <c r="H116" s="75"/>
      <c r="I116" s="75"/>
      <c r="J116" s="75"/>
      <c r="K116" s="75"/>
      <c r="L116" s="75"/>
      <c r="M116" s="75"/>
      <c r="N116" s="73"/>
      <c r="O116" s="76"/>
      <c r="P116" s="40"/>
      <c r="Q116" s="95"/>
      <c r="R116" s="95"/>
      <c r="S116" s="95"/>
      <c r="T116" s="394" t="str">
        <f>A116</f>
        <v>CWDM/DWDM</v>
      </c>
      <c r="U116" s="95"/>
      <c r="V116" s="95"/>
      <c r="W116" s="95"/>
      <c r="X116" s="95"/>
      <c r="Y116" s="95"/>
      <c r="Z116" s="40"/>
      <c r="AA116" s="40"/>
      <c r="AB116"/>
      <c r="AC116"/>
    </row>
    <row r="117" spans="1:29" ht="22.8">
      <c r="A117" s="395"/>
      <c r="B117" s="16"/>
      <c r="C117" s="18"/>
      <c r="D117" s="18"/>
      <c r="E117" s="18"/>
      <c r="F117" s="18"/>
      <c r="G117" s="18"/>
      <c r="H117" s="499"/>
      <c r="I117" s="499"/>
      <c r="J117" s="499"/>
      <c r="K117" s="499"/>
      <c r="L117" s="499"/>
      <c r="M117" s="499"/>
      <c r="N117" s="54"/>
      <c r="O117" s="19"/>
      <c r="Q117" s="7"/>
      <c r="R117" s="7"/>
      <c r="S117" s="7"/>
      <c r="T117" s="7"/>
      <c r="U117" s="7"/>
      <c r="V117" s="7"/>
      <c r="W117" s="7"/>
      <c r="X117" s="7"/>
      <c r="Y117" s="7"/>
    </row>
    <row r="118" spans="1:29" ht="15.6">
      <c r="B118" s="77" t="s">
        <v>87</v>
      </c>
      <c r="C118" s="46"/>
      <c r="D118" s="46"/>
      <c r="E118" s="46"/>
      <c r="F118" s="46"/>
      <c r="G118" s="46"/>
      <c r="H118" s="39"/>
      <c r="I118" s="39"/>
      <c r="J118" s="39"/>
      <c r="K118" s="39"/>
      <c r="L118" s="39"/>
      <c r="M118" s="39"/>
      <c r="N118" s="77" t="s">
        <v>88</v>
      </c>
      <c r="O118" s="45"/>
      <c r="Q118" s="7"/>
      <c r="R118" s="7"/>
      <c r="S118" s="7"/>
      <c r="T118" s="7"/>
      <c r="U118" s="7"/>
      <c r="V118" s="7"/>
      <c r="W118" s="7"/>
      <c r="X118" s="7"/>
      <c r="Y118" s="7"/>
    </row>
    <row r="119" spans="1:29" ht="15.6">
      <c r="B119" s="94"/>
      <c r="C119" s="46"/>
      <c r="D119" s="46"/>
      <c r="E119" s="46"/>
      <c r="F119" s="46"/>
      <c r="G119" s="46"/>
      <c r="H119" s="39"/>
      <c r="I119" s="39"/>
      <c r="J119" s="39"/>
      <c r="K119" s="39"/>
      <c r="L119" s="39"/>
      <c r="M119" s="39"/>
      <c r="N119" s="77"/>
      <c r="O119" s="45"/>
      <c r="Q119" s="7"/>
      <c r="R119" s="7"/>
      <c r="S119" s="7"/>
      <c r="T119" s="7"/>
      <c r="U119" s="7"/>
      <c r="V119" s="7"/>
      <c r="W119" s="7"/>
      <c r="X119" s="7"/>
      <c r="Y119" s="7"/>
    </row>
    <row r="120" spans="1:29" ht="15.6">
      <c r="B120" s="50"/>
      <c r="C120" s="46"/>
      <c r="D120" s="46"/>
      <c r="E120" s="46"/>
      <c r="F120" s="46"/>
      <c r="G120" s="46"/>
      <c r="H120" s="39"/>
      <c r="I120" s="39"/>
      <c r="J120" s="39"/>
      <c r="K120" s="39"/>
      <c r="L120" s="39"/>
      <c r="M120" s="39"/>
      <c r="N120" s="50"/>
      <c r="O120" s="45"/>
      <c r="Q120" s="7"/>
      <c r="R120" s="7"/>
      <c r="S120" s="7"/>
      <c r="T120" s="7"/>
      <c r="U120" s="7"/>
      <c r="V120" s="7"/>
      <c r="W120" s="7"/>
      <c r="X120" s="7"/>
      <c r="Y120" s="7"/>
    </row>
    <row r="121" spans="1:29" ht="15.6">
      <c r="B121" s="50"/>
      <c r="C121" s="46"/>
      <c r="D121" s="46"/>
      <c r="E121" s="46"/>
      <c r="F121" s="46"/>
      <c r="G121" s="46"/>
      <c r="H121" s="39"/>
      <c r="I121" s="39"/>
      <c r="J121" s="39"/>
      <c r="K121" s="39"/>
      <c r="L121" s="39"/>
      <c r="M121" s="39"/>
      <c r="N121" s="50"/>
      <c r="O121" s="45"/>
      <c r="Q121" s="7"/>
      <c r="R121" s="7"/>
      <c r="S121" s="7"/>
      <c r="T121" s="7"/>
      <c r="U121" s="7"/>
      <c r="V121" s="7"/>
      <c r="W121" s="7"/>
      <c r="X121" s="7"/>
      <c r="Y121" s="7"/>
    </row>
    <row r="122" spans="1:29" ht="15.6">
      <c r="B122" s="50"/>
      <c r="C122" s="46"/>
      <c r="D122" s="46"/>
      <c r="E122" s="46"/>
      <c r="F122" s="46"/>
      <c r="G122" s="46"/>
      <c r="H122" s="39"/>
      <c r="I122" s="39"/>
      <c r="J122" s="39"/>
      <c r="K122" s="39"/>
      <c r="L122" s="39"/>
      <c r="M122" s="39"/>
      <c r="N122" s="50"/>
      <c r="O122" s="45"/>
      <c r="Q122" s="7"/>
      <c r="R122" s="7"/>
      <c r="S122" s="7"/>
      <c r="T122" s="7"/>
      <c r="U122" s="7"/>
      <c r="V122" s="7"/>
      <c r="W122" s="7"/>
      <c r="X122" s="7"/>
      <c r="Y122" s="7"/>
    </row>
    <row r="123" spans="1:29">
      <c r="B123" s="16"/>
      <c r="C123" s="31"/>
      <c r="D123" s="31"/>
      <c r="E123" s="31"/>
      <c r="F123" s="31"/>
      <c r="G123" s="31"/>
      <c r="H123" s="39"/>
      <c r="I123" s="39"/>
      <c r="J123" s="39"/>
      <c r="K123" s="39"/>
      <c r="L123" s="39"/>
      <c r="M123" s="39"/>
      <c r="N123" s="31"/>
      <c r="O123" s="45"/>
      <c r="Q123" s="7"/>
      <c r="R123" s="7"/>
      <c r="S123" s="7"/>
      <c r="T123" s="7"/>
      <c r="U123" s="7"/>
      <c r="V123" s="7"/>
      <c r="W123" s="7"/>
      <c r="X123" s="7"/>
      <c r="Y123" s="7"/>
    </row>
    <row r="124" spans="1:29">
      <c r="B124" s="16"/>
      <c r="C124" s="16"/>
      <c r="D124" s="16"/>
      <c r="E124" s="16"/>
      <c r="F124" s="16"/>
      <c r="G124" s="16"/>
      <c r="H124" s="53"/>
      <c r="I124" s="53"/>
      <c r="J124" s="53"/>
      <c r="K124" s="53"/>
      <c r="L124" s="53"/>
      <c r="M124" s="53"/>
      <c r="N124" s="53"/>
      <c r="O124" s="16"/>
      <c r="P124" s="16"/>
      <c r="Q124" s="138"/>
      <c r="R124" s="138"/>
      <c r="S124" s="138"/>
      <c r="T124" s="138"/>
      <c r="U124" s="138"/>
      <c r="V124" s="138"/>
      <c r="W124" s="138"/>
      <c r="X124" s="138"/>
      <c r="Y124" s="138"/>
    </row>
    <row r="125" spans="1:29">
      <c r="B125" s="16"/>
      <c r="C125" s="16"/>
      <c r="D125" s="16"/>
      <c r="E125" s="16"/>
      <c r="F125" s="16"/>
      <c r="G125" s="16"/>
      <c r="H125" s="53"/>
      <c r="I125" s="53"/>
      <c r="J125" s="53"/>
      <c r="K125" s="53"/>
      <c r="L125" s="53"/>
      <c r="M125" s="53"/>
      <c r="N125" s="53"/>
      <c r="O125" s="16"/>
      <c r="P125" s="16"/>
      <c r="Q125" s="138"/>
      <c r="R125" s="138"/>
      <c r="S125" s="138"/>
      <c r="T125" s="138"/>
      <c r="U125" s="138"/>
      <c r="V125" s="138"/>
      <c r="W125" s="138"/>
      <c r="X125" s="138"/>
      <c r="Y125" s="138"/>
    </row>
    <row r="126" spans="1:29">
      <c r="C126" s="16"/>
      <c r="D126" s="16"/>
      <c r="E126" s="16"/>
      <c r="F126" s="16"/>
      <c r="G126" s="16"/>
      <c r="H126" s="53"/>
      <c r="I126" s="53"/>
      <c r="J126" s="53"/>
      <c r="K126" s="53"/>
      <c r="L126" s="53"/>
      <c r="M126" s="53"/>
      <c r="N126" s="53"/>
      <c r="O126" s="16"/>
      <c r="P126" s="16"/>
      <c r="Q126" s="138"/>
      <c r="R126" s="138"/>
      <c r="S126" s="138"/>
      <c r="T126" s="138"/>
      <c r="U126" s="138"/>
      <c r="V126" s="138"/>
      <c r="W126" s="138"/>
      <c r="X126" s="138"/>
      <c r="Y126" s="138"/>
    </row>
    <row r="127" spans="1:29">
      <c r="B127" s="16"/>
      <c r="C127" s="16"/>
      <c r="D127" s="16"/>
      <c r="E127" s="16"/>
      <c r="F127" s="16"/>
      <c r="G127" s="16"/>
      <c r="H127" s="53"/>
      <c r="I127" s="53"/>
      <c r="J127" s="53"/>
      <c r="K127" s="53"/>
      <c r="L127" s="53"/>
      <c r="M127" s="53"/>
      <c r="N127" s="53"/>
      <c r="O127" s="16"/>
      <c r="P127" s="16"/>
      <c r="Q127" s="138"/>
      <c r="R127" s="138"/>
      <c r="S127" s="138"/>
      <c r="T127" s="138"/>
      <c r="U127" s="138"/>
      <c r="V127" s="138"/>
      <c r="W127" s="138"/>
      <c r="X127" s="138"/>
      <c r="Y127" s="138"/>
    </row>
    <row r="128" spans="1:29">
      <c r="B128" s="16"/>
      <c r="C128" s="16"/>
      <c r="D128" s="16"/>
      <c r="E128" s="16"/>
      <c r="F128" s="16"/>
      <c r="G128" s="16"/>
      <c r="H128" s="30"/>
      <c r="I128" s="30"/>
      <c r="J128" s="30"/>
      <c r="K128" s="30"/>
      <c r="L128" s="30"/>
      <c r="M128" s="30"/>
      <c r="N128" s="30"/>
      <c r="O128" s="16"/>
      <c r="P128" s="16"/>
      <c r="Q128" s="138"/>
      <c r="R128" s="138"/>
      <c r="S128" s="138"/>
      <c r="T128" s="138"/>
      <c r="U128" s="138"/>
      <c r="V128" s="138"/>
      <c r="W128" s="138"/>
      <c r="X128" s="138"/>
      <c r="Y128" s="138"/>
    </row>
    <row r="129" spans="2:26">
      <c r="B129" s="16"/>
      <c r="C129" s="16"/>
      <c r="D129" s="16"/>
      <c r="E129" s="16"/>
      <c r="F129" s="16"/>
      <c r="G129" s="16"/>
      <c r="H129" s="30"/>
      <c r="I129" s="30"/>
      <c r="J129" s="30"/>
      <c r="K129" s="30"/>
      <c r="L129" s="30"/>
      <c r="M129" s="30"/>
      <c r="N129" s="30"/>
      <c r="O129" s="16"/>
      <c r="P129" s="16"/>
      <c r="Q129" s="138"/>
      <c r="R129" s="138"/>
      <c r="S129" s="138"/>
      <c r="T129" s="138"/>
      <c r="U129" s="138"/>
      <c r="V129" s="138"/>
      <c r="W129" s="138"/>
      <c r="X129" s="138"/>
      <c r="Y129" s="138"/>
    </row>
    <row r="130" spans="2:26">
      <c r="B130" s="16"/>
      <c r="C130" s="16"/>
      <c r="D130" s="16"/>
      <c r="E130" s="16"/>
      <c r="F130" s="16"/>
      <c r="G130" s="16"/>
      <c r="H130" s="30"/>
      <c r="I130" s="30"/>
      <c r="J130" s="30"/>
      <c r="K130" s="30"/>
      <c r="L130" s="30"/>
      <c r="M130" s="30"/>
      <c r="N130" s="30"/>
      <c r="O130" s="16"/>
      <c r="P130" s="16"/>
      <c r="Q130" s="138"/>
      <c r="R130" s="138"/>
      <c r="S130" s="138"/>
      <c r="T130" s="138"/>
      <c r="U130" s="138"/>
      <c r="V130" s="138"/>
      <c r="W130" s="138"/>
      <c r="X130" s="138"/>
      <c r="Y130" s="138"/>
    </row>
    <row r="131" spans="2:26">
      <c r="B131" s="16"/>
      <c r="C131" s="16"/>
      <c r="D131" s="16"/>
      <c r="E131" s="16"/>
      <c r="F131" s="16"/>
      <c r="G131" s="16"/>
      <c r="H131" s="30"/>
      <c r="I131" s="30"/>
      <c r="J131" s="30"/>
      <c r="K131" s="30"/>
      <c r="L131" s="30"/>
      <c r="M131" s="30"/>
      <c r="N131" s="30"/>
      <c r="O131" s="16"/>
      <c r="P131" s="16"/>
      <c r="Q131" s="138"/>
      <c r="R131" s="138"/>
      <c r="S131" s="138"/>
      <c r="T131" s="138"/>
      <c r="U131" s="138"/>
      <c r="V131" s="138"/>
      <c r="W131" s="138"/>
      <c r="X131" s="138"/>
      <c r="Y131" s="138"/>
    </row>
    <row r="132" spans="2:26">
      <c r="B132" s="16"/>
      <c r="C132" s="16"/>
      <c r="D132" s="16"/>
      <c r="E132" s="16"/>
      <c r="F132" s="16"/>
      <c r="G132" s="16"/>
      <c r="H132" s="30"/>
      <c r="I132" s="30"/>
      <c r="J132" s="30"/>
      <c r="K132" s="30"/>
      <c r="L132" s="30"/>
      <c r="M132" s="30"/>
      <c r="N132" s="30"/>
      <c r="O132" s="16"/>
      <c r="P132" s="16"/>
      <c r="Q132" s="138"/>
      <c r="R132" s="138"/>
      <c r="S132" s="138"/>
      <c r="T132" s="138"/>
      <c r="U132" s="138"/>
      <c r="V132" s="138"/>
      <c r="W132" s="138"/>
      <c r="X132" s="138"/>
      <c r="Y132" s="138"/>
    </row>
    <row r="133" spans="2:26">
      <c r="B133" s="16"/>
      <c r="C133" s="16"/>
      <c r="D133" s="16"/>
      <c r="E133" s="16"/>
      <c r="F133" s="16"/>
      <c r="G133" s="16"/>
      <c r="H133" s="30"/>
      <c r="I133" s="30"/>
      <c r="J133" s="30"/>
      <c r="K133" s="30"/>
      <c r="L133" s="30"/>
      <c r="M133" s="30"/>
      <c r="N133" s="30"/>
      <c r="O133" s="16"/>
      <c r="P133" s="16"/>
      <c r="Q133" s="138"/>
      <c r="R133" s="138"/>
      <c r="S133" s="138"/>
      <c r="T133" s="138"/>
      <c r="U133" s="138"/>
      <c r="V133" s="138"/>
      <c r="W133" s="138"/>
      <c r="X133" s="138"/>
      <c r="Y133" s="138"/>
    </row>
    <row r="134" spans="2:26">
      <c r="B134" s="16"/>
      <c r="C134" s="16"/>
      <c r="D134" s="16"/>
      <c r="E134" s="16"/>
      <c r="F134" s="16"/>
      <c r="G134" s="16"/>
      <c r="H134" s="30"/>
      <c r="I134" s="30"/>
      <c r="J134" s="30"/>
      <c r="K134" s="30"/>
      <c r="L134" s="30"/>
      <c r="M134" s="30"/>
      <c r="N134" s="30"/>
      <c r="O134" s="16"/>
      <c r="P134" s="16"/>
      <c r="Q134" s="138"/>
      <c r="R134" s="138"/>
      <c r="S134" s="138"/>
      <c r="T134" s="138"/>
      <c r="U134" s="138"/>
      <c r="V134" s="138"/>
      <c r="W134" s="138"/>
      <c r="X134" s="138"/>
      <c r="Y134" s="138"/>
    </row>
    <row r="135" spans="2:26">
      <c r="B135" s="16"/>
      <c r="C135" s="16"/>
      <c r="D135" s="16"/>
      <c r="E135" s="16"/>
      <c r="F135" s="16"/>
      <c r="G135" s="16"/>
      <c r="H135" s="30"/>
      <c r="I135" s="30"/>
      <c r="J135" s="30"/>
      <c r="K135" s="30"/>
      <c r="L135" s="30"/>
      <c r="M135" s="30"/>
      <c r="N135" s="30"/>
      <c r="O135" s="16"/>
      <c r="P135" s="16"/>
      <c r="Q135" s="138"/>
      <c r="R135" s="138"/>
      <c r="S135" s="138"/>
      <c r="T135" s="138"/>
      <c r="U135" s="138"/>
      <c r="V135" s="138"/>
      <c r="W135" s="138"/>
      <c r="X135" s="138"/>
      <c r="Y135" s="138"/>
    </row>
    <row r="136" spans="2:26">
      <c r="B136" s="16"/>
      <c r="C136" s="16"/>
      <c r="D136" s="16"/>
      <c r="E136" s="16"/>
      <c r="F136" s="16"/>
      <c r="G136" s="16"/>
      <c r="H136" s="30"/>
      <c r="I136" s="30"/>
      <c r="J136" s="30"/>
      <c r="K136" s="30"/>
      <c r="L136" s="30"/>
      <c r="M136" s="30"/>
      <c r="N136" s="30"/>
      <c r="O136" s="16"/>
      <c r="P136" s="16"/>
      <c r="Q136" s="138"/>
      <c r="R136" s="138"/>
      <c r="S136" s="138"/>
      <c r="T136" s="138"/>
      <c r="U136" s="138"/>
      <c r="V136" s="138"/>
      <c r="W136" s="138"/>
      <c r="X136" s="138"/>
      <c r="Y136" s="138"/>
    </row>
    <row r="137" spans="2:26">
      <c r="B137" s="16"/>
      <c r="C137" s="16"/>
      <c r="D137" s="16"/>
      <c r="E137" s="16"/>
      <c r="F137" s="16"/>
      <c r="G137" s="16"/>
      <c r="H137" s="30"/>
      <c r="I137" s="30"/>
      <c r="J137" s="30"/>
      <c r="K137" s="30"/>
      <c r="L137" s="30"/>
      <c r="M137" s="30"/>
      <c r="N137" s="30"/>
      <c r="O137" s="16"/>
      <c r="P137" s="16"/>
      <c r="Q137" s="138"/>
      <c r="R137" s="138"/>
      <c r="S137" s="138"/>
      <c r="T137" s="138"/>
      <c r="U137" s="138"/>
      <c r="V137" s="138"/>
      <c r="W137" s="138"/>
      <c r="X137" s="138"/>
      <c r="Y137" s="138"/>
    </row>
    <row r="138" spans="2:26" ht="15.6">
      <c r="B138" s="78" t="s">
        <v>159</v>
      </c>
      <c r="C138" s="133"/>
      <c r="D138" s="133"/>
      <c r="E138" s="133"/>
      <c r="F138" s="133"/>
      <c r="G138" s="133"/>
      <c r="H138" s="16"/>
      <c r="I138" s="16"/>
      <c r="J138" s="16"/>
      <c r="K138" s="16"/>
      <c r="L138" s="16"/>
      <c r="M138" s="16"/>
      <c r="N138" s="78" t="s">
        <v>173</v>
      </c>
      <c r="O138" s="133"/>
      <c r="P138" s="133"/>
      <c r="Q138" s="133"/>
      <c r="R138" s="133"/>
      <c r="S138" s="133"/>
      <c r="T138" s="133"/>
      <c r="U138" s="133"/>
      <c r="V138" s="133"/>
      <c r="W138" s="133"/>
      <c r="X138" s="133"/>
      <c r="Y138" s="133"/>
      <c r="Z138" s="118" t="s">
        <v>2</v>
      </c>
    </row>
    <row r="139" spans="2:26">
      <c r="B139" s="158" t="s">
        <v>18</v>
      </c>
      <c r="C139" s="103">
        <v>2018</v>
      </c>
      <c r="D139" s="103">
        <v>2019</v>
      </c>
      <c r="E139" s="103">
        <v>2020</v>
      </c>
      <c r="F139" s="103">
        <v>2021</v>
      </c>
      <c r="G139" s="103">
        <v>2022</v>
      </c>
      <c r="H139" s="103">
        <v>2023</v>
      </c>
      <c r="I139" s="103">
        <v>2024</v>
      </c>
      <c r="J139" s="103">
        <v>2025</v>
      </c>
      <c r="K139" s="103">
        <v>2026</v>
      </c>
      <c r="L139" s="103">
        <v>2027</v>
      </c>
      <c r="M139" s="103">
        <v>2028</v>
      </c>
      <c r="N139" s="158" t="s">
        <v>18</v>
      </c>
      <c r="O139" s="117">
        <v>2018</v>
      </c>
      <c r="P139" s="117">
        <v>2019</v>
      </c>
      <c r="Q139" s="117">
        <v>2020</v>
      </c>
      <c r="R139" s="117">
        <v>2021</v>
      </c>
      <c r="S139" s="117">
        <v>2022</v>
      </c>
      <c r="T139" s="117">
        <v>2023</v>
      </c>
      <c r="U139" s="117">
        <v>2024</v>
      </c>
      <c r="V139" s="117">
        <v>2025</v>
      </c>
      <c r="W139" s="117">
        <v>2026</v>
      </c>
      <c r="X139" s="117">
        <v>2027</v>
      </c>
      <c r="Y139" s="117">
        <v>2028</v>
      </c>
      <c r="Z139" s="103" t="str">
        <f>N26</f>
        <v>2022-2028</v>
      </c>
    </row>
    <row r="140" spans="2:26">
      <c r="B140" s="35" t="s">
        <v>115</v>
      </c>
      <c r="C140" s="115">
        <f>SUM('CWDM and DWDM'!F8:F8)</f>
        <v>326257</v>
      </c>
      <c r="D140" s="115">
        <f>SUM('CWDM and DWDM'!G8:G8)</f>
        <v>376930.99999999994</v>
      </c>
      <c r="E140" s="115">
        <f>SUM('CWDM and DWDM'!H8:H8)</f>
        <v>0</v>
      </c>
      <c r="F140" s="115">
        <f>SUM('CWDM and DWDM'!I8:I8)</f>
        <v>0</v>
      </c>
      <c r="G140" s="115">
        <f>SUM('CWDM and DWDM'!J8:J8)</f>
        <v>0</v>
      </c>
      <c r="H140" s="115">
        <f>SUM('CWDM and DWDM'!K8:K8)</f>
        <v>0</v>
      </c>
      <c r="I140" s="115">
        <f>SUM('CWDM and DWDM'!L8:L8)</f>
        <v>0</v>
      </c>
      <c r="J140" s="115">
        <f>SUM('CWDM and DWDM'!M8:M8)</f>
        <v>0</v>
      </c>
      <c r="K140" s="115">
        <f>SUM('CWDM and DWDM'!N8:N8)</f>
        <v>0</v>
      </c>
      <c r="L140" s="115">
        <f>SUM('CWDM and DWDM'!O8:O8)</f>
        <v>0</v>
      </c>
      <c r="M140" s="115">
        <f>SUM('CWDM and DWDM'!P8:P8)</f>
        <v>0</v>
      </c>
      <c r="N140" s="35" t="str">
        <f t="shared" ref="N140:N146" si="17">B140</f>
        <v>CWDM - up to 10 Gbps</v>
      </c>
      <c r="O140" s="161">
        <f>SUM('CWDM and DWDM'!F57:F57)</f>
        <v>63.511533999999997</v>
      </c>
      <c r="P140" s="161">
        <f>SUM('CWDM and DWDM'!G57:G57)</f>
        <v>74.507442432857147</v>
      </c>
      <c r="Q140" s="161">
        <f>SUM('CWDM and DWDM'!H57:H57)</f>
        <v>0</v>
      </c>
      <c r="R140" s="161">
        <f>SUM('CWDM and DWDM'!I57:I57)</f>
        <v>0</v>
      </c>
      <c r="S140" s="161">
        <f>SUM('CWDM and DWDM'!J57:J57)</f>
        <v>0</v>
      </c>
      <c r="T140" s="161">
        <f>SUM('CWDM and DWDM'!K57:K57)</f>
        <v>0</v>
      </c>
      <c r="U140" s="161">
        <f>SUM('CWDM and DWDM'!L57:L57)</f>
        <v>0</v>
      </c>
      <c r="V140" s="161">
        <f>SUM('CWDM and DWDM'!M57:M57)</f>
        <v>0</v>
      </c>
      <c r="W140" s="161">
        <f>SUM('CWDM and DWDM'!N57:N57)</f>
        <v>0</v>
      </c>
      <c r="X140" s="161">
        <f>SUM('CWDM and DWDM'!O57:O57)</f>
        <v>0</v>
      </c>
      <c r="Y140" s="161">
        <f>SUM('CWDM and DWDM'!P57:P57)</f>
        <v>0</v>
      </c>
      <c r="Z140" s="139" t="e">
        <f t="shared" ref="Z140:Z145" si="18">(Y140/S140)^(1/6)-1</f>
        <v>#DIV/0!</v>
      </c>
    </row>
    <row r="141" spans="2:26">
      <c r="B141" s="33" t="s">
        <v>383</v>
      </c>
      <c r="C141" s="36">
        <f>SUM('CWDM and DWDM'!F9:F11)</f>
        <v>458440</v>
      </c>
      <c r="D141" s="36">
        <f>SUM('CWDM and DWDM'!G9:G11)</f>
        <v>562844</v>
      </c>
      <c r="E141" s="36">
        <f>SUM('CWDM and DWDM'!H9:H11)</f>
        <v>0</v>
      </c>
      <c r="F141" s="36">
        <f>SUM('CWDM and DWDM'!I9:I11)</f>
        <v>0</v>
      </c>
      <c r="G141" s="36">
        <f>SUM('CWDM and DWDM'!J9:J11)</f>
        <v>0</v>
      </c>
      <c r="H141" s="36">
        <f>SUM('CWDM and DWDM'!K9:K11)</f>
        <v>0</v>
      </c>
      <c r="I141" s="36">
        <f>SUM('CWDM and DWDM'!L9:L11)</f>
        <v>0</v>
      </c>
      <c r="J141" s="36">
        <f>SUM('CWDM and DWDM'!M9:M11)</f>
        <v>0</v>
      </c>
      <c r="K141" s="36">
        <f>SUM('CWDM and DWDM'!N9:N11)</f>
        <v>0</v>
      </c>
      <c r="L141" s="36">
        <f>SUM('CWDM and DWDM'!O9:O11)</f>
        <v>0</v>
      </c>
      <c r="M141" s="36">
        <f>SUM('CWDM and DWDM'!P9:P11)</f>
        <v>0</v>
      </c>
      <c r="N141" s="33" t="str">
        <f t="shared" si="17"/>
        <v>DWDM - up to 10 Gbps</v>
      </c>
      <c r="O141" s="24">
        <f>SUM('CWDM and DWDM'!F58:F60)</f>
        <v>209.93302399999999</v>
      </c>
      <c r="P141" s="24">
        <f>SUM('CWDM and DWDM'!G58:G60)</f>
        <v>213.26121989103322</v>
      </c>
      <c r="Q141" s="24">
        <f>SUM('CWDM and DWDM'!H58:H60)</f>
        <v>0</v>
      </c>
      <c r="R141" s="24">
        <f>SUM('CWDM and DWDM'!I58:I60)</f>
        <v>0</v>
      </c>
      <c r="S141" s="24">
        <f>SUM('CWDM and DWDM'!J58:J60)</f>
        <v>0</v>
      </c>
      <c r="T141" s="24">
        <f>SUM('CWDM and DWDM'!K58:K60)</f>
        <v>0</v>
      </c>
      <c r="U141" s="24">
        <f>SUM('CWDM and DWDM'!L58:L60)</f>
        <v>0</v>
      </c>
      <c r="V141" s="24">
        <f>SUM('CWDM and DWDM'!M58:M60)</f>
        <v>0</v>
      </c>
      <c r="W141" s="24">
        <f>SUM('CWDM and DWDM'!N58:N60)</f>
        <v>0</v>
      </c>
      <c r="X141" s="24">
        <f>SUM('CWDM and DWDM'!O58:O60)</f>
        <v>0</v>
      </c>
      <c r="Y141" s="24">
        <f>SUM('CWDM and DWDM'!P58:P60)</f>
        <v>0</v>
      </c>
      <c r="Z141" s="140" t="e">
        <f t="shared" si="18"/>
        <v>#DIV/0!</v>
      </c>
    </row>
    <row r="142" spans="2:26">
      <c r="B142" s="33" t="s">
        <v>256</v>
      </c>
      <c r="C142" s="23">
        <f>SUM('CWDM and DWDM'!F12:F16)</f>
        <v>357000</v>
      </c>
      <c r="D142" s="23">
        <f>SUM('CWDM and DWDM'!G12:G16)</f>
        <v>345000.00000000006</v>
      </c>
      <c r="E142" s="23">
        <f>SUM('CWDM and DWDM'!H12:H16)</f>
        <v>0</v>
      </c>
      <c r="F142" s="23">
        <f>SUM('CWDM and DWDM'!I12:I16)</f>
        <v>0</v>
      </c>
      <c r="G142" s="23">
        <f>SUM('CWDM and DWDM'!J12:J16)</f>
        <v>0</v>
      </c>
      <c r="H142" s="23">
        <f>SUM('CWDM and DWDM'!K12:K16)</f>
        <v>0</v>
      </c>
      <c r="I142" s="23">
        <f>SUM('CWDM and DWDM'!L12:L16)</f>
        <v>0</v>
      </c>
      <c r="J142" s="23">
        <f>SUM('CWDM and DWDM'!M12:M16)</f>
        <v>0</v>
      </c>
      <c r="K142" s="23">
        <f>SUM('CWDM and DWDM'!N12:N16)</f>
        <v>0</v>
      </c>
      <c r="L142" s="23">
        <f>SUM('CWDM and DWDM'!O12:O16)</f>
        <v>0</v>
      </c>
      <c r="M142" s="23">
        <f>SUM('CWDM and DWDM'!P12:P16)</f>
        <v>0</v>
      </c>
      <c r="N142" s="33" t="str">
        <f t="shared" si="17"/>
        <v>100G</v>
      </c>
      <c r="O142" s="24">
        <f>SUM('CWDM and DWDM'!F61:F65)</f>
        <v>2559.9320099999995</v>
      </c>
      <c r="P142" s="24">
        <f>SUM('CWDM and DWDM'!G61:G65)</f>
        <v>1881.344966666667</v>
      </c>
      <c r="Q142" s="24">
        <f>SUM('CWDM and DWDM'!H61:H65)</f>
        <v>0</v>
      </c>
      <c r="R142" s="24">
        <f>SUM('CWDM and DWDM'!I61:I65)</f>
        <v>0</v>
      </c>
      <c r="S142" s="24">
        <f>SUM('CWDM and DWDM'!J61:J65)</f>
        <v>0</v>
      </c>
      <c r="T142" s="24">
        <f>SUM('CWDM and DWDM'!K61:K65)</f>
        <v>0</v>
      </c>
      <c r="U142" s="24">
        <f>SUM('CWDM and DWDM'!L61:L65)</f>
        <v>0</v>
      </c>
      <c r="V142" s="24">
        <f>SUM('CWDM and DWDM'!M61:M65)</f>
        <v>0</v>
      </c>
      <c r="W142" s="24">
        <f>SUM('CWDM and DWDM'!N61:N65)</f>
        <v>0</v>
      </c>
      <c r="X142" s="24">
        <f>SUM('CWDM and DWDM'!O61:O65)</f>
        <v>0</v>
      </c>
      <c r="Y142" s="24">
        <f>SUM('CWDM and DWDM'!P61:P65)</f>
        <v>0</v>
      </c>
      <c r="Z142" s="140" t="e">
        <f t="shared" si="18"/>
        <v>#DIV/0!</v>
      </c>
    </row>
    <row r="143" spans="2:26">
      <c r="B143" s="33" t="s">
        <v>419</v>
      </c>
      <c r="C143" s="422">
        <f>SUM('CWDM and DWDM'!F17:F19)</f>
        <v>122000</v>
      </c>
      <c r="D143" s="422">
        <f>SUM('CWDM and DWDM'!G17:G19)</f>
        <v>217000</v>
      </c>
      <c r="E143" s="422">
        <f>SUM('CWDM and DWDM'!H17:H19)</f>
        <v>0</v>
      </c>
      <c r="F143" s="422">
        <f>SUM('CWDM and DWDM'!I17:I19)</f>
        <v>0</v>
      </c>
      <c r="G143" s="422">
        <f>SUM('CWDM and DWDM'!J17:J19)</f>
        <v>0</v>
      </c>
      <c r="H143" s="422">
        <f>SUM('CWDM and DWDM'!K17:K19)</f>
        <v>0</v>
      </c>
      <c r="I143" s="422">
        <f>SUM('CWDM and DWDM'!L17:L19)</f>
        <v>0</v>
      </c>
      <c r="J143" s="422">
        <f>SUM('CWDM and DWDM'!M17:M19)</f>
        <v>0</v>
      </c>
      <c r="K143" s="422">
        <f>SUM('CWDM and DWDM'!N17:N19)</f>
        <v>0</v>
      </c>
      <c r="L143" s="422">
        <f>SUM('CWDM and DWDM'!O17:O19)</f>
        <v>0</v>
      </c>
      <c r="M143" s="422">
        <f>SUM('CWDM and DWDM'!P17:P19)</f>
        <v>0</v>
      </c>
      <c r="N143" s="22" t="str">
        <f t="shared" si="17"/>
        <v xml:space="preserve">200G </v>
      </c>
      <c r="O143" s="245">
        <f>SUM('CWDM and DWDM'!F66:F68)</f>
        <v>923.95152727272739</v>
      </c>
      <c r="P143" s="245">
        <f>SUM('CWDM and DWDM'!G66:G68)</f>
        <v>1231.1956727272725</v>
      </c>
      <c r="Q143" s="245">
        <f>SUM('CWDM and DWDM'!H66:H68)</f>
        <v>0</v>
      </c>
      <c r="R143" s="245">
        <f>SUM('CWDM and DWDM'!I66:I68)</f>
        <v>0</v>
      </c>
      <c r="S143" s="245">
        <f>SUM('CWDM and DWDM'!J66:J68)</f>
        <v>0</v>
      </c>
      <c r="T143" s="245">
        <f>SUM('CWDM and DWDM'!K66:K68)</f>
        <v>0</v>
      </c>
      <c r="U143" s="245">
        <f>SUM('CWDM and DWDM'!L66:L68)</f>
        <v>0</v>
      </c>
      <c r="V143" s="245">
        <f>SUM('CWDM and DWDM'!M66:M68)</f>
        <v>0</v>
      </c>
      <c r="W143" s="245">
        <f>SUM('CWDM and DWDM'!N66:N68)</f>
        <v>0</v>
      </c>
      <c r="X143" s="245">
        <f>SUM('CWDM and DWDM'!O66:O68)</f>
        <v>0</v>
      </c>
      <c r="Y143" s="245">
        <f>SUM('CWDM and DWDM'!P66:P68)</f>
        <v>0</v>
      </c>
      <c r="Z143" s="140" t="e">
        <f t="shared" si="18"/>
        <v>#DIV/0!</v>
      </c>
    </row>
    <row r="144" spans="2:26">
      <c r="B144" s="33" t="s">
        <v>420</v>
      </c>
      <c r="C144" s="422">
        <f>SUM('CWDM and DWDM'!F20:F23)</f>
        <v>17500</v>
      </c>
      <c r="D144" s="422">
        <f>SUM('CWDM and DWDM'!G20:G23)</f>
        <v>39000</v>
      </c>
      <c r="E144" s="422">
        <f>SUM('CWDM and DWDM'!H20:H23)</f>
        <v>0</v>
      </c>
      <c r="F144" s="422">
        <f>SUM('CWDM and DWDM'!I20:I23)</f>
        <v>0</v>
      </c>
      <c r="G144" s="422">
        <f>SUM('CWDM and DWDM'!J20:J23)</f>
        <v>0</v>
      </c>
      <c r="H144" s="422">
        <f>SUM('CWDM and DWDM'!K20:K23)</f>
        <v>0</v>
      </c>
      <c r="I144" s="422">
        <f>SUM('CWDM and DWDM'!L20:L23)</f>
        <v>0</v>
      </c>
      <c r="J144" s="422">
        <f>SUM('CWDM and DWDM'!M20:M23)</f>
        <v>0</v>
      </c>
      <c r="K144" s="422">
        <f>SUM('CWDM and DWDM'!N20:N23)</f>
        <v>0</v>
      </c>
      <c r="L144" s="422">
        <f>SUM('CWDM and DWDM'!O20:O23)</f>
        <v>0</v>
      </c>
      <c r="M144" s="422">
        <f>SUM('CWDM and DWDM'!P20:P23)</f>
        <v>0</v>
      </c>
      <c r="N144" s="22" t="str">
        <f t="shared" si="17"/>
        <v>400G ZR, ZR+</v>
      </c>
      <c r="O144" s="245">
        <f>SUM('CWDM and DWDM'!F69:F72)</f>
        <v>0</v>
      </c>
      <c r="P144" s="245">
        <f>SUM('CWDM and DWDM'!G69:G72)</f>
        <v>339.76545454545453</v>
      </c>
      <c r="Q144" s="245">
        <f>SUM('CWDM and DWDM'!H69:H72)</f>
        <v>0</v>
      </c>
      <c r="R144" s="245">
        <f>SUM('CWDM and DWDM'!I69:I72)</f>
        <v>0</v>
      </c>
      <c r="S144" s="245">
        <f>SUM('CWDM and DWDM'!J69:J72)</f>
        <v>0</v>
      </c>
      <c r="T144" s="245">
        <f>SUM('CWDM and DWDM'!K69:K72)</f>
        <v>0</v>
      </c>
      <c r="U144" s="245">
        <f>SUM('CWDM and DWDM'!L69:L72)</f>
        <v>0</v>
      </c>
      <c r="V144" s="245">
        <f>SUM('CWDM and DWDM'!M69:M72)</f>
        <v>0</v>
      </c>
      <c r="W144" s="245">
        <f>SUM('CWDM and DWDM'!N69:N72)</f>
        <v>0</v>
      </c>
      <c r="X144" s="245">
        <f>SUM('CWDM and DWDM'!O69:O72)</f>
        <v>0</v>
      </c>
      <c r="Y144" s="245">
        <f>SUM('CWDM and DWDM'!P69:P72)</f>
        <v>0</v>
      </c>
      <c r="Z144" s="140" t="e">
        <f t="shared" si="18"/>
        <v>#DIV/0!</v>
      </c>
    </row>
    <row r="145" spans="2:27">
      <c r="B145" s="33" t="s">
        <v>476</v>
      </c>
      <c r="C145" s="422">
        <f>SUM('CWDM and DWDM'!F24:F26)</f>
        <v>0</v>
      </c>
      <c r="D145" s="422">
        <f>SUM('CWDM and DWDM'!G24:G26)</f>
        <v>82</v>
      </c>
      <c r="E145" s="422">
        <f>SUM('CWDM and DWDM'!H24:H26)</f>
        <v>0</v>
      </c>
      <c r="F145" s="422">
        <f>SUM('CWDM and DWDM'!I24:I26)</f>
        <v>0</v>
      </c>
      <c r="G145" s="422">
        <f>SUM('CWDM and DWDM'!J24:J26)</f>
        <v>0</v>
      </c>
      <c r="H145" s="422">
        <f>SUM('CWDM and DWDM'!K24:K26)</f>
        <v>0</v>
      </c>
      <c r="I145" s="422">
        <f>SUM('CWDM and DWDM'!L24:L26)</f>
        <v>0</v>
      </c>
      <c r="J145" s="422">
        <f>SUM('CWDM and DWDM'!M24:M26)</f>
        <v>0</v>
      </c>
      <c r="K145" s="422">
        <f>SUM('CWDM and DWDM'!N24:N26)</f>
        <v>0</v>
      </c>
      <c r="L145" s="422">
        <f>SUM('CWDM and DWDM'!O24:O26)</f>
        <v>0</v>
      </c>
      <c r="M145" s="422">
        <f>SUM('CWDM and DWDM'!P24:P26)</f>
        <v>0</v>
      </c>
      <c r="N145" s="22" t="str">
        <f t="shared" si="17"/>
        <v>600G, 800G</v>
      </c>
      <c r="O145" s="245">
        <f>SUM('CWDM and DWDM'!F73:F75)</f>
        <v>0</v>
      </c>
      <c r="P145" s="245">
        <f>SUM('CWDM and DWDM'!G73:G75)</f>
        <v>0.82</v>
      </c>
      <c r="Q145" s="245">
        <f>SUM('CWDM and DWDM'!H73:H75)</f>
        <v>0</v>
      </c>
      <c r="R145" s="245">
        <f>SUM('CWDM and DWDM'!I73:I75)</f>
        <v>0</v>
      </c>
      <c r="S145" s="245">
        <f>SUM('CWDM and DWDM'!J73:J75)</f>
        <v>0</v>
      </c>
      <c r="T145" s="245">
        <f>SUM('CWDM and DWDM'!K73:K75)</f>
        <v>0</v>
      </c>
      <c r="U145" s="245">
        <f>SUM('CWDM and DWDM'!L73:L75)</f>
        <v>0</v>
      </c>
      <c r="V145" s="245">
        <f>SUM('CWDM and DWDM'!M73:M75)</f>
        <v>0</v>
      </c>
      <c r="W145" s="245">
        <f>SUM('CWDM and DWDM'!N73:N75)</f>
        <v>0</v>
      </c>
      <c r="X145" s="245">
        <f>SUM('CWDM and DWDM'!O73:O75)</f>
        <v>0</v>
      </c>
      <c r="Y145" s="245">
        <f>SUM('CWDM and DWDM'!P73:P75)</f>
        <v>0</v>
      </c>
      <c r="Z145" s="140" t="e">
        <f t="shared" si="18"/>
        <v>#DIV/0!</v>
      </c>
    </row>
    <row r="146" spans="2:27">
      <c r="B146" s="33" t="s">
        <v>477</v>
      </c>
      <c r="C146" s="256">
        <f>SUM('CWDM and DWDM'!F27:F28)</f>
        <v>0</v>
      </c>
      <c r="D146" s="256">
        <f>SUM('CWDM and DWDM'!G27:G28)</f>
        <v>0</v>
      </c>
      <c r="E146" s="256">
        <f>SUM('CWDM and DWDM'!H27:H28)</f>
        <v>0</v>
      </c>
      <c r="F146" s="256">
        <f>SUM('CWDM and DWDM'!I27:I28)</f>
        <v>0</v>
      </c>
      <c r="G146" s="256">
        <f>SUM('CWDM and DWDM'!J27:J28)</f>
        <v>0</v>
      </c>
      <c r="H146" s="256">
        <f>SUM('CWDM and DWDM'!K27:K28)</f>
        <v>0</v>
      </c>
      <c r="I146" s="256">
        <f>SUM('CWDM and DWDM'!L27:L28)</f>
        <v>0</v>
      </c>
      <c r="J146" s="256">
        <f>SUM('CWDM and DWDM'!M27:M28)</f>
        <v>0</v>
      </c>
      <c r="K146" s="256">
        <f>SUM('CWDM and DWDM'!N27:N28)</f>
        <v>0</v>
      </c>
      <c r="L146" s="256">
        <f>SUM('CWDM and DWDM'!O27:O28)</f>
        <v>0</v>
      </c>
      <c r="M146" s="256">
        <f>SUM('CWDM and DWDM'!P27:P28)</f>
        <v>0</v>
      </c>
      <c r="N146" s="25" t="str">
        <f t="shared" si="17"/>
        <v>1.2T, 1.6T</v>
      </c>
      <c r="O146" s="245">
        <f>SUM('CWDM and DWDM'!F76:F77)</f>
        <v>0</v>
      </c>
      <c r="P146" s="245">
        <f>SUM('CWDM and DWDM'!G76:G77)</f>
        <v>0</v>
      </c>
      <c r="Q146" s="245">
        <f>SUM('CWDM and DWDM'!H76:H77)</f>
        <v>0</v>
      </c>
      <c r="R146" s="245">
        <f>SUM('CWDM and DWDM'!I76:I77)</f>
        <v>0</v>
      </c>
      <c r="S146" s="245">
        <f>SUM('CWDM and DWDM'!J76:J77)</f>
        <v>0</v>
      </c>
      <c r="T146" s="245">
        <f>SUM('CWDM and DWDM'!K76:K77)</f>
        <v>0</v>
      </c>
      <c r="U146" s="245">
        <f>SUM('CWDM and DWDM'!L76:L77)</f>
        <v>0</v>
      </c>
      <c r="V146" s="245">
        <f>SUM('CWDM and DWDM'!M76:M77)</f>
        <v>0</v>
      </c>
      <c r="W146" s="245">
        <f>SUM('CWDM and DWDM'!N76:N77)</f>
        <v>0</v>
      </c>
      <c r="X146" s="245">
        <f>SUM('CWDM and DWDM'!O76:O77)</f>
        <v>0</v>
      </c>
      <c r="Y146" s="245">
        <f>SUM('CWDM and DWDM'!P76:P77)</f>
        <v>0</v>
      </c>
      <c r="Z146" s="140"/>
    </row>
    <row r="147" spans="2:27">
      <c r="B147" s="162" t="s">
        <v>9</v>
      </c>
      <c r="C147" s="112">
        <f>SUM(C140:C146)</f>
        <v>1281197</v>
      </c>
      <c r="D147" s="112">
        <f t="shared" ref="D147:M147" si="19">SUM(D140:D146)</f>
        <v>1540857</v>
      </c>
      <c r="E147" s="112">
        <f t="shared" si="19"/>
        <v>0</v>
      </c>
      <c r="F147" s="112">
        <f t="shared" si="19"/>
        <v>0</v>
      </c>
      <c r="G147" s="112">
        <f t="shared" si="19"/>
        <v>0</v>
      </c>
      <c r="H147" s="112">
        <f t="shared" si="19"/>
        <v>0</v>
      </c>
      <c r="I147" s="112">
        <f t="shared" si="19"/>
        <v>0</v>
      </c>
      <c r="J147" s="112">
        <f t="shared" si="19"/>
        <v>0</v>
      </c>
      <c r="K147" s="112">
        <f t="shared" si="19"/>
        <v>0</v>
      </c>
      <c r="L147" s="112">
        <f t="shared" si="19"/>
        <v>0</v>
      </c>
      <c r="M147" s="112">
        <f t="shared" si="19"/>
        <v>0</v>
      </c>
      <c r="N147" s="160" t="s">
        <v>9</v>
      </c>
      <c r="O147" s="163">
        <f>SUM(O140:O146)</f>
        <v>3757.3280952727273</v>
      </c>
      <c r="P147" s="163">
        <f t="shared" ref="P147:Y147" si="20">SUM(P140:P146)</f>
        <v>3740.8947562632843</v>
      </c>
      <c r="Q147" s="163">
        <f t="shared" si="20"/>
        <v>0</v>
      </c>
      <c r="R147" s="163">
        <f t="shared" si="20"/>
        <v>0</v>
      </c>
      <c r="S147" s="163">
        <f t="shared" si="20"/>
        <v>0</v>
      </c>
      <c r="T147" s="163">
        <f t="shared" si="20"/>
        <v>0</v>
      </c>
      <c r="U147" s="163">
        <f t="shared" si="20"/>
        <v>0</v>
      </c>
      <c r="V147" s="163">
        <f t="shared" si="20"/>
        <v>0</v>
      </c>
      <c r="W147" s="163">
        <f t="shared" si="20"/>
        <v>0</v>
      </c>
      <c r="X147" s="163">
        <f t="shared" si="20"/>
        <v>0</v>
      </c>
      <c r="Y147" s="163">
        <f t="shared" si="20"/>
        <v>0</v>
      </c>
      <c r="Z147" s="144" t="e">
        <f>(Y147/S147)^(1/6)-1</f>
        <v>#DIV/0!</v>
      </c>
    </row>
    <row r="148" spans="2:27">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38"/>
    </row>
    <row r="149" spans="2:27" ht="15.6">
      <c r="B149" s="77" t="s">
        <v>526</v>
      </c>
      <c r="C149" s="16"/>
      <c r="D149" s="16"/>
      <c r="E149" s="16"/>
      <c r="F149" s="16"/>
      <c r="G149" s="16"/>
      <c r="H149" s="16"/>
      <c r="I149" s="16"/>
      <c r="J149" s="16"/>
      <c r="K149" s="16"/>
      <c r="L149" s="16"/>
      <c r="M149" s="16"/>
      <c r="N149" s="77" t="s">
        <v>527</v>
      </c>
      <c r="O149" s="16"/>
      <c r="P149" s="16"/>
      <c r="Q149" s="138"/>
      <c r="R149" s="138"/>
      <c r="S149" s="138"/>
      <c r="T149" s="138"/>
      <c r="U149" s="138"/>
      <c r="V149" s="138"/>
      <c r="W149" s="138"/>
      <c r="X149" s="138"/>
      <c r="Y149" s="138"/>
      <c r="AA149" s="138"/>
    </row>
    <row r="150" spans="2:27" ht="15.6">
      <c r="B150" s="50"/>
      <c r="C150" s="16"/>
      <c r="D150" s="16"/>
      <c r="E150" s="16"/>
      <c r="F150" s="16"/>
      <c r="G150" s="16"/>
      <c r="H150" s="16"/>
      <c r="I150" s="16"/>
      <c r="J150" s="16"/>
      <c r="K150" s="16"/>
      <c r="L150" s="16"/>
      <c r="M150" s="16"/>
      <c r="N150" s="16"/>
      <c r="O150" s="16"/>
      <c r="P150" s="16"/>
      <c r="Q150" s="138"/>
      <c r="R150" s="138"/>
      <c r="S150" s="138"/>
      <c r="T150" s="138"/>
      <c r="U150" s="138"/>
      <c r="V150" s="138"/>
      <c r="W150" s="138"/>
      <c r="X150" s="138"/>
      <c r="Y150" s="138"/>
      <c r="AA150" s="138"/>
    </row>
    <row r="151" spans="2:27" ht="15.6">
      <c r="B151" s="50"/>
      <c r="C151" s="16"/>
      <c r="D151" s="16"/>
      <c r="E151" s="16"/>
      <c r="F151" s="16"/>
      <c r="G151" s="16"/>
      <c r="H151" s="16"/>
      <c r="I151" s="16"/>
      <c r="J151" s="16"/>
      <c r="K151" s="16"/>
      <c r="L151" s="16"/>
      <c r="M151" s="16"/>
      <c r="N151" s="16"/>
      <c r="O151" s="16"/>
      <c r="P151" s="16"/>
      <c r="Q151" s="138"/>
      <c r="R151" s="138"/>
      <c r="S151" s="138"/>
      <c r="T151" s="138"/>
      <c r="U151" s="138"/>
      <c r="V151" s="138"/>
      <c r="W151" s="138"/>
      <c r="X151" s="138"/>
      <c r="Y151" s="138"/>
      <c r="AA151" s="138"/>
    </row>
    <row r="152" spans="2:27" ht="15.6">
      <c r="B152" s="50"/>
      <c r="C152" s="16"/>
      <c r="D152" s="16"/>
      <c r="E152" s="16"/>
      <c r="F152" s="16"/>
      <c r="G152" s="16"/>
      <c r="H152" s="16"/>
      <c r="I152" s="16"/>
      <c r="J152" s="16"/>
      <c r="K152" s="16"/>
      <c r="L152" s="16"/>
      <c r="M152" s="16"/>
      <c r="N152" s="16"/>
      <c r="O152" s="16"/>
      <c r="P152" s="16"/>
      <c r="Q152" s="138"/>
      <c r="R152" s="138"/>
      <c r="S152" s="138"/>
      <c r="T152" s="138"/>
      <c r="U152" s="138"/>
      <c r="V152" s="138"/>
      <c r="W152" s="138"/>
      <c r="X152" s="138"/>
      <c r="Y152" s="138"/>
      <c r="AA152" s="138"/>
    </row>
    <row r="153" spans="2:27" ht="15.6">
      <c r="B153" s="50"/>
      <c r="C153" s="16"/>
      <c r="D153" s="16"/>
      <c r="E153" s="16"/>
      <c r="F153" s="16"/>
      <c r="G153" s="16"/>
      <c r="H153" s="16"/>
      <c r="I153" s="16"/>
      <c r="J153" s="16"/>
      <c r="K153" s="16"/>
      <c r="L153" s="16"/>
      <c r="M153" s="16"/>
      <c r="N153" s="16"/>
      <c r="O153" s="16"/>
      <c r="P153" s="16"/>
      <c r="Q153" s="138"/>
      <c r="R153" s="138"/>
      <c r="S153" s="138"/>
      <c r="T153" s="138"/>
      <c r="U153" s="138"/>
      <c r="V153" s="138"/>
      <c r="W153" s="138"/>
      <c r="X153" s="138"/>
      <c r="Y153" s="138"/>
      <c r="AA153" s="138"/>
    </row>
    <row r="154" spans="2:27" ht="15.6">
      <c r="B154" s="50"/>
      <c r="C154" s="16"/>
      <c r="D154" s="16"/>
      <c r="E154" s="16"/>
      <c r="F154" s="16"/>
      <c r="G154" s="16"/>
      <c r="H154" s="16"/>
      <c r="I154" s="16"/>
      <c r="J154" s="16"/>
      <c r="K154" s="16"/>
      <c r="L154" s="16"/>
      <c r="M154" s="16"/>
      <c r="N154" s="16"/>
      <c r="O154" s="16"/>
      <c r="P154" s="16"/>
      <c r="Q154" s="138"/>
      <c r="R154" s="138"/>
      <c r="S154" s="138"/>
      <c r="T154" s="138"/>
      <c r="U154" s="138"/>
      <c r="V154" s="138"/>
      <c r="W154" s="138"/>
      <c r="X154" s="138"/>
      <c r="Y154" s="138"/>
      <c r="AA154" s="138"/>
    </row>
    <row r="155" spans="2:27" ht="15.6">
      <c r="B155" s="50"/>
      <c r="C155" s="16"/>
      <c r="D155" s="16"/>
      <c r="E155" s="16"/>
      <c r="F155" s="16"/>
      <c r="G155" s="16"/>
      <c r="H155" s="16"/>
      <c r="I155" s="16"/>
      <c r="J155" s="16"/>
      <c r="K155" s="16"/>
      <c r="L155" s="16"/>
      <c r="M155" s="16"/>
      <c r="N155" s="16"/>
      <c r="O155" s="16"/>
      <c r="P155" s="16"/>
      <c r="Q155" s="138"/>
      <c r="R155" s="138"/>
      <c r="S155" s="138"/>
      <c r="T155" s="138"/>
      <c r="U155" s="138"/>
      <c r="V155" s="138"/>
      <c r="W155" s="138"/>
      <c r="X155" s="138"/>
      <c r="Y155" s="138"/>
      <c r="AA155" s="138"/>
    </row>
    <row r="156" spans="2:27" ht="15.6">
      <c r="B156" s="50"/>
      <c r="C156" s="16"/>
      <c r="D156" s="16"/>
      <c r="E156" s="16"/>
      <c r="F156" s="16"/>
      <c r="G156" s="16"/>
      <c r="H156" s="16"/>
      <c r="I156" s="16"/>
      <c r="J156" s="16"/>
      <c r="K156" s="16"/>
      <c r="L156" s="16"/>
      <c r="M156" s="16"/>
      <c r="N156" s="16"/>
      <c r="O156" s="16"/>
      <c r="P156" s="16"/>
      <c r="Q156" s="138"/>
      <c r="R156" s="138"/>
      <c r="S156" s="138"/>
      <c r="T156" s="138"/>
      <c r="U156" s="138"/>
      <c r="V156" s="138"/>
      <c r="W156" s="138"/>
      <c r="X156" s="138"/>
      <c r="Y156" s="138"/>
      <c r="AA156" s="138"/>
    </row>
    <row r="157" spans="2:27" ht="15.6">
      <c r="B157" s="50"/>
      <c r="C157" s="16"/>
      <c r="D157" s="16"/>
      <c r="E157" s="16"/>
      <c r="F157" s="16"/>
      <c r="G157" s="16"/>
      <c r="H157" s="16"/>
      <c r="I157" s="16"/>
      <c r="J157" s="16"/>
      <c r="K157" s="16"/>
      <c r="L157" s="16"/>
      <c r="M157" s="16"/>
      <c r="N157" s="16"/>
      <c r="O157" s="16"/>
      <c r="P157" s="16"/>
      <c r="Q157" s="138"/>
      <c r="R157" s="138"/>
      <c r="S157" s="138"/>
      <c r="T157" s="138"/>
      <c r="U157" s="138"/>
      <c r="V157" s="138"/>
      <c r="W157" s="138"/>
      <c r="X157" s="138"/>
      <c r="Y157" s="138"/>
      <c r="AA157" s="138"/>
    </row>
    <row r="158" spans="2:27" ht="15.6">
      <c r="B158" s="50"/>
      <c r="C158" s="16"/>
      <c r="D158" s="16"/>
      <c r="E158" s="16"/>
      <c r="F158" s="16"/>
      <c r="G158" s="16"/>
      <c r="H158" s="16"/>
      <c r="I158" s="16"/>
      <c r="J158" s="16"/>
      <c r="K158" s="16"/>
      <c r="L158" s="16"/>
      <c r="M158" s="16"/>
      <c r="N158" s="16"/>
      <c r="O158" s="16"/>
      <c r="P158" s="16"/>
      <c r="Q158" s="138"/>
      <c r="R158" s="138"/>
      <c r="S158" s="138"/>
      <c r="T158" s="138"/>
      <c r="U158" s="138"/>
      <c r="V158" s="138"/>
      <c r="W158" s="138"/>
      <c r="X158" s="138"/>
      <c r="Y158" s="138"/>
      <c r="AA158" s="138"/>
    </row>
    <row r="159" spans="2:27" ht="15.6">
      <c r="B159" s="50"/>
      <c r="C159" s="16"/>
      <c r="D159" s="16"/>
      <c r="E159" s="16"/>
      <c r="F159" s="16"/>
      <c r="G159" s="16"/>
      <c r="H159" s="16"/>
      <c r="I159" s="16"/>
      <c r="J159" s="16"/>
      <c r="K159" s="16"/>
      <c r="L159" s="16"/>
      <c r="M159" s="16"/>
      <c r="N159" s="16"/>
      <c r="O159" s="16"/>
      <c r="P159" s="16"/>
      <c r="Q159" s="138"/>
      <c r="R159" s="138"/>
      <c r="S159" s="138"/>
      <c r="T159" s="138"/>
      <c r="U159" s="138"/>
      <c r="V159" s="138"/>
      <c r="W159" s="138"/>
      <c r="X159" s="138"/>
      <c r="Y159" s="138"/>
      <c r="AA159" s="138"/>
    </row>
    <row r="160" spans="2:27" ht="15.6">
      <c r="B160" s="50"/>
      <c r="C160" s="16"/>
      <c r="D160" s="16"/>
      <c r="E160" s="16"/>
      <c r="F160" s="16"/>
      <c r="G160" s="16"/>
      <c r="H160" s="16"/>
      <c r="I160" s="16"/>
      <c r="J160" s="16"/>
      <c r="K160" s="16"/>
      <c r="L160" s="16"/>
      <c r="M160" s="16"/>
      <c r="N160" s="16"/>
      <c r="O160" s="16"/>
      <c r="P160" s="16"/>
      <c r="Q160" s="138"/>
      <c r="R160" s="138"/>
      <c r="S160" s="138"/>
      <c r="T160" s="138"/>
      <c r="U160" s="138"/>
      <c r="V160" s="138"/>
      <c r="W160" s="138"/>
      <c r="X160" s="138"/>
      <c r="Y160" s="138"/>
      <c r="AA160" s="138"/>
    </row>
    <row r="161" spans="2:27" ht="15.6">
      <c r="B161" s="50"/>
      <c r="C161" s="16"/>
      <c r="D161" s="16"/>
      <c r="E161" s="16"/>
      <c r="F161" s="16"/>
      <c r="G161" s="16"/>
      <c r="H161" s="16"/>
      <c r="I161" s="16"/>
      <c r="J161" s="16"/>
      <c r="K161" s="16"/>
      <c r="L161" s="16"/>
      <c r="M161" s="16"/>
      <c r="N161" s="16"/>
      <c r="O161" s="16"/>
      <c r="P161" s="16"/>
      <c r="Q161" s="138"/>
      <c r="R161" s="138"/>
      <c r="S161" s="138"/>
      <c r="T161" s="138"/>
      <c r="U161" s="138"/>
      <c r="V161" s="138"/>
      <c r="W161" s="138"/>
      <c r="X161" s="138"/>
      <c r="Y161" s="138"/>
      <c r="AA161" s="138"/>
    </row>
    <row r="162" spans="2:27" ht="15.6">
      <c r="B162" s="50"/>
      <c r="C162" s="16"/>
      <c r="D162" s="16"/>
      <c r="E162" s="16"/>
      <c r="F162" s="16"/>
      <c r="G162" s="16"/>
      <c r="H162" s="16"/>
      <c r="I162" s="16"/>
      <c r="J162" s="16"/>
      <c r="K162" s="16"/>
      <c r="L162" s="16"/>
      <c r="M162" s="16"/>
      <c r="N162" s="16"/>
      <c r="O162" s="16"/>
      <c r="P162" s="16"/>
      <c r="Q162" s="138"/>
      <c r="R162" s="138"/>
      <c r="S162" s="138"/>
      <c r="T162" s="138"/>
      <c r="U162" s="138"/>
      <c r="V162" s="138"/>
      <c r="W162" s="138"/>
      <c r="X162" s="138"/>
      <c r="Y162" s="138"/>
      <c r="AA162" s="138"/>
    </row>
    <row r="163" spans="2:27" ht="15.6">
      <c r="B163" s="50"/>
      <c r="C163" s="16"/>
      <c r="D163" s="16"/>
      <c r="E163" s="16"/>
      <c r="F163" s="16"/>
      <c r="G163" s="16"/>
      <c r="H163" s="16"/>
      <c r="I163" s="16"/>
      <c r="J163" s="16"/>
      <c r="K163" s="16"/>
      <c r="L163" s="16"/>
      <c r="M163" s="16"/>
      <c r="N163" s="16"/>
      <c r="O163" s="16"/>
      <c r="P163" s="16"/>
      <c r="Q163" s="138"/>
      <c r="R163" s="138"/>
      <c r="S163" s="138"/>
      <c r="T163" s="138"/>
      <c r="U163" s="138"/>
      <c r="V163" s="138"/>
      <c r="W163" s="138"/>
      <c r="X163" s="138"/>
      <c r="Y163" s="138"/>
      <c r="AA163" s="138"/>
    </row>
    <row r="164" spans="2:27" ht="15.6">
      <c r="B164" s="50"/>
      <c r="C164" s="16"/>
      <c r="D164" s="16"/>
      <c r="E164" s="16"/>
      <c r="F164" s="16"/>
      <c r="G164" s="16"/>
      <c r="H164" s="16"/>
      <c r="I164" s="16"/>
      <c r="J164" s="16"/>
      <c r="K164" s="16"/>
      <c r="L164" s="16"/>
      <c r="M164" s="16"/>
      <c r="N164" s="16"/>
      <c r="O164" s="16"/>
      <c r="P164" s="16"/>
      <c r="Q164" s="138"/>
      <c r="R164" s="138"/>
      <c r="S164" s="138"/>
      <c r="T164" s="138"/>
      <c r="U164" s="138"/>
      <c r="V164" s="138"/>
      <c r="W164" s="138"/>
      <c r="X164" s="138"/>
      <c r="Y164" s="138"/>
      <c r="AA164" s="138"/>
    </row>
    <row r="165" spans="2:27" ht="15.6">
      <c r="B165" s="50"/>
      <c r="C165" s="16"/>
      <c r="D165" s="16"/>
      <c r="E165" s="16"/>
      <c r="F165" s="16"/>
      <c r="G165" s="16"/>
      <c r="H165" s="16"/>
      <c r="I165" s="16"/>
      <c r="J165" s="16"/>
      <c r="K165" s="16"/>
      <c r="L165" s="16"/>
      <c r="M165" s="16"/>
      <c r="N165" s="16"/>
      <c r="O165" s="16"/>
      <c r="P165" s="16"/>
      <c r="Q165" s="138"/>
      <c r="R165" s="138"/>
      <c r="S165" s="138"/>
      <c r="T165" s="138"/>
      <c r="U165" s="138"/>
      <c r="V165" s="138"/>
      <c r="W165" s="138"/>
      <c r="X165" s="138"/>
      <c r="Y165" s="138"/>
      <c r="AA165" s="138"/>
    </row>
    <row r="166" spans="2:27" ht="15.6">
      <c r="B166" s="50"/>
      <c r="C166" s="16"/>
      <c r="D166" s="16"/>
      <c r="E166" s="16"/>
      <c r="F166" s="16"/>
      <c r="G166" s="16"/>
      <c r="H166" s="16"/>
      <c r="I166" s="16"/>
      <c r="J166" s="16"/>
      <c r="K166" s="16"/>
      <c r="L166" s="16"/>
      <c r="M166" s="16"/>
      <c r="N166" s="16"/>
      <c r="O166" s="16"/>
      <c r="P166" s="16"/>
      <c r="Q166" s="138"/>
      <c r="R166" s="138"/>
      <c r="S166" s="138"/>
      <c r="T166" s="138"/>
      <c r="U166" s="138"/>
      <c r="V166" s="138"/>
      <c r="W166" s="138"/>
      <c r="X166" s="138"/>
      <c r="Y166" s="138"/>
      <c r="AA166" s="138"/>
    </row>
    <row r="167" spans="2:27" ht="15.6">
      <c r="B167" s="50"/>
      <c r="C167" s="16"/>
      <c r="D167" s="16"/>
      <c r="E167" s="16"/>
      <c r="F167" s="16"/>
      <c r="G167" s="16"/>
      <c r="H167" s="16"/>
      <c r="I167" s="16"/>
      <c r="J167" s="16"/>
      <c r="K167" s="16"/>
      <c r="L167" s="16"/>
      <c r="M167" s="16"/>
      <c r="N167" s="16"/>
      <c r="O167" s="16"/>
      <c r="P167" s="16"/>
      <c r="Q167" s="138"/>
      <c r="R167" s="138"/>
      <c r="S167" s="138"/>
      <c r="T167" s="138"/>
      <c r="U167" s="138"/>
      <c r="V167" s="138"/>
      <c r="W167" s="138"/>
      <c r="X167" s="138"/>
      <c r="Y167" s="138"/>
      <c r="AA167" s="138"/>
    </row>
    <row r="168" spans="2:27" ht="15.6">
      <c r="B168" s="77" t="s">
        <v>158</v>
      </c>
      <c r="C168" s="133"/>
      <c r="D168" s="133"/>
      <c r="E168" s="133"/>
      <c r="F168" s="133"/>
      <c r="G168" s="133"/>
      <c r="H168" s="16"/>
      <c r="I168" s="16"/>
      <c r="J168" s="16"/>
      <c r="K168" s="16"/>
      <c r="L168" s="16"/>
      <c r="M168" s="16"/>
      <c r="N168" s="78" t="s">
        <v>174</v>
      </c>
      <c r="O168" s="16"/>
      <c r="P168" s="138"/>
      <c r="Z168" s="118" t="s">
        <v>2</v>
      </c>
    </row>
    <row r="169" spans="2:27">
      <c r="B169" s="207" t="s">
        <v>522</v>
      </c>
      <c r="C169" s="117">
        <v>2018</v>
      </c>
      <c r="D169" s="103">
        <v>2019</v>
      </c>
      <c r="E169" s="103">
        <v>2020</v>
      </c>
      <c r="F169" s="103">
        <v>2021</v>
      </c>
      <c r="G169" s="103">
        <v>2022</v>
      </c>
      <c r="H169" s="103">
        <v>2023</v>
      </c>
      <c r="I169" s="103">
        <v>2024</v>
      </c>
      <c r="J169" s="103">
        <v>2025</v>
      </c>
      <c r="K169" s="103">
        <v>2026</v>
      </c>
      <c r="L169" s="103">
        <v>2027</v>
      </c>
      <c r="M169" s="103">
        <v>2028</v>
      </c>
      <c r="N169" s="158" t="s">
        <v>18</v>
      </c>
      <c r="O169" s="117">
        <v>2018</v>
      </c>
      <c r="P169" s="117">
        <v>2019</v>
      </c>
      <c r="Q169" s="117">
        <v>2020</v>
      </c>
      <c r="R169" s="117">
        <v>2021</v>
      </c>
      <c r="S169" s="117">
        <v>2022</v>
      </c>
      <c r="T169" s="117">
        <v>2023</v>
      </c>
      <c r="U169" s="117">
        <v>2024</v>
      </c>
      <c r="V169" s="117">
        <v>2025</v>
      </c>
      <c r="W169" s="117">
        <v>2026</v>
      </c>
      <c r="X169" s="117">
        <v>2027</v>
      </c>
      <c r="Y169" s="117">
        <v>2028</v>
      </c>
      <c r="Z169" s="103" t="str">
        <f>$Z$139</f>
        <v>2022-2028</v>
      </c>
    </row>
    <row r="170" spans="2:27">
      <c r="B170" s="555" t="s">
        <v>524</v>
      </c>
      <c r="C170" s="556">
        <f>'CWDM and DWDM'!F9</f>
        <v>38304</v>
      </c>
      <c r="D170" s="556">
        <f>'CWDM and DWDM'!G9</f>
        <v>33359</v>
      </c>
      <c r="E170" s="556">
        <f>'CWDM and DWDM'!H9</f>
        <v>0</v>
      </c>
      <c r="F170" s="556">
        <f>'CWDM and DWDM'!I9</f>
        <v>0</v>
      </c>
      <c r="G170" s="556">
        <f>'CWDM and DWDM'!J9</f>
        <v>0</v>
      </c>
      <c r="H170" s="556">
        <f>'CWDM and DWDM'!K9</f>
        <v>0</v>
      </c>
      <c r="I170" s="556">
        <f>'CWDM and DWDM'!L9</f>
        <v>0</v>
      </c>
      <c r="J170" s="556">
        <f>'CWDM and DWDM'!M9</f>
        <v>0</v>
      </c>
      <c r="K170" s="556">
        <f>'CWDM and DWDM'!N9</f>
        <v>0</v>
      </c>
      <c r="L170" s="556">
        <f>'CWDM and DWDM'!O9</f>
        <v>0</v>
      </c>
      <c r="M170" s="556">
        <f>'CWDM and DWDM'!P9</f>
        <v>0</v>
      </c>
      <c r="N170" s="557" t="str">
        <f>B170</f>
        <v>DWDM 2.5 G</v>
      </c>
      <c r="O170" s="273">
        <f>'CWDM and DWDM'!F58</f>
        <v>8.6567039999999995</v>
      </c>
      <c r="P170" s="273">
        <f>'CWDM and DWDM'!G58</f>
        <v>5.8985589999999997</v>
      </c>
      <c r="Q170" s="273">
        <f>'CWDM and DWDM'!H58</f>
        <v>0</v>
      </c>
      <c r="R170" s="273">
        <f>'CWDM and DWDM'!I58</f>
        <v>0</v>
      </c>
      <c r="S170" s="273">
        <f>'CWDM and DWDM'!J58</f>
        <v>0</v>
      </c>
      <c r="T170" s="273">
        <f>'CWDM and DWDM'!K58</f>
        <v>0</v>
      </c>
      <c r="U170" s="273">
        <f>'CWDM and DWDM'!L58</f>
        <v>0</v>
      </c>
      <c r="V170" s="273">
        <f>'CWDM and DWDM'!M58</f>
        <v>0</v>
      </c>
      <c r="W170" s="273">
        <f>'CWDM and DWDM'!N58</f>
        <v>0</v>
      </c>
      <c r="X170" s="273">
        <f>'CWDM and DWDM'!O58</f>
        <v>0</v>
      </c>
      <c r="Y170" s="273">
        <f>'CWDM and DWDM'!P58</f>
        <v>0</v>
      </c>
      <c r="Z170" s="144" t="e">
        <f>(Y170/S170)^(1/6)-1</f>
        <v>#DIV/0!</v>
      </c>
    </row>
    <row r="171" spans="2:27">
      <c r="B171" s="555" t="s">
        <v>525</v>
      </c>
      <c r="C171" s="556">
        <f>'CWDM and DWDM'!F8</f>
        <v>326257</v>
      </c>
      <c r="D171" s="556">
        <f>'CWDM and DWDM'!G8</f>
        <v>376930.99999999994</v>
      </c>
      <c r="E171" s="556">
        <f>'CWDM and DWDM'!H8</f>
        <v>0</v>
      </c>
      <c r="F171" s="556">
        <f>'CWDM and DWDM'!I8</f>
        <v>0</v>
      </c>
      <c r="G171" s="556">
        <f>'CWDM and DWDM'!J8</f>
        <v>0</v>
      </c>
      <c r="H171" s="556">
        <f>'CWDM and DWDM'!K8</f>
        <v>0</v>
      </c>
      <c r="I171" s="556">
        <f>'CWDM and DWDM'!L8</f>
        <v>0</v>
      </c>
      <c r="J171" s="556">
        <f>'CWDM and DWDM'!M8</f>
        <v>0</v>
      </c>
      <c r="K171" s="556">
        <f>'CWDM and DWDM'!N8</f>
        <v>0</v>
      </c>
      <c r="L171" s="556">
        <f>'CWDM and DWDM'!O8</f>
        <v>0</v>
      </c>
      <c r="M171" s="556">
        <f>'CWDM and DWDM'!P8</f>
        <v>0</v>
      </c>
      <c r="N171" s="557" t="str">
        <f>B171</f>
        <v>CWDM up to 10G</v>
      </c>
      <c r="O171" s="273">
        <f>'CWDM and DWDM'!F57</f>
        <v>63.511533999999997</v>
      </c>
      <c r="P171" s="273">
        <f>'CWDM and DWDM'!G57</f>
        <v>74.507442432857147</v>
      </c>
      <c r="Q171" s="273">
        <f>'CWDM and DWDM'!H57</f>
        <v>0</v>
      </c>
      <c r="R171" s="273">
        <f>'CWDM and DWDM'!I57</f>
        <v>0</v>
      </c>
      <c r="S171" s="273">
        <f>'CWDM and DWDM'!J57</f>
        <v>0</v>
      </c>
      <c r="T171" s="273">
        <f>'CWDM and DWDM'!K57</f>
        <v>0</v>
      </c>
      <c r="U171" s="273">
        <f>'CWDM and DWDM'!L57</f>
        <v>0</v>
      </c>
      <c r="V171" s="273">
        <f>'CWDM and DWDM'!M57</f>
        <v>0</v>
      </c>
      <c r="W171" s="273">
        <f>'CWDM and DWDM'!N57</f>
        <v>0</v>
      </c>
      <c r="X171" s="273">
        <f>'CWDM and DWDM'!O57</f>
        <v>0</v>
      </c>
      <c r="Y171" s="273">
        <f>'CWDM and DWDM'!P57</f>
        <v>0</v>
      </c>
      <c r="Z171" s="144" t="e">
        <f>(Y171/S171)^(1/6)-1</f>
        <v>#DIV/0!</v>
      </c>
    </row>
    <row r="172" spans="2:27">
      <c r="B172" s="475" t="s">
        <v>523</v>
      </c>
      <c r="C172" s="556">
        <f>'CWDM and DWDM'!F10</f>
        <v>420136</v>
      </c>
      <c r="D172" s="556">
        <f>'CWDM and DWDM'!G10</f>
        <v>529485</v>
      </c>
      <c r="E172" s="556">
        <f>'CWDM and DWDM'!H10</f>
        <v>0</v>
      </c>
      <c r="F172" s="556">
        <f>'CWDM and DWDM'!I10</f>
        <v>0</v>
      </c>
      <c r="G172" s="556">
        <f>'CWDM and DWDM'!J10</f>
        <v>0</v>
      </c>
      <c r="H172" s="556">
        <f>'CWDM and DWDM'!K10</f>
        <v>0</v>
      </c>
      <c r="I172" s="556">
        <f>'CWDM and DWDM'!L10</f>
        <v>0</v>
      </c>
      <c r="J172" s="556">
        <f>'CWDM and DWDM'!M10</f>
        <v>0</v>
      </c>
      <c r="K172" s="556">
        <f>'CWDM and DWDM'!N10</f>
        <v>0</v>
      </c>
      <c r="L172" s="556">
        <f>'CWDM and DWDM'!O10</f>
        <v>0</v>
      </c>
      <c r="M172" s="556">
        <f>'CWDM and DWDM'!P10</f>
        <v>0</v>
      </c>
      <c r="N172" s="557" t="str">
        <f>B172</f>
        <v xml:space="preserve">DWDM 10G </v>
      </c>
      <c r="O172" s="273">
        <f>'CWDM and DWDM'!F59</f>
        <v>201.27632</v>
      </c>
      <c r="P172" s="273">
        <f>'CWDM and DWDM'!G59</f>
        <v>207.36266089103322</v>
      </c>
      <c r="Q172" s="273">
        <f>'CWDM and DWDM'!H59</f>
        <v>0</v>
      </c>
      <c r="R172" s="273">
        <f>'CWDM and DWDM'!I59</f>
        <v>0</v>
      </c>
      <c r="S172" s="273">
        <f>'CWDM and DWDM'!J59</f>
        <v>0</v>
      </c>
      <c r="T172" s="273">
        <f>'CWDM and DWDM'!K59</f>
        <v>0</v>
      </c>
      <c r="U172" s="273">
        <f>'CWDM and DWDM'!L59</f>
        <v>0</v>
      </c>
      <c r="V172" s="273">
        <f>'CWDM and DWDM'!M59</f>
        <v>0</v>
      </c>
      <c r="W172" s="273">
        <f>'CWDM and DWDM'!N59</f>
        <v>0</v>
      </c>
      <c r="X172" s="273">
        <f>'CWDM and DWDM'!O59</f>
        <v>0</v>
      </c>
      <c r="Y172" s="273">
        <f>'CWDM and DWDM'!P59</f>
        <v>0</v>
      </c>
      <c r="Z172" s="144" t="e">
        <f>(Y172/S172)^(1/6)-1</f>
        <v>#DIV/0!</v>
      </c>
    </row>
    <row r="173" spans="2:27" ht="15.6">
      <c r="B173" s="50"/>
      <c r="C173" s="16"/>
      <c r="D173" s="16"/>
      <c r="E173" s="16"/>
      <c r="F173" s="16"/>
      <c r="G173" s="16"/>
      <c r="H173" s="16"/>
      <c r="I173" s="16"/>
      <c r="J173" s="16"/>
      <c r="K173" s="16"/>
      <c r="L173" s="16"/>
      <c r="M173" s="16"/>
      <c r="N173" s="16"/>
      <c r="O173" s="16"/>
      <c r="P173" s="16"/>
      <c r="Q173" s="138"/>
      <c r="R173" s="138"/>
      <c r="S173" s="138"/>
      <c r="T173" s="138"/>
      <c r="U173" s="138"/>
      <c r="V173" s="138"/>
      <c r="W173" s="138"/>
      <c r="X173" s="138"/>
      <c r="Y173" s="138"/>
      <c r="AA173" s="138"/>
    </row>
    <row r="174" spans="2:27" ht="15.6">
      <c r="B174" s="77" t="s">
        <v>445</v>
      </c>
      <c r="C174" s="16"/>
      <c r="D174" s="16"/>
      <c r="E174" s="16"/>
      <c r="F174" s="16"/>
      <c r="G174" s="16"/>
      <c r="H174" s="16"/>
      <c r="I174" s="16"/>
      <c r="J174" s="16"/>
      <c r="K174" s="16"/>
      <c r="L174" s="16"/>
      <c r="M174" s="16"/>
      <c r="N174" s="77" t="s">
        <v>293</v>
      </c>
      <c r="O174" s="16"/>
      <c r="P174" s="16"/>
      <c r="Q174" s="138"/>
      <c r="R174" s="138"/>
      <c r="S174" s="138"/>
      <c r="T174" s="138"/>
      <c r="U174" s="138"/>
      <c r="V174" s="138"/>
      <c r="W174" s="138"/>
      <c r="X174" s="138"/>
      <c r="Y174" s="138"/>
      <c r="AA174" s="138"/>
    </row>
    <row r="175" spans="2:27" ht="15.6">
      <c r="B175" s="50"/>
      <c r="C175" s="16"/>
      <c r="D175" s="16"/>
      <c r="E175" s="16"/>
      <c r="F175" s="16"/>
      <c r="G175" s="16"/>
      <c r="H175" s="16"/>
      <c r="I175" s="16"/>
      <c r="J175" s="16"/>
      <c r="K175" s="16"/>
      <c r="L175" s="16"/>
      <c r="M175" s="16"/>
      <c r="N175" s="16"/>
      <c r="O175" s="16"/>
      <c r="P175" s="16"/>
      <c r="Q175" s="138"/>
      <c r="R175" s="138"/>
      <c r="S175" s="138"/>
      <c r="T175" s="138"/>
      <c r="U175" s="138"/>
      <c r="V175" s="138"/>
      <c r="W175" s="138"/>
      <c r="X175" s="138"/>
      <c r="Y175" s="138"/>
      <c r="AA175" s="138"/>
    </row>
    <row r="176" spans="2:27" ht="15.6">
      <c r="B176" s="50"/>
      <c r="C176" s="16"/>
      <c r="D176" s="16"/>
      <c r="E176" s="16"/>
      <c r="F176" s="16"/>
      <c r="G176" s="16"/>
      <c r="H176" s="16"/>
      <c r="I176" s="16"/>
      <c r="J176" s="16"/>
      <c r="K176" s="16"/>
      <c r="L176" s="16"/>
      <c r="M176" s="16"/>
      <c r="N176" s="16"/>
      <c r="O176" s="16"/>
      <c r="P176" s="16"/>
      <c r="Q176" s="138"/>
      <c r="R176" s="138"/>
      <c r="S176" s="138"/>
      <c r="T176" s="138"/>
      <c r="U176" s="138"/>
      <c r="V176" s="138"/>
      <c r="W176" s="138"/>
      <c r="X176" s="138"/>
      <c r="Y176" s="138"/>
      <c r="AA176" s="138"/>
    </row>
    <row r="177" spans="2:27" ht="15.6">
      <c r="B177" s="50"/>
      <c r="C177" s="16"/>
      <c r="D177" s="16"/>
      <c r="E177" s="16"/>
      <c r="F177" s="16"/>
      <c r="G177" s="16"/>
      <c r="H177" s="16"/>
      <c r="I177" s="16"/>
      <c r="J177" s="16"/>
      <c r="K177" s="16"/>
      <c r="L177" s="16"/>
      <c r="M177" s="16"/>
      <c r="N177" s="16"/>
      <c r="O177" s="16"/>
      <c r="P177" s="16"/>
      <c r="Q177" s="138"/>
      <c r="R177" s="138"/>
      <c r="S177" s="138"/>
      <c r="T177" s="138"/>
      <c r="U177" s="138"/>
      <c r="V177" s="138"/>
      <c r="W177" s="138"/>
      <c r="X177" s="138"/>
      <c r="Y177" s="138"/>
      <c r="AA177" s="138"/>
    </row>
    <row r="178" spans="2:27" ht="15.6">
      <c r="B178" s="50"/>
      <c r="C178" s="16"/>
      <c r="D178" s="16"/>
      <c r="E178" s="16"/>
      <c r="F178" s="16"/>
      <c r="G178" s="16"/>
      <c r="H178" s="16"/>
      <c r="I178" s="16"/>
      <c r="J178" s="16"/>
      <c r="K178" s="16"/>
      <c r="L178" s="16"/>
      <c r="M178" s="16"/>
      <c r="N178" s="16"/>
      <c r="O178" s="16"/>
      <c r="P178" s="16"/>
      <c r="Q178" s="138"/>
      <c r="R178" s="138"/>
      <c r="S178" s="138"/>
      <c r="T178" s="138"/>
      <c r="U178" s="138"/>
      <c r="V178" s="138"/>
      <c r="W178" s="138"/>
      <c r="X178" s="138"/>
      <c r="Y178" s="138"/>
      <c r="AA178" s="138"/>
    </row>
    <row r="179" spans="2:27" ht="15.6">
      <c r="B179" s="50"/>
      <c r="C179" s="16"/>
      <c r="D179" s="16"/>
      <c r="E179" s="16"/>
      <c r="F179" s="16"/>
      <c r="G179" s="16"/>
      <c r="H179" s="16"/>
      <c r="I179" s="16"/>
      <c r="J179" s="16"/>
      <c r="K179" s="16"/>
      <c r="L179" s="16"/>
      <c r="M179" s="16"/>
      <c r="N179" s="16"/>
      <c r="O179" s="16"/>
      <c r="P179" s="16"/>
      <c r="Q179" s="138"/>
      <c r="R179" s="138"/>
      <c r="S179" s="138"/>
      <c r="T179" s="138"/>
      <c r="U179" s="138"/>
      <c r="V179" s="138"/>
      <c r="W179" s="138"/>
      <c r="X179" s="138"/>
      <c r="Y179" s="138"/>
      <c r="AA179" s="138"/>
    </row>
    <row r="180" spans="2:27" ht="15.6">
      <c r="B180" s="50"/>
      <c r="C180" s="16"/>
      <c r="D180" s="16"/>
      <c r="E180" s="16"/>
      <c r="F180" s="16"/>
      <c r="G180" s="16"/>
      <c r="H180" s="16"/>
      <c r="I180" s="16"/>
      <c r="J180" s="16"/>
      <c r="K180" s="16"/>
      <c r="L180" s="16"/>
      <c r="M180" s="16"/>
      <c r="N180" s="16"/>
      <c r="O180" s="16"/>
      <c r="P180" s="16"/>
      <c r="Q180" s="138"/>
      <c r="R180" s="138"/>
      <c r="S180" s="138"/>
      <c r="T180" s="138"/>
      <c r="U180" s="138"/>
      <c r="V180" s="138"/>
      <c r="W180" s="138"/>
      <c r="X180" s="138"/>
      <c r="Y180" s="138"/>
      <c r="AA180" s="138"/>
    </row>
    <row r="181" spans="2:27" ht="15.6">
      <c r="B181" s="50"/>
      <c r="C181" s="16"/>
      <c r="D181" s="16"/>
      <c r="E181" s="16"/>
      <c r="F181" s="16"/>
      <c r="G181" s="16"/>
      <c r="H181" s="16"/>
      <c r="I181" s="16"/>
      <c r="J181" s="16"/>
      <c r="K181" s="16"/>
      <c r="L181" s="16"/>
      <c r="M181" s="16"/>
      <c r="N181" s="16"/>
      <c r="O181" s="16"/>
      <c r="P181" s="16"/>
      <c r="Q181" s="138"/>
      <c r="R181" s="138"/>
      <c r="S181" s="138"/>
      <c r="T181" s="138"/>
      <c r="U181" s="138"/>
      <c r="V181" s="138"/>
      <c r="W181" s="138"/>
      <c r="X181" s="138"/>
      <c r="Y181" s="138"/>
      <c r="AA181" s="138"/>
    </row>
    <row r="182" spans="2:27" ht="15.6">
      <c r="B182" s="50"/>
      <c r="C182" s="16"/>
      <c r="D182" s="16"/>
      <c r="E182" s="16"/>
      <c r="F182" s="16"/>
      <c r="G182" s="16"/>
      <c r="H182" s="16"/>
      <c r="I182" s="16"/>
      <c r="J182" s="16"/>
      <c r="K182" s="16"/>
      <c r="L182" s="16"/>
      <c r="M182" s="16"/>
      <c r="N182" s="16"/>
      <c r="O182" s="16"/>
      <c r="P182" s="16"/>
      <c r="Q182" s="138"/>
      <c r="R182" s="138"/>
      <c r="S182" s="138"/>
      <c r="T182" s="138"/>
      <c r="U182" s="138"/>
      <c r="V182" s="138"/>
      <c r="W182" s="138"/>
      <c r="X182" s="138"/>
      <c r="Y182" s="138"/>
      <c r="AA182" s="138"/>
    </row>
    <row r="183" spans="2:27" ht="15.6">
      <c r="B183" s="50"/>
      <c r="C183" s="16"/>
      <c r="D183" s="16"/>
      <c r="E183" s="16"/>
      <c r="F183" s="16"/>
      <c r="G183" s="16"/>
      <c r="H183" s="16"/>
      <c r="I183" s="16"/>
      <c r="J183" s="16"/>
      <c r="K183" s="16"/>
      <c r="L183" s="16"/>
      <c r="M183" s="16"/>
      <c r="N183" s="16"/>
      <c r="O183" s="16"/>
      <c r="P183" s="16"/>
      <c r="Q183" s="138"/>
      <c r="R183" s="138"/>
      <c r="S183" s="138"/>
      <c r="T183" s="138"/>
      <c r="U183" s="138"/>
      <c r="V183" s="138"/>
      <c r="W183" s="138"/>
      <c r="X183" s="138"/>
      <c r="Y183" s="138"/>
      <c r="AA183" s="138"/>
    </row>
    <row r="184" spans="2:27" ht="15.6">
      <c r="B184" s="50"/>
      <c r="C184" s="16"/>
      <c r="D184" s="16"/>
      <c r="E184" s="16"/>
      <c r="F184" s="16"/>
      <c r="G184" s="16"/>
      <c r="H184" s="16"/>
      <c r="I184" s="16"/>
      <c r="J184" s="16"/>
      <c r="K184" s="16"/>
      <c r="L184" s="16"/>
      <c r="M184" s="16"/>
      <c r="N184" s="16"/>
      <c r="O184" s="16"/>
      <c r="P184" s="16"/>
      <c r="Q184" s="138"/>
      <c r="R184" s="138"/>
      <c r="S184" s="138"/>
      <c r="T184" s="138"/>
      <c r="U184" s="138"/>
      <c r="V184" s="138"/>
      <c r="W184" s="138"/>
      <c r="X184" s="138"/>
      <c r="Y184" s="138"/>
      <c r="AA184" s="138"/>
    </row>
    <row r="185" spans="2:27" ht="15.6">
      <c r="B185" s="50"/>
      <c r="C185" s="16"/>
      <c r="D185" s="16"/>
      <c r="E185" s="16"/>
      <c r="F185" s="16"/>
      <c r="G185" s="16"/>
      <c r="H185" s="16"/>
      <c r="I185" s="16"/>
      <c r="J185" s="16"/>
      <c r="K185" s="16"/>
      <c r="L185" s="16"/>
      <c r="M185" s="16"/>
      <c r="N185" s="16"/>
      <c r="O185" s="16"/>
      <c r="P185" s="16"/>
      <c r="Q185" s="138"/>
      <c r="R185" s="138"/>
      <c r="S185" s="138"/>
      <c r="T185" s="138"/>
      <c r="U185" s="138"/>
      <c r="V185" s="138"/>
      <c r="W185" s="138"/>
      <c r="X185" s="138"/>
      <c r="Y185" s="138"/>
      <c r="AA185" s="138"/>
    </row>
    <row r="186" spans="2:27" ht="15.6">
      <c r="B186" s="50"/>
      <c r="C186" s="16"/>
      <c r="D186" s="16"/>
      <c r="E186" s="16"/>
      <c r="F186" s="16"/>
      <c r="G186" s="16"/>
      <c r="H186" s="16"/>
      <c r="I186" s="16"/>
      <c r="J186" s="16"/>
      <c r="K186" s="16"/>
      <c r="L186" s="16"/>
      <c r="M186" s="16"/>
      <c r="N186" s="16"/>
      <c r="O186" s="16"/>
      <c r="P186" s="16"/>
      <c r="Q186" s="138"/>
      <c r="R186" s="138"/>
      <c r="S186" s="138"/>
      <c r="T186" s="138"/>
      <c r="U186" s="138"/>
      <c r="V186" s="138"/>
      <c r="W186" s="138"/>
      <c r="X186" s="138"/>
      <c r="Y186" s="138"/>
      <c r="AA186" s="138"/>
    </row>
    <row r="187" spans="2:27" ht="15.6">
      <c r="B187" s="50"/>
      <c r="C187" s="16"/>
      <c r="D187" s="16"/>
      <c r="E187" s="16"/>
      <c r="F187" s="16"/>
      <c r="G187" s="16"/>
      <c r="H187" s="16"/>
      <c r="I187" s="16"/>
      <c r="J187" s="16"/>
      <c r="K187" s="16"/>
      <c r="L187" s="16"/>
      <c r="M187" s="16"/>
      <c r="N187" s="16"/>
      <c r="O187" s="16"/>
      <c r="P187" s="16"/>
      <c r="Q187" s="138"/>
      <c r="R187" s="138"/>
      <c r="S187" s="138"/>
      <c r="T187" s="138"/>
      <c r="U187" s="138"/>
      <c r="V187" s="138"/>
      <c r="W187" s="138"/>
      <c r="X187" s="138"/>
      <c r="Y187" s="138"/>
      <c r="AA187" s="138"/>
    </row>
    <row r="188" spans="2:27" ht="15.6">
      <c r="B188" s="50"/>
      <c r="C188" s="16"/>
      <c r="D188" s="16"/>
      <c r="E188" s="16"/>
      <c r="F188" s="16"/>
      <c r="G188" s="16"/>
      <c r="H188" s="16"/>
      <c r="I188" s="16"/>
      <c r="J188" s="16"/>
      <c r="K188" s="16"/>
      <c r="L188" s="16"/>
      <c r="M188" s="16"/>
      <c r="N188" s="16"/>
      <c r="O188" s="16"/>
      <c r="P188" s="16"/>
      <c r="Q188" s="138"/>
      <c r="R188" s="138"/>
      <c r="S188" s="138"/>
      <c r="T188" s="138"/>
      <c r="U188" s="138"/>
      <c r="V188" s="138"/>
      <c r="W188" s="138"/>
      <c r="X188" s="138"/>
      <c r="Y188" s="138"/>
      <c r="AA188" s="138"/>
    </row>
    <row r="189" spans="2:27" ht="15.6">
      <c r="B189" s="50"/>
      <c r="C189" s="16"/>
      <c r="D189" s="16"/>
      <c r="E189" s="16"/>
      <c r="F189" s="16"/>
      <c r="G189" s="16"/>
      <c r="H189" s="16"/>
      <c r="I189" s="16"/>
      <c r="J189" s="16"/>
      <c r="K189" s="16"/>
      <c r="L189" s="16"/>
      <c r="M189" s="16"/>
      <c r="N189" s="16"/>
      <c r="O189" s="16"/>
      <c r="P189" s="16"/>
      <c r="Q189" s="138"/>
      <c r="R189" s="138"/>
      <c r="S189" s="138"/>
      <c r="T189" s="138"/>
      <c r="U189" s="138"/>
      <c r="V189" s="138"/>
      <c r="W189" s="138"/>
      <c r="X189" s="138"/>
      <c r="Y189" s="138"/>
      <c r="AA189" s="138"/>
    </row>
    <row r="190" spans="2:27" ht="15.6">
      <c r="B190" s="50"/>
      <c r="C190" s="16"/>
      <c r="D190" s="16"/>
      <c r="E190" s="16"/>
      <c r="F190" s="16"/>
      <c r="G190" s="16"/>
      <c r="H190" s="16"/>
      <c r="I190" s="16"/>
      <c r="J190" s="16"/>
      <c r="K190" s="16"/>
      <c r="L190" s="16"/>
      <c r="M190" s="16"/>
      <c r="N190" s="16"/>
      <c r="O190" s="16"/>
      <c r="P190" s="16"/>
      <c r="Q190" s="138"/>
      <c r="R190" s="138"/>
      <c r="S190" s="138"/>
      <c r="T190" s="138"/>
      <c r="U190" s="138"/>
      <c r="V190" s="138"/>
      <c r="W190" s="138"/>
      <c r="X190" s="138"/>
      <c r="Y190" s="138"/>
      <c r="AA190" s="138"/>
    </row>
    <row r="191" spans="2:27" ht="15.6">
      <c r="B191" s="50"/>
      <c r="C191" s="16"/>
      <c r="D191" s="16"/>
      <c r="E191" s="16"/>
      <c r="F191" s="16"/>
      <c r="G191" s="16"/>
      <c r="H191" s="16"/>
      <c r="I191" s="16"/>
      <c r="J191" s="16"/>
      <c r="K191" s="16"/>
      <c r="L191" s="16"/>
      <c r="M191" s="16"/>
      <c r="N191" s="16"/>
      <c r="O191" s="16"/>
      <c r="P191" s="16"/>
      <c r="Q191" s="138"/>
      <c r="R191" s="138"/>
      <c r="S191" s="138"/>
      <c r="T191" s="138"/>
      <c r="U191" s="138"/>
      <c r="V191" s="138"/>
      <c r="W191" s="138"/>
      <c r="X191" s="138"/>
      <c r="Y191" s="138"/>
      <c r="AA191" s="138"/>
    </row>
    <row r="192" spans="2:27" ht="15.6">
      <c r="B192" s="50"/>
      <c r="C192" s="16"/>
      <c r="D192" s="16"/>
      <c r="E192" s="16"/>
      <c r="F192" s="16"/>
      <c r="G192" s="16"/>
      <c r="H192" s="16"/>
      <c r="I192" s="16"/>
      <c r="J192" s="16"/>
      <c r="K192" s="16"/>
      <c r="L192" s="16"/>
      <c r="M192" s="16"/>
      <c r="N192" s="16"/>
      <c r="O192" s="16"/>
      <c r="P192" s="16"/>
      <c r="Q192" s="138"/>
      <c r="R192" s="138"/>
      <c r="S192" s="138"/>
      <c r="T192" s="138"/>
      <c r="U192" s="138"/>
      <c r="V192" s="138"/>
      <c r="W192" s="138"/>
      <c r="X192" s="138"/>
      <c r="Y192" s="138"/>
      <c r="AA192" s="138"/>
    </row>
    <row r="193" spans="1:40" ht="15.6">
      <c r="B193" s="50"/>
      <c r="C193" s="16"/>
      <c r="D193" s="16"/>
      <c r="E193" s="16"/>
      <c r="F193" s="16"/>
      <c r="G193" s="16"/>
      <c r="H193" s="16"/>
      <c r="I193" s="16"/>
      <c r="J193" s="16"/>
      <c r="K193" s="16"/>
      <c r="L193" s="16"/>
      <c r="M193" s="16"/>
      <c r="N193" s="16"/>
      <c r="O193" s="16"/>
      <c r="P193" s="16"/>
      <c r="Q193" s="138"/>
      <c r="R193" s="138"/>
      <c r="S193" s="138"/>
      <c r="T193" s="138"/>
      <c r="U193" s="138"/>
      <c r="V193" s="138"/>
      <c r="W193" s="138"/>
      <c r="X193" s="138"/>
      <c r="Y193" s="138"/>
      <c r="AA193" s="138"/>
    </row>
    <row r="194" spans="1:40" ht="15.6">
      <c r="B194" s="77" t="s">
        <v>448</v>
      </c>
      <c r="C194" s="16"/>
      <c r="D194" s="16"/>
      <c r="E194" s="16"/>
      <c r="F194" s="16"/>
      <c r="G194" s="16"/>
      <c r="H194" s="16"/>
      <c r="I194" s="16"/>
      <c r="J194" s="16"/>
      <c r="K194" s="16"/>
      <c r="L194" s="16"/>
      <c r="M194" s="16"/>
      <c r="N194" s="77" t="s">
        <v>244</v>
      </c>
      <c r="O194" s="16"/>
      <c r="P194" s="138"/>
      <c r="Z194" s="118" t="s">
        <v>2</v>
      </c>
    </row>
    <row r="195" spans="1:40">
      <c r="B195" s="207"/>
      <c r="C195" s="117">
        <v>2018</v>
      </c>
      <c r="D195" s="103">
        <v>2019</v>
      </c>
      <c r="E195" s="103">
        <v>2020</v>
      </c>
      <c r="F195" s="103">
        <v>2021</v>
      </c>
      <c r="G195" s="103">
        <v>2022</v>
      </c>
      <c r="H195" s="103">
        <v>2023</v>
      </c>
      <c r="I195" s="103">
        <v>2024</v>
      </c>
      <c r="J195" s="103">
        <v>2025</v>
      </c>
      <c r="K195" s="103">
        <v>2026</v>
      </c>
      <c r="L195" s="103">
        <v>2027</v>
      </c>
      <c r="M195" s="103">
        <v>2028</v>
      </c>
      <c r="N195" s="164" t="s">
        <v>94</v>
      </c>
      <c r="O195" s="103">
        <v>2018</v>
      </c>
      <c r="P195" s="103">
        <v>2019</v>
      </c>
      <c r="Q195" s="103">
        <v>2020</v>
      </c>
      <c r="R195" s="103">
        <v>2021</v>
      </c>
      <c r="S195" s="103">
        <v>2022</v>
      </c>
      <c r="T195" s="103">
        <v>2023</v>
      </c>
      <c r="U195" s="103">
        <v>2024</v>
      </c>
      <c r="V195" s="103">
        <v>2025</v>
      </c>
      <c r="W195" s="103">
        <v>2026</v>
      </c>
      <c r="X195" s="103">
        <v>2027</v>
      </c>
      <c r="Y195" s="103">
        <v>2028</v>
      </c>
      <c r="Z195" s="103" t="str">
        <f>$Z$139</f>
        <v>2022-2028</v>
      </c>
      <c r="AE195" s="7"/>
      <c r="AF195" s="7"/>
      <c r="AG195" s="7"/>
      <c r="AH195" s="7"/>
      <c r="AI195" s="7"/>
      <c r="AJ195" s="7"/>
      <c r="AK195" s="7"/>
      <c r="AL195" s="7"/>
      <c r="AM195" s="7"/>
      <c r="AN195" s="7"/>
    </row>
    <row r="196" spans="1:40">
      <c r="A196" t="s">
        <v>0</v>
      </c>
      <c r="B196" s="217" t="s">
        <v>446</v>
      </c>
      <c r="C196" s="115">
        <f>'CWDM and DWDM'!F12+'CWDM and DWDM'!F17+'CWDM and DWDM'!F20+'CWDM and DWDM'!F24+'CWDM and DWDM'!F25+'CWDM and DWDM'!F27+'CWDM and DWDM'!F28</f>
        <v>362394</v>
      </c>
      <c r="D196" s="115">
        <f>'CWDM and DWDM'!G12+'CWDM and DWDM'!G17+'CWDM and DWDM'!G20+'CWDM and DWDM'!G24+'CWDM and DWDM'!G25+'CWDM and DWDM'!G27+'CWDM and DWDM'!G28</f>
        <v>354772.4</v>
      </c>
      <c r="E196" s="115">
        <f>'CWDM and DWDM'!H12+'CWDM and DWDM'!H17+'CWDM and DWDM'!H20+'CWDM and DWDM'!H24+'CWDM and DWDM'!H25+'CWDM and DWDM'!H27+'CWDM and DWDM'!H28</f>
        <v>0</v>
      </c>
      <c r="F196" s="115">
        <f>'CWDM and DWDM'!I12+'CWDM and DWDM'!I17+'CWDM and DWDM'!I20+'CWDM and DWDM'!I24+'CWDM and DWDM'!I25+'CWDM and DWDM'!I27+'CWDM and DWDM'!I28</f>
        <v>0</v>
      </c>
      <c r="G196" s="115">
        <f>'CWDM and DWDM'!J12+'CWDM and DWDM'!J17+'CWDM and DWDM'!J20+'CWDM and DWDM'!J24+'CWDM and DWDM'!J25+'CWDM and DWDM'!J27+'CWDM and DWDM'!J28</f>
        <v>0</v>
      </c>
      <c r="H196" s="115">
        <f>'CWDM and DWDM'!K12+'CWDM and DWDM'!K17+'CWDM and DWDM'!K20+'CWDM and DWDM'!K24+'CWDM and DWDM'!K25+'CWDM and DWDM'!K27+'CWDM and DWDM'!K28</f>
        <v>0</v>
      </c>
      <c r="I196" s="115">
        <f>'CWDM and DWDM'!L12+'CWDM and DWDM'!L17+'CWDM and DWDM'!L20+'CWDM and DWDM'!L24+'CWDM and DWDM'!L25+'CWDM and DWDM'!L27+'CWDM and DWDM'!L28</f>
        <v>0</v>
      </c>
      <c r="J196" s="115">
        <f>'CWDM and DWDM'!M12+'CWDM and DWDM'!M17+'CWDM and DWDM'!M20+'CWDM and DWDM'!M24+'CWDM and DWDM'!M25+'CWDM and DWDM'!M27+'CWDM and DWDM'!M28</f>
        <v>0</v>
      </c>
      <c r="K196" s="115">
        <f>'CWDM and DWDM'!N12+'CWDM and DWDM'!N17+'CWDM and DWDM'!N20+'CWDM and DWDM'!N24+'CWDM and DWDM'!N25+'CWDM and DWDM'!N27+'CWDM and DWDM'!N28</f>
        <v>0</v>
      </c>
      <c r="L196" s="115">
        <f>'CWDM and DWDM'!O12+'CWDM and DWDM'!O17+'CWDM and DWDM'!O20+'CWDM and DWDM'!O24+'CWDM and DWDM'!O25+'CWDM and DWDM'!O27+'CWDM and DWDM'!O28</f>
        <v>0</v>
      </c>
      <c r="M196" s="115">
        <f>'CWDM and DWDM'!P12+'CWDM and DWDM'!P17+'CWDM and DWDM'!P20+'CWDM and DWDM'!P24+'CWDM and DWDM'!P25+'CWDM and DWDM'!P27+'CWDM and DWDM'!P28</f>
        <v>0</v>
      </c>
      <c r="N196" s="289" t="str">
        <f>'CWDM and DWDM'!E12</f>
        <v>On board</v>
      </c>
      <c r="O196" s="252">
        <f>'CWDM and DWDM'!F12</f>
        <v>271842</v>
      </c>
      <c r="P196" s="252">
        <f>'CWDM and DWDM'!G12</f>
        <v>220820.20000000004</v>
      </c>
      <c r="Q196" s="252">
        <f>'CWDM and DWDM'!H12</f>
        <v>0</v>
      </c>
      <c r="R196" s="252">
        <f>'CWDM and DWDM'!I12</f>
        <v>0</v>
      </c>
      <c r="S196" s="252">
        <f>'CWDM and DWDM'!J12</f>
        <v>0</v>
      </c>
      <c r="T196" s="252">
        <f>'CWDM and DWDM'!K12</f>
        <v>0</v>
      </c>
      <c r="U196" s="252">
        <f>'CWDM and DWDM'!L12</f>
        <v>0</v>
      </c>
      <c r="V196" s="252">
        <f>'CWDM and DWDM'!M12</f>
        <v>0</v>
      </c>
      <c r="W196" s="252">
        <f>'CWDM and DWDM'!N12</f>
        <v>0</v>
      </c>
      <c r="X196" s="252">
        <f>'CWDM and DWDM'!O12</f>
        <v>0</v>
      </c>
      <c r="Y196" s="252">
        <f>'CWDM and DWDM'!P12</f>
        <v>0</v>
      </c>
      <c r="Z196" s="140" t="e">
        <f>(Y196/S196)^(1/6)-1</f>
        <v>#DIV/0!</v>
      </c>
      <c r="AE196" s="116"/>
      <c r="AF196" s="116"/>
      <c r="AG196" s="116"/>
      <c r="AH196" s="116"/>
      <c r="AI196" s="116"/>
      <c r="AJ196" s="116"/>
      <c r="AK196" s="116"/>
      <c r="AL196" s="54"/>
      <c r="AM196" s="54"/>
      <c r="AN196" s="18"/>
    </row>
    <row r="197" spans="1:40">
      <c r="A197" t="s">
        <v>0</v>
      </c>
      <c r="B197" s="216" t="s">
        <v>447</v>
      </c>
      <c r="C197" s="23">
        <f>'CWDM and DWDM'!F14+'CWDM and DWDM'!F15+'CWDM and DWDM'!F16+'CWDM and DWDM'!F18+'CWDM and DWDM'!F19+'CWDM and DWDM'!F21+'CWDM and DWDM'!F22+'CWDM and DWDM'!F23+'CWDM and DWDM'!F26</f>
        <v>107106</v>
      </c>
      <c r="D197" s="23">
        <f>'CWDM and DWDM'!G14+'CWDM and DWDM'!G15+'CWDM and DWDM'!G16+'CWDM and DWDM'!G18+'CWDM and DWDM'!G19+'CWDM and DWDM'!G21+'CWDM and DWDM'!G22+'CWDM and DWDM'!G23+'CWDM and DWDM'!G26</f>
        <v>208309.60000000003</v>
      </c>
      <c r="E197" s="23">
        <f>'CWDM and DWDM'!H14+'CWDM and DWDM'!H15+'CWDM and DWDM'!H16+'CWDM and DWDM'!H18+'CWDM and DWDM'!H19+'CWDM and DWDM'!H21+'CWDM and DWDM'!H22+'CWDM and DWDM'!H23+'CWDM and DWDM'!H26</f>
        <v>0</v>
      </c>
      <c r="F197" s="23">
        <f>'CWDM and DWDM'!I14+'CWDM and DWDM'!I15+'CWDM and DWDM'!I16+'CWDM and DWDM'!I18+'CWDM and DWDM'!I19+'CWDM and DWDM'!I21+'CWDM and DWDM'!I22+'CWDM and DWDM'!I23+'CWDM and DWDM'!I26</f>
        <v>0</v>
      </c>
      <c r="G197" s="23">
        <f>'CWDM and DWDM'!J14+'CWDM and DWDM'!J15+'CWDM and DWDM'!J16+'CWDM and DWDM'!J18+'CWDM and DWDM'!J19+'CWDM and DWDM'!J21+'CWDM and DWDM'!J22+'CWDM and DWDM'!J23+'CWDM and DWDM'!J26</f>
        <v>0</v>
      </c>
      <c r="H197" s="23">
        <f>'CWDM and DWDM'!K14+'CWDM and DWDM'!K15+'CWDM and DWDM'!K16+'CWDM and DWDM'!K18+'CWDM and DWDM'!K19+'CWDM and DWDM'!K21+'CWDM and DWDM'!K22+'CWDM and DWDM'!K23+'CWDM and DWDM'!K26</f>
        <v>0</v>
      </c>
      <c r="I197" s="23">
        <f>'CWDM and DWDM'!L14+'CWDM and DWDM'!L15+'CWDM and DWDM'!L16+'CWDM and DWDM'!L18+'CWDM and DWDM'!L19+'CWDM and DWDM'!L21+'CWDM and DWDM'!L22+'CWDM and DWDM'!L23+'CWDM and DWDM'!L26</f>
        <v>0</v>
      </c>
      <c r="J197" s="23">
        <f>'CWDM and DWDM'!M14+'CWDM and DWDM'!M15+'CWDM and DWDM'!M16+'CWDM and DWDM'!M18+'CWDM and DWDM'!M19+'CWDM and DWDM'!M21+'CWDM and DWDM'!M22+'CWDM and DWDM'!M23+'CWDM and DWDM'!M26</f>
        <v>0</v>
      </c>
      <c r="K197" s="23">
        <f>'CWDM and DWDM'!N14+'CWDM and DWDM'!N15+'CWDM and DWDM'!N16+'CWDM and DWDM'!N18+'CWDM and DWDM'!N19+'CWDM and DWDM'!N21+'CWDM and DWDM'!N22+'CWDM and DWDM'!N23+'CWDM and DWDM'!N26</f>
        <v>0</v>
      </c>
      <c r="L197" s="23">
        <f>'CWDM and DWDM'!O14+'CWDM and DWDM'!O15+'CWDM and DWDM'!O16+'CWDM and DWDM'!O18+'CWDM and DWDM'!O19+'CWDM and DWDM'!O21+'CWDM and DWDM'!O22+'CWDM and DWDM'!O23+'CWDM and DWDM'!O26</f>
        <v>0</v>
      </c>
      <c r="M197" s="23">
        <f>'CWDM and DWDM'!P14+'CWDM and DWDM'!P15+'CWDM and DWDM'!P16+'CWDM and DWDM'!P18+'CWDM and DWDM'!P19+'CWDM and DWDM'!P21+'CWDM and DWDM'!P22+'CWDM and DWDM'!P23+'CWDM and DWDM'!P26</f>
        <v>0</v>
      </c>
      <c r="N197" s="290" t="str">
        <f>'CWDM and DWDM'!E13</f>
        <v>Direct detect</v>
      </c>
      <c r="O197" s="252">
        <f>'CWDM and DWDM'!F13</f>
        <v>27000</v>
      </c>
      <c r="P197" s="252">
        <f>'CWDM and DWDM'!G13</f>
        <v>38000</v>
      </c>
      <c r="Q197" s="252">
        <f>'CWDM and DWDM'!H13</f>
        <v>0</v>
      </c>
      <c r="R197" s="252">
        <f>'CWDM and DWDM'!I13</f>
        <v>0</v>
      </c>
      <c r="S197" s="252">
        <f>'CWDM and DWDM'!J13</f>
        <v>0</v>
      </c>
      <c r="T197" s="252">
        <f>'CWDM and DWDM'!K13</f>
        <v>0</v>
      </c>
      <c r="U197" s="252">
        <f>'CWDM and DWDM'!L13</f>
        <v>0</v>
      </c>
      <c r="V197" s="252">
        <f>'CWDM and DWDM'!M13</f>
        <v>0</v>
      </c>
      <c r="W197" s="252">
        <f>'CWDM and DWDM'!N13</f>
        <v>0</v>
      </c>
      <c r="X197" s="252">
        <f>'CWDM and DWDM'!O13</f>
        <v>0</v>
      </c>
      <c r="Y197" s="252">
        <f>'CWDM and DWDM'!P13</f>
        <v>0</v>
      </c>
      <c r="Z197" s="140"/>
      <c r="AE197" s="116"/>
      <c r="AF197" s="116"/>
      <c r="AG197" s="116"/>
      <c r="AH197" s="116"/>
      <c r="AI197" s="116"/>
      <c r="AJ197" s="116"/>
      <c r="AK197" s="116"/>
      <c r="AL197" s="54"/>
      <c r="AM197" s="54"/>
      <c r="AN197" s="18"/>
    </row>
    <row r="198" spans="1:40">
      <c r="B198" s="216"/>
      <c r="C198" s="23"/>
      <c r="D198" s="23"/>
      <c r="E198" s="23"/>
      <c r="F198" s="23"/>
      <c r="G198" s="23"/>
      <c r="H198" s="23"/>
      <c r="I198" s="23"/>
      <c r="J198" s="23"/>
      <c r="K198" s="23"/>
      <c r="L198" s="23"/>
      <c r="M198" s="23"/>
      <c r="N198" s="290" t="str">
        <f>'CWDM and DWDM'!E14</f>
        <v>CFP-DCO</v>
      </c>
      <c r="O198" s="252">
        <f>'CWDM and DWDM'!F14</f>
        <v>39955</v>
      </c>
      <c r="P198" s="252">
        <f>'CWDM and DWDM'!G14</f>
        <v>77155.600000000006</v>
      </c>
      <c r="Q198" s="252">
        <f>'CWDM and DWDM'!H14</f>
        <v>0</v>
      </c>
      <c r="R198" s="252">
        <f>'CWDM and DWDM'!I14</f>
        <v>0</v>
      </c>
      <c r="S198" s="252">
        <f>'CWDM and DWDM'!J14</f>
        <v>0</v>
      </c>
      <c r="T198" s="252">
        <f>'CWDM and DWDM'!K14</f>
        <v>0</v>
      </c>
      <c r="U198" s="252">
        <f>'CWDM and DWDM'!L14</f>
        <v>0</v>
      </c>
      <c r="V198" s="252">
        <f>'CWDM and DWDM'!M14</f>
        <v>0</v>
      </c>
      <c r="W198" s="252">
        <f>'CWDM and DWDM'!N14</f>
        <v>0</v>
      </c>
      <c r="X198" s="252">
        <f>'CWDM and DWDM'!O14</f>
        <v>0</v>
      </c>
      <c r="Y198" s="252">
        <f>'CWDM and DWDM'!P14</f>
        <v>0</v>
      </c>
      <c r="Z198" s="140" t="e">
        <f>(Y198/S198)^(1/6)-1</f>
        <v>#DIV/0!</v>
      </c>
      <c r="AE198" s="116"/>
      <c r="AF198" s="116"/>
      <c r="AG198" s="116"/>
      <c r="AH198" s="116"/>
      <c r="AI198" s="116"/>
      <c r="AJ198" s="116"/>
      <c r="AK198" s="116"/>
      <c r="AL198" s="54"/>
      <c r="AM198" s="54"/>
      <c r="AN198" s="18"/>
    </row>
    <row r="199" spans="1:40">
      <c r="A199" s="7" t="s">
        <v>449</v>
      </c>
      <c r="B199" s="217" t="s">
        <v>446</v>
      </c>
      <c r="C199" s="161">
        <f>'CWDM and DWDM'!F61+'CWDM and DWDM'!F66+'CWDM and DWDM'!F69+'CWDM and DWDM'!F73+'CWDM and DWDM'!F74+'CWDM and DWDM'!F76+'CWDM and DWDM'!F77</f>
        <v>2812.2807272727273</v>
      </c>
      <c r="D199" s="161">
        <f>'CWDM and DWDM'!G61+'CWDM and DWDM'!G66+'CWDM and DWDM'!G69+'CWDM and DWDM'!G73+'CWDM and DWDM'!G74+'CWDM and DWDM'!G76+'CWDM and DWDM'!G77</f>
        <v>2416.275767272728</v>
      </c>
      <c r="E199" s="161">
        <f>'CWDM and DWDM'!H61+'CWDM and DWDM'!H66+'CWDM and DWDM'!H69+'CWDM and DWDM'!H73+'CWDM and DWDM'!H74+'CWDM and DWDM'!H76+'CWDM and DWDM'!H77</f>
        <v>0</v>
      </c>
      <c r="F199" s="161">
        <f>'CWDM and DWDM'!I61+'CWDM and DWDM'!I66+'CWDM and DWDM'!I69+'CWDM and DWDM'!I73+'CWDM and DWDM'!I74+'CWDM and DWDM'!I76+'CWDM and DWDM'!I77</f>
        <v>0</v>
      </c>
      <c r="G199" s="161">
        <f>'CWDM and DWDM'!J61+'CWDM and DWDM'!J66+'CWDM and DWDM'!J69+'CWDM and DWDM'!J73+'CWDM and DWDM'!J74+'CWDM and DWDM'!J76+'CWDM and DWDM'!J77</f>
        <v>0</v>
      </c>
      <c r="H199" s="161">
        <f>'CWDM and DWDM'!K61+'CWDM and DWDM'!K66+'CWDM and DWDM'!K69+'CWDM and DWDM'!K73+'CWDM and DWDM'!K74+'CWDM and DWDM'!K76+'CWDM and DWDM'!K77</f>
        <v>0</v>
      </c>
      <c r="I199" s="161">
        <f>'CWDM and DWDM'!L61+'CWDM and DWDM'!L66+'CWDM and DWDM'!L69+'CWDM and DWDM'!L73+'CWDM and DWDM'!L74+'CWDM and DWDM'!L76+'CWDM and DWDM'!L77</f>
        <v>0</v>
      </c>
      <c r="J199" s="161">
        <f>'CWDM and DWDM'!M61+'CWDM and DWDM'!M66+'CWDM and DWDM'!M69+'CWDM and DWDM'!M73+'CWDM and DWDM'!M74+'CWDM and DWDM'!M76+'CWDM and DWDM'!M77</f>
        <v>0</v>
      </c>
      <c r="K199" s="161">
        <f>'CWDM and DWDM'!N61+'CWDM and DWDM'!N66+'CWDM and DWDM'!N69+'CWDM and DWDM'!N73+'CWDM and DWDM'!N74+'CWDM and DWDM'!N76+'CWDM and DWDM'!N77</f>
        <v>0</v>
      </c>
      <c r="L199" s="161">
        <f>'CWDM and DWDM'!O61+'CWDM and DWDM'!O66+'CWDM and DWDM'!O69+'CWDM and DWDM'!O73+'CWDM and DWDM'!O74+'CWDM and DWDM'!O76+'CWDM and DWDM'!O77</f>
        <v>0</v>
      </c>
      <c r="M199" s="161">
        <f>'CWDM and DWDM'!P61+'CWDM and DWDM'!P66+'CWDM and DWDM'!P69+'CWDM and DWDM'!P73+'CWDM and DWDM'!P74+'CWDM and DWDM'!P76+'CWDM and DWDM'!P77</f>
        <v>0</v>
      </c>
      <c r="N199" s="290" t="str">
        <f>'CWDM and DWDM'!E15</f>
        <v>100GbE ZR</v>
      </c>
      <c r="O199" s="252">
        <f>'CWDM and DWDM'!F15</f>
        <v>0</v>
      </c>
      <c r="P199" s="252">
        <f>'CWDM and DWDM'!G15</f>
        <v>0</v>
      </c>
      <c r="Q199" s="252">
        <f>'CWDM and DWDM'!H15</f>
        <v>0</v>
      </c>
      <c r="R199" s="252">
        <f>'CWDM and DWDM'!I15</f>
        <v>0</v>
      </c>
      <c r="S199" s="252">
        <f>'CWDM and DWDM'!J15</f>
        <v>0</v>
      </c>
      <c r="T199" s="252">
        <f>'CWDM and DWDM'!K15</f>
        <v>0</v>
      </c>
      <c r="U199" s="252">
        <f>'CWDM and DWDM'!L15</f>
        <v>0</v>
      </c>
      <c r="V199" s="252">
        <f>'CWDM and DWDM'!M15</f>
        <v>0</v>
      </c>
      <c r="W199" s="252">
        <f>'CWDM and DWDM'!N15</f>
        <v>0</v>
      </c>
      <c r="X199" s="252">
        <f>'CWDM and DWDM'!O15</f>
        <v>0</v>
      </c>
      <c r="Y199" s="252">
        <f>'CWDM and DWDM'!P15</f>
        <v>0</v>
      </c>
      <c r="Z199" s="140" t="e">
        <f>(Y199/S199)^(1/6)-1</f>
        <v>#DIV/0!</v>
      </c>
      <c r="AE199" s="116"/>
      <c r="AF199" s="116"/>
      <c r="AG199" s="116"/>
      <c r="AH199" s="116"/>
      <c r="AI199" s="116"/>
      <c r="AJ199" s="116"/>
      <c r="AK199" s="116"/>
      <c r="AL199" s="54"/>
      <c r="AM199" s="54"/>
      <c r="AN199" s="18"/>
    </row>
    <row r="200" spans="1:40">
      <c r="A200" s="7" t="s">
        <v>449</v>
      </c>
      <c r="B200" s="216" t="s">
        <v>447</v>
      </c>
      <c r="C200" s="24">
        <f>'CWDM and DWDM'!F63+'CWDM and DWDM'!F64+'CWDM and DWDM'!F65+'CWDM and DWDM'!F67+'CWDM and DWDM'!F68+'CWDM and DWDM'!F70+'CWDM and DWDM'!F71+'CWDM and DWDM'!F72+'CWDM and DWDM'!F75</f>
        <v>600.26881000000003</v>
      </c>
      <c r="D200" s="24">
        <f>'CWDM and DWDM'!G63+'CWDM and DWDM'!G64+'CWDM and DWDM'!G65+'CWDM and DWDM'!G67+'CWDM and DWDM'!G68+'CWDM and DWDM'!G70+'CWDM and DWDM'!G71+'CWDM and DWDM'!G72+'CWDM and DWDM'!G75</f>
        <v>943.43366000000015</v>
      </c>
      <c r="E200" s="24">
        <f>'CWDM and DWDM'!H63+'CWDM and DWDM'!H64+'CWDM and DWDM'!H65+'CWDM and DWDM'!H67+'CWDM and DWDM'!H68+'CWDM and DWDM'!H70+'CWDM and DWDM'!H71+'CWDM and DWDM'!H72+'CWDM and DWDM'!H75</f>
        <v>0</v>
      </c>
      <c r="F200" s="24">
        <f>'CWDM and DWDM'!I63+'CWDM and DWDM'!I64+'CWDM and DWDM'!I65+'CWDM and DWDM'!I67+'CWDM and DWDM'!I68+'CWDM and DWDM'!I70+'CWDM and DWDM'!I71+'CWDM and DWDM'!I72+'CWDM and DWDM'!I75</f>
        <v>0</v>
      </c>
      <c r="G200" s="24">
        <f>'CWDM and DWDM'!J63+'CWDM and DWDM'!J64+'CWDM and DWDM'!J65+'CWDM and DWDM'!J67+'CWDM and DWDM'!J68+'CWDM and DWDM'!J70+'CWDM and DWDM'!J71+'CWDM and DWDM'!J72+'CWDM and DWDM'!J75</f>
        <v>0</v>
      </c>
      <c r="H200" s="24">
        <f>'CWDM and DWDM'!K63+'CWDM and DWDM'!K64+'CWDM and DWDM'!K65+'CWDM and DWDM'!K67+'CWDM and DWDM'!K68+'CWDM and DWDM'!K70+'CWDM and DWDM'!K71+'CWDM and DWDM'!K72+'CWDM and DWDM'!K75</f>
        <v>0</v>
      </c>
      <c r="I200" s="24">
        <f>'CWDM and DWDM'!L63+'CWDM and DWDM'!L64+'CWDM and DWDM'!L65+'CWDM and DWDM'!L67+'CWDM and DWDM'!L68+'CWDM and DWDM'!L70+'CWDM and DWDM'!L71+'CWDM and DWDM'!L72+'CWDM and DWDM'!L75</f>
        <v>0</v>
      </c>
      <c r="J200" s="24">
        <f>'CWDM and DWDM'!M63+'CWDM and DWDM'!M64+'CWDM and DWDM'!M65+'CWDM and DWDM'!M67+'CWDM and DWDM'!M68+'CWDM and DWDM'!M70+'CWDM and DWDM'!M71+'CWDM and DWDM'!M72+'CWDM and DWDM'!M75</f>
        <v>0</v>
      </c>
      <c r="K200" s="24">
        <f>'CWDM and DWDM'!N63+'CWDM and DWDM'!N64+'CWDM and DWDM'!N65+'CWDM and DWDM'!N67+'CWDM and DWDM'!N68+'CWDM and DWDM'!N70+'CWDM and DWDM'!N71+'CWDM and DWDM'!N72+'CWDM and DWDM'!N75</f>
        <v>0</v>
      </c>
      <c r="L200" s="24">
        <f>'CWDM and DWDM'!O63+'CWDM and DWDM'!O64+'CWDM and DWDM'!O65+'CWDM and DWDM'!O67+'CWDM and DWDM'!O68+'CWDM and DWDM'!O70+'CWDM and DWDM'!O71+'CWDM and DWDM'!O72+'CWDM and DWDM'!O75</f>
        <v>0</v>
      </c>
      <c r="M200" s="24">
        <f>'CWDM and DWDM'!P63+'CWDM and DWDM'!P64+'CWDM and DWDM'!P65+'CWDM and DWDM'!P67+'CWDM and DWDM'!P68+'CWDM and DWDM'!P70+'CWDM and DWDM'!P71+'CWDM and DWDM'!P72+'CWDM and DWDM'!P75</f>
        <v>0</v>
      </c>
      <c r="N200" s="290" t="str">
        <f>'CWDM and DWDM'!E16</f>
        <v>CFP2-ACO</v>
      </c>
      <c r="O200" s="252">
        <f>'CWDM and DWDM'!F16</f>
        <v>18203</v>
      </c>
      <c r="P200" s="252">
        <f>'CWDM and DWDM'!G16</f>
        <v>9024.2000000000007</v>
      </c>
      <c r="Q200" s="252">
        <f>'CWDM and DWDM'!H16</f>
        <v>0</v>
      </c>
      <c r="R200" s="252">
        <f>'CWDM and DWDM'!I16</f>
        <v>0</v>
      </c>
      <c r="S200" s="252">
        <f>'CWDM and DWDM'!J16</f>
        <v>0</v>
      </c>
      <c r="T200" s="252">
        <f>'CWDM and DWDM'!K16</f>
        <v>0</v>
      </c>
      <c r="U200" s="252">
        <f>'CWDM and DWDM'!L16</f>
        <v>0</v>
      </c>
      <c r="V200" s="252">
        <f>'CWDM and DWDM'!M16</f>
        <v>0</v>
      </c>
      <c r="W200" s="252">
        <f>'CWDM and DWDM'!N16</f>
        <v>0</v>
      </c>
      <c r="X200" s="252">
        <f>'CWDM and DWDM'!O16</f>
        <v>0</v>
      </c>
      <c r="Y200" s="252">
        <f>'CWDM and DWDM'!P16</f>
        <v>0</v>
      </c>
      <c r="Z200" s="140" t="e">
        <f>(Y200/S200)^(1/6)-1</f>
        <v>#DIV/0!</v>
      </c>
      <c r="AE200" s="116"/>
      <c r="AF200" s="116"/>
      <c r="AG200" s="116"/>
      <c r="AH200" s="116"/>
      <c r="AI200" s="116"/>
      <c r="AJ200" s="116"/>
      <c r="AK200" s="116"/>
      <c r="AL200" s="54"/>
      <c r="AM200" s="54"/>
      <c r="AN200" s="18"/>
    </row>
    <row r="201" spans="1:40">
      <c r="A201" s="7"/>
      <c r="B201" s="218"/>
      <c r="C201" s="27"/>
      <c r="D201" s="27"/>
      <c r="E201" s="27"/>
      <c r="F201" s="27"/>
      <c r="G201" s="27"/>
      <c r="H201" s="27"/>
      <c r="I201" s="27"/>
      <c r="J201" s="27"/>
      <c r="K201" s="27"/>
      <c r="L201" s="27"/>
      <c r="M201" s="27"/>
      <c r="N201" s="475" t="s">
        <v>93</v>
      </c>
      <c r="O201" s="393">
        <f t="shared" ref="O201:S201" si="21">SUM(O196:O200)</f>
        <v>357000</v>
      </c>
      <c r="P201" s="393">
        <f t="shared" si="21"/>
        <v>345000.00000000006</v>
      </c>
      <c r="Q201" s="393">
        <f t="shared" si="21"/>
        <v>0</v>
      </c>
      <c r="R201" s="393">
        <f t="shared" si="21"/>
        <v>0</v>
      </c>
      <c r="S201" s="393">
        <f t="shared" si="21"/>
        <v>0</v>
      </c>
      <c r="T201" s="393">
        <f>SUM(T196:T200)</f>
        <v>0</v>
      </c>
      <c r="U201" s="393">
        <f>SUM(U196:U200)</f>
        <v>0</v>
      </c>
      <c r="V201" s="393">
        <f>SUM(V196:V200)</f>
        <v>0</v>
      </c>
      <c r="W201" s="393">
        <f t="shared" ref="W201:Y201" si="22">SUM(W196:W200)</f>
        <v>0</v>
      </c>
      <c r="X201" s="393">
        <f t="shared" si="22"/>
        <v>0</v>
      </c>
      <c r="Y201" s="393">
        <f t="shared" si="22"/>
        <v>0</v>
      </c>
      <c r="Z201" s="144" t="e">
        <f>(Y201/S201)^(1/6)-1</f>
        <v>#DIV/0!</v>
      </c>
      <c r="AE201" s="116"/>
      <c r="AF201" s="116"/>
      <c r="AG201" s="116"/>
      <c r="AH201" s="116"/>
      <c r="AI201" s="116"/>
      <c r="AJ201" s="116"/>
      <c r="AK201" s="116"/>
      <c r="AL201" s="54"/>
      <c r="AM201" s="54"/>
      <c r="AN201" s="18"/>
    </row>
    <row r="202" spans="1:40" ht="17.399999999999999">
      <c r="A202" s="70"/>
      <c r="B202" s="50"/>
      <c r="C202" s="53"/>
      <c r="D202" s="53"/>
      <c r="E202" s="53"/>
      <c r="F202" s="53"/>
      <c r="G202" s="53"/>
      <c r="H202" s="53"/>
      <c r="I202" s="53"/>
      <c r="J202" s="16"/>
      <c r="K202" s="16"/>
      <c r="L202" s="16"/>
      <c r="M202" s="16"/>
      <c r="N202" s="16"/>
      <c r="O202" s="16"/>
      <c r="P202" s="16"/>
      <c r="Q202" s="16"/>
      <c r="R202" s="16"/>
      <c r="S202" s="16"/>
      <c r="T202" s="16"/>
      <c r="U202" s="16"/>
      <c r="V202" s="16"/>
      <c r="W202" s="16"/>
      <c r="X202" s="16"/>
      <c r="Y202" s="16"/>
      <c r="Z202" s="16"/>
      <c r="AA202" s="138"/>
    </row>
    <row r="203" spans="1:40" ht="15.6">
      <c r="B203" s="77" t="s">
        <v>294</v>
      </c>
      <c r="C203" s="16"/>
      <c r="D203" s="16"/>
      <c r="E203" s="138"/>
      <c r="F203" s="138"/>
      <c r="N203" s="78" t="s">
        <v>388</v>
      </c>
      <c r="P203" s="16"/>
      <c r="Q203" s="138"/>
      <c r="R203" s="138"/>
      <c r="S203" s="138"/>
      <c r="T203" s="77" t="s">
        <v>396</v>
      </c>
      <c r="V203" s="138"/>
      <c r="W203" s="138"/>
      <c r="X203" s="138"/>
      <c r="Y203" s="138"/>
      <c r="AA203" s="138"/>
    </row>
    <row r="204" spans="1:40">
      <c r="B204" s="16"/>
      <c r="C204" s="16"/>
      <c r="D204" s="16"/>
      <c r="E204" s="138"/>
      <c r="F204" s="138"/>
      <c r="G204" s="138"/>
      <c r="N204" s="16"/>
      <c r="O204" s="16"/>
      <c r="P204" s="16"/>
      <c r="Q204" s="138"/>
      <c r="R204" s="138"/>
      <c r="S204" s="138"/>
      <c r="T204" s="138"/>
      <c r="U204" s="138"/>
      <c r="V204" s="138"/>
      <c r="W204" s="138"/>
      <c r="X204" s="138"/>
      <c r="Y204" s="138"/>
      <c r="AA204" s="138"/>
    </row>
    <row r="205" spans="1:40">
      <c r="B205" s="16"/>
      <c r="C205" s="16"/>
      <c r="D205" s="16"/>
      <c r="E205" s="138"/>
      <c r="F205" s="138"/>
      <c r="G205" s="138"/>
      <c r="N205" s="16"/>
      <c r="O205" s="16"/>
      <c r="P205" s="16"/>
      <c r="Q205" s="138"/>
      <c r="R205" s="138"/>
      <c r="S205" s="138"/>
      <c r="T205" s="138"/>
      <c r="U205" s="138"/>
      <c r="V205" s="138"/>
      <c r="W205" s="138"/>
      <c r="X205" s="138"/>
      <c r="Y205" s="138"/>
      <c r="AA205" s="138"/>
    </row>
    <row r="206" spans="1:40">
      <c r="B206" s="16"/>
      <c r="C206" s="16"/>
      <c r="D206" s="16"/>
      <c r="E206" s="138"/>
      <c r="F206" s="138"/>
      <c r="G206" s="138"/>
      <c r="N206" s="16"/>
      <c r="O206" s="16"/>
      <c r="P206" s="16"/>
      <c r="Q206" s="138"/>
      <c r="R206" s="138"/>
      <c r="S206" s="138"/>
      <c r="T206" s="138"/>
      <c r="U206" s="138"/>
      <c r="V206" s="138"/>
      <c r="W206" s="138"/>
      <c r="X206" s="138"/>
      <c r="Y206" s="138"/>
      <c r="AA206" s="138"/>
    </row>
    <row r="207" spans="1:40">
      <c r="B207" s="16"/>
      <c r="C207" s="16"/>
      <c r="D207" s="16"/>
      <c r="E207" s="138"/>
      <c r="F207" s="138"/>
      <c r="G207" s="138"/>
      <c r="N207" s="16"/>
      <c r="O207" s="16"/>
      <c r="P207" s="16"/>
      <c r="Q207" s="138"/>
      <c r="R207" s="138"/>
      <c r="S207" s="138"/>
      <c r="T207" s="138"/>
      <c r="U207" s="138"/>
      <c r="V207" s="138"/>
      <c r="W207" s="138"/>
      <c r="X207" s="138"/>
      <c r="Y207" s="138"/>
      <c r="AA207" s="138"/>
    </row>
    <row r="208" spans="1:40">
      <c r="B208" s="16"/>
      <c r="C208" s="16"/>
      <c r="D208" s="16"/>
      <c r="E208" s="138"/>
      <c r="F208" s="138"/>
      <c r="G208" s="138"/>
      <c r="N208" s="16"/>
      <c r="O208" s="16"/>
      <c r="P208" s="16"/>
      <c r="Q208" s="138"/>
      <c r="R208" s="138"/>
      <c r="S208" s="138"/>
      <c r="T208" s="138"/>
      <c r="U208" s="138"/>
      <c r="V208" s="138"/>
      <c r="W208" s="138"/>
      <c r="X208" s="138"/>
      <c r="Y208" s="138"/>
      <c r="AA208" s="138"/>
    </row>
    <row r="209" spans="2:40">
      <c r="B209" s="16"/>
      <c r="C209" s="16"/>
      <c r="D209" s="16"/>
      <c r="E209" s="138"/>
      <c r="F209" s="138"/>
      <c r="G209" s="138"/>
      <c r="N209" s="16"/>
      <c r="O209" s="16"/>
      <c r="P209" s="16"/>
      <c r="Q209" s="138"/>
      <c r="R209" s="138"/>
      <c r="S209" s="138"/>
      <c r="T209" s="138"/>
      <c r="U209" s="138"/>
      <c r="V209" s="138"/>
      <c r="W209" s="138"/>
      <c r="X209" s="138"/>
      <c r="Y209" s="138"/>
      <c r="AA209" s="138"/>
    </row>
    <row r="210" spans="2:40">
      <c r="B210" s="16"/>
      <c r="C210" s="16"/>
      <c r="D210" s="16"/>
      <c r="E210" s="138"/>
      <c r="F210" s="138"/>
      <c r="G210" s="138"/>
      <c r="N210" s="16"/>
      <c r="O210" s="16"/>
      <c r="P210" s="16"/>
      <c r="Q210" s="138"/>
      <c r="R210" s="138"/>
      <c r="S210" s="138"/>
      <c r="T210" s="138"/>
      <c r="U210" s="138"/>
      <c r="V210" s="138"/>
      <c r="W210" s="138"/>
      <c r="X210" s="138"/>
      <c r="Y210" s="138"/>
      <c r="AA210" s="138"/>
    </row>
    <row r="211" spans="2:40">
      <c r="B211" s="16"/>
      <c r="C211" s="16"/>
      <c r="D211" s="16"/>
      <c r="E211" s="138"/>
      <c r="F211" s="138"/>
      <c r="G211" s="138"/>
      <c r="N211" s="16"/>
      <c r="O211" s="16"/>
      <c r="P211" s="16"/>
      <c r="Q211" s="138"/>
      <c r="R211" s="138"/>
      <c r="S211" s="138"/>
      <c r="T211" s="138"/>
      <c r="U211" s="138"/>
      <c r="V211" s="138"/>
      <c r="W211" s="138"/>
      <c r="X211" s="138"/>
      <c r="Y211" s="138"/>
      <c r="AA211" s="138"/>
    </row>
    <row r="212" spans="2:40">
      <c r="B212" s="16"/>
      <c r="C212" s="16"/>
      <c r="D212" s="16"/>
      <c r="E212" s="138"/>
      <c r="F212" s="138"/>
      <c r="G212" s="138"/>
      <c r="N212" s="16"/>
      <c r="O212" s="16"/>
      <c r="P212" s="16"/>
      <c r="Q212" s="138"/>
      <c r="R212" s="138"/>
      <c r="S212" s="138"/>
      <c r="T212" s="138"/>
      <c r="U212" s="138"/>
      <c r="V212" s="138"/>
      <c r="W212" s="138"/>
      <c r="X212" s="138"/>
      <c r="Y212" s="138"/>
      <c r="AA212" s="138"/>
    </row>
    <row r="213" spans="2:40">
      <c r="B213" s="16"/>
      <c r="C213" s="16"/>
      <c r="D213" s="16"/>
      <c r="E213" s="138"/>
      <c r="F213" s="138"/>
      <c r="G213" s="138"/>
      <c r="N213" s="16"/>
      <c r="O213" s="16"/>
      <c r="P213" s="16"/>
      <c r="Q213" s="138"/>
      <c r="R213" s="138"/>
      <c r="S213" s="138"/>
      <c r="T213" s="138"/>
      <c r="U213" s="138"/>
      <c r="V213" s="138"/>
      <c r="W213" s="138"/>
      <c r="X213" s="138"/>
      <c r="Y213" s="138"/>
      <c r="AA213" s="138"/>
    </row>
    <row r="214" spans="2:40">
      <c r="B214" s="16"/>
      <c r="C214" s="16"/>
      <c r="D214" s="16"/>
      <c r="E214" s="138"/>
      <c r="F214" s="138"/>
      <c r="G214" s="138"/>
      <c r="N214" s="16"/>
      <c r="O214" s="16"/>
      <c r="P214" s="16"/>
      <c r="Q214" s="138"/>
      <c r="R214" s="138"/>
      <c r="S214" s="138"/>
      <c r="T214" s="138"/>
      <c r="U214" s="138"/>
      <c r="V214" s="138"/>
      <c r="W214" s="138"/>
      <c r="X214" s="138"/>
      <c r="Y214" s="138"/>
      <c r="AA214" s="138"/>
    </row>
    <row r="215" spans="2:40">
      <c r="B215" s="16"/>
      <c r="C215" s="16"/>
      <c r="D215" s="16"/>
      <c r="E215" s="138"/>
      <c r="F215" s="138"/>
      <c r="G215" s="138"/>
      <c r="N215" s="16"/>
      <c r="O215" s="16"/>
      <c r="P215" s="16"/>
      <c r="Q215" s="138"/>
      <c r="R215" s="138"/>
      <c r="S215" s="138"/>
      <c r="T215" s="138"/>
      <c r="U215" s="138"/>
      <c r="V215" s="138"/>
      <c r="W215" s="138"/>
      <c r="X215" s="138"/>
      <c r="Y215" s="138"/>
      <c r="AA215" s="138"/>
    </row>
    <row r="216" spans="2:40">
      <c r="B216" s="16"/>
      <c r="C216" s="16"/>
      <c r="D216" s="16"/>
      <c r="E216" s="138"/>
      <c r="F216" s="138"/>
      <c r="G216" s="138"/>
      <c r="N216" s="16"/>
      <c r="O216" s="16"/>
      <c r="P216" s="16"/>
      <c r="Q216" s="138"/>
      <c r="R216" s="138"/>
      <c r="S216" s="138"/>
      <c r="T216" s="138"/>
      <c r="U216" s="138"/>
      <c r="V216" s="138"/>
      <c r="W216" s="138"/>
      <c r="X216" s="138"/>
      <c r="Y216" s="138"/>
      <c r="AA216" s="138"/>
    </row>
    <row r="217" spans="2:40">
      <c r="B217" s="16"/>
      <c r="C217" s="16"/>
      <c r="D217" s="16"/>
      <c r="E217" s="138"/>
      <c r="F217" s="138"/>
      <c r="G217" s="138"/>
      <c r="N217" s="16"/>
      <c r="O217" s="16"/>
      <c r="P217" s="16"/>
      <c r="Q217" s="138"/>
      <c r="R217" s="138"/>
      <c r="S217" s="138"/>
      <c r="T217" s="138"/>
      <c r="U217" s="138"/>
      <c r="V217" s="138"/>
      <c r="W217" s="138"/>
      <c r="X217" s="138"/>
      <c r="Y217" s="138"/>
      <c r="AA217" s="138"/>
    </row>
    <row r="218" spans="2:40">
      <c r="B218" s="16"/>
      <c r="C218" s="16"/>
      <c r="D218" s="16"/>
      <c r="E218" s="138"/>
      <c r="F218" s="138"/>
      <c r="G218" s="138"/>
      <c r="N218" s="16"/>
      <c r="O218" s="16"/>
      <c r="P218" s="16"/>
      <c r="Q218" s="138"/>
      <c r="R218" s="138"/>
      <c r="S218" s="138"/>
      <c r="T218" s="138"/>
      <c r="U218" s="138"/>
      <c r="V218" s="138"/>
      <c r="W218" s="138"/>
      <c r="X218" s="138"/>
      <c r="Y218" s="138"/>
      <c r="AA218" s="138"/>
    </row>
    <row r="219" spans="2:40">
      <c r="B219" s="16"/>
      <c r="C219" s="16"/>
      <c r="D219" s="16"/>
      <c r="E219" s="138"/>
      <c r="F219" s="138"/>
      <c r="G219" s="138"/>
      <c r="N219" s="16"/>
      <c r="O219" s="16"/>
      <c r="P219" s="16"/>
      <c r="Q219" s="138"/>
      <c r="R219" s="138"/>
      <c r="S219" s="138"/>
      <c r="T219" s="138"/>
      <c r="U219" s="138"/>
      <c r="V219" s="138"/>
      <c r="W219" s="138"/>
      <c r="X219" s="138"/>
      <c r="Y219" s="138"/>
      <c r="AA219" s="138"/>
    </row>
    <row r="220" spans="2:40">
      <c r="B220" s="16"/>
      <c r="C220" s="16"/>
      <c r="D220" s="16"/>
      <c r="E220" s="138"/>
      <c r="F220" s="138"/>
      <c r="G220" s="138"/>
      <c r="N220" s="16"/>
      <c r="O220" s="16"/>
      <c r="P220" s="16"/>
      <c r="Q220" s="138"/>
      <c r="R220" s="138"/>
      <c r="S220" s="138"/>
      <c r="T220" s="138"/>
      <c r="U220" s="138"/>
      <c r="V220" s="138"/>
      <c r="W220" s="138"/>
      <c r="X220" s="138"/>
      <c r="Y220" s="138"/>
      <c r="AA220" s="138"/>
    </row>
    <row r="221" spans="2:40">
      <c r="B221" s="16"/>
      <c r="C221" s="16"/>
      <c r="D221" s="16"/>
      <c r="E221" s="138"/>
      <c r="F221" s="138"/>
      <c r="G221" s="138"/>
      <c r="N221" s="16"/>
      <c r="O221" s="16"/>
      <c r="P221" s="16"/>
      <c r="Q221" s="138"/>
      <c r="R221" s="138"/>
      <c r="S221" s="138"/>
      <c r="T221" s="138"/>
      <c r="U221" s="138"/>
      <c r="V221" s="138"/>
      <c r="W221" s="138"/>
      <c r="X221" s="138"/>
      <c r="Y221" s="138"/>
      <c r="AA221" s="138"/>
    </row>
    <row r="222" spans="2:40">
      <c r="B222" s="16"/>
      <c r="C222" s="16"/>
      <c r="D222" s="16"/>
      <c r="E222" s="138"/>
      <c r="F222" s="138"/>
      <c r="G222" s="138"/>
      <c r="N222" s="16"/>
      <c r="O222" s="16"/>
      <c r="P222" s="16"/>
      <c r="Q222" s="138"/>
      <c r="R222" s="138"/>
      <c r="S222" s="138"/>
      <c r="T222" s="138"/>
      <c r="U222" s="138"/>
      <c r="V222" s="138"/>
      <c r="W222" s="138"/>
      <c r="X222" s="138"/>
      <c r="Y222" s="138"/>
      <c r="AA222" s="138"/>
    </row>
    <row r="223" spans="2:40" ht="15.6">
      <c r="B223" s="77" t="s">
        <v>287</v>
      </c>
      <c r="C223" s="16"/>
      <c r="D223" s="138"/>
      <c r="N223" s="77" t="s">
        <v>399</v>
      </c>
      <c r="O223" s="16"/>
      <c r="P223" s="138"/>
      <c r="Z223" s="118" t="s">
        <v>2</v>
      </c>
    </row>
    <row r="224" spans="2:40">
      <c r="B224" s="158" t="s">
        <v>94</v>
      </c>
      <c r="C224" s="103">
        <v>2018</v>
      </c>
      <c r="D224" s="103">
        <v>2019</v>
      </c>
      <c r="E224" s="103">
        <v>2020</v>
      </c>
      <c r="F224" s="103">
        <v>2021</v>
      </c>
      <c r="G224" s="103">
        <v>2022</v>
      </c>
      <c r="H224" s="103">
        <v>2023</v>
      </c>
      <c r="I224" s="103">
        <v>2024</v>
      </c>
      <c r="J224" s="103">
        <v>2025</v>
      </c>
      <c r="K224" s="103">
        <v>2026</v>
      </c>
      <c r="L224" s="103">
        <v>2027</v>
      </c>
      <c r="M224" s="103">
        <v>2028</v>
      </c>
      <c r="N224" s="158" t="s">
        <v>94</v>
      </c>
      <c r="O224" s="103">
        <v>2018</v>
      </c>
      <c r="P224" s="103">
        <v>2019</v>
      </c>
      <c r="Q224" s="103">
        <v>2020</v>
      </c>
      <c r="R224" s="103">
        <v>2021</v>
      </c>
      <c r="S224" s="103">
        <v>2022</v>
      </c>
      <c r="T224" s="103">
        <v>2023</v>
      </c>
      <c r="U224" s="103">
        <v>2024</v>
      </c>
      <c r="V224" s="103">
        <v>2025</v>
      </c>
      <c r="W224" s="103">
        <v>2026</v>
      </c>
      <c r="X224" s="103">
        <v>2027</v>
      </c>
      <c r="Y224" s="103">
        <v>2028</v>
      </c>
      <c r="Z224" s="103" t="str">
        <f>$Z$139</f>
        <v>2022-2028</v>
      </c>
      <c r="AE224" s="7"/>
      <c r="AF224" s="7"/>
      <c r="AG224" s="7"/>
      <c r="AH224" s="7"/>
      <c r="AI224" s="7"/>
      <c r="AJ224" s="7"/>
      <c r="AK224" s="7"/>
      <c r="AL224" s="7"/>
      <c r="AM224" s="7"/>
      <c r="AN224" s="7"/>
    </row>
    <row r="225" spans="1:40">
      <c r="B225" s="290" t="str">
        <f>'CWDM and DWDM'!E18</f>
        <v>CFP2-DCO</v>
      </c>
      <c r="C225" s="252">
        <f>'CWDM and DWDM'!F18</f>
        <v>30745.000000000004</v>
      </c>
      <c r="D225" s="252">
        <f>'CWDM and DWDM'!G18</f>
        <v>85733.000000000015</v>
      </c>
      <c r="E225" s="252">
        <f>'CWDM and DWDM'!H18</f>
        <v>0</v>
      </c>
      <c r="F225" s="252">
        <f>'CWDM and DWDM'!I18</f>
        <v>0</v>
      </c>
      <c r="G225" s="252">
        <f>'CWDM and DWDM'!J18</f>
        <v>0</v>
      </c>
      <c r="H225" s="252">
        <f>'CWDM and DWDM'!K18</f>
        <v>0</v>
      </c>
      <c r="I225" s="252">
        <f>'CWDM and DWDM'!L18</f>
        <v>0</v>
      </c>
      <c r="J225" s="252">
        <f>'CWDM and DWDM'!M18</f>
        <v>0</v>
      </c>
      <c r="K225" s="252">
        <f>'CWDM and DWDM'!N18</f>
        <v>0</v>
      </c>
      <c r="L225" s="252">
        <f>'CWDM and DWDM'!O18</f>
        <v>0</v>
      </c>
      <c r="M225" s="252">
        <f>'CWDM and DWDM'!P18</f>
        <v>0</v>
      </c>
      <c r="N225" s="290" t="str">
        <f>'CWDM and DWDM'!E21</f>
        <v>400ZR</v>
      </c>
      <c r="O225" s="252"/>
      <c r="P225" s="252"/>
      <c r="Q225" s="252"/>
      <c r="R225" s="252"/>
      <c r="S225" s="252"/>
      <c r="T225" s="252"/>
      <c r="U225" s="252"/>
      <c r="V225" s="252"/>
      <c r="W225" s="252"/>
      <c r="X225" s="252"/>
      <c r="Y225" s="252"/>
      <c r="Z225" s="437"/>
      <c r="AE225" s="116"/>
      <c r="AF225" s="116"/>
      <c r="AG225" s="116"/>
      <c r="AH225" s="116"/>
      <c r="AI225" s="116"/>
      <c r="AJ225" s="116"/>
      <c r="AK225" s="116"/>
      <c r="AL225" s="54"/>
      <c r="AM225" s="54"/>
      <c r="AN225" s="18"/>
    </row>
    <row r="226" spans="1:40">
      <c r="B226" s="290" t="str">
        <f>'CWDM and DWDM'!E19</f>
        <v>CFP2-ACO</v>
      </c>
      <c r="C226" s="252">
        <f>'CWDM and DWDM'!F19</f>
        <v>18203</v>
      </c>
      <c r="D226" s="252">
        <f>'CWDM and DWDM'!G19</f>
        <v>36096.800000000003</v>
      </c>
      <c r="E226" s="252">
        <f>'CWDM and DWDM'!H19</f>
        <v>0</v>
      </c>
      <c r="F226" s="252">
        <f>'CWDM and DWDM'!I19</f>
        <v>0</v>
      </c>
      <c r="G226" s="252">
        <f>'CWDM and DWDM'!J19</f>
        <v>0</v>
      </c>
      <c r="H226" s="252">
        <f>'CWDM and DWDM'!K19</f>
        <v>0</v>
      </c>
      <c r="I226" s="252">
        <f>'CWDM and DWDM'!L19</f>
        <v>0</v>
      </c>
      <c r="J226" s="252">
        <f>'CWDM and DWDM'!M19</f>
        <v>0</v>
      </c>
      <c r="K226" s="252">
        <f>'CWDM and DWDM'!N19</f>
        <v>0</v>
      </c>
      <c r="L226" s="252">
        <f>'CWDM and DWDM'!O19</f>
        <v>0</v>
      </c>
      <c r="M226" s="252">
        <f>'CWDM and DWDM'!P19</f>
        <v>0</v>
      </c>
      <c r="N226" s="290" t="str">
        <f>'CWDM and DWDM'!E22</f>
        <v>400ZR+   OSPF/QSFP-DD</v>
      </c>
      <c r="O226" s="252"/>
      <c r="P226" s="252"/>
      <c r="Q226" s="252"/>
      <c r="R226" s="252"/>
      <c r="S226" s="252"/>
      <c r="T226" s="252"/>
      <c r="U226" s="252"/>
      <c r="V226" s="252"/>
      <c r="W226" s="252"/>
      <c r="X226" s="252"/>
      <c r="Y226" s="252"/>
      <c r="Z226" s="438"/>
      <c r="AE226" s="116"/>
      <c r="AF226" s="116"/>
      <c r="AG226" s="116"/>
      <c r="AH226" s="116"/>
      <c r="AI226" s="116"/>
      <c r="AJ226" s="116"/>
      <c r="AK226" s="116"/>
      <c r="AL226" s="54"/>
      <c r="AM226" s="54"/>
      <c r="AN226" s="18"/>
    </row>
    <row r="227" spans="1:40">
      <c r="B227" s="195" t="s">
        <v>93</v>
      </c>
      <c r="C227" s="112">
        <f t="shared" ref="C227:J227" si="23">SUM(C225:C226)</f>
        <v>48948</v>
      </c>
      <c r="D227" s="112">
        <f t="shared" si="23"/>
        <v>121829.80000000002</v>
      </c>
      <c r="E227" s="112">
        <f t="shared" si="23"/>
        <v>0</v>
      </c>
      <c r="F227" s="112">
        <f t="shared" si="23"/>
        <v>0</v>
      </c>
      <c r="G227" s="112">
        <f t="shared" si="23"/>
        <v>0</v>
      </c>
      <c r="H227" s="112">
        <f t="shared" si="23"/>
        <v>0</v>
      </c>
      <c r="I227" s="112">
        <f t="shared" si="23"/>
        <v>0</v>
      </c>
      <c r="J227" s="112">
        <f t="shared" si="23"/>
        <v>0</v>
      </c>
      <c r="K227" s="112">
        <f t="shared" ref="K227:M227" si="24">SUM(K225:K226)</f>
        <v>0</v>
      </c>
      <c r="L227" s="112">
        <f t="shared" si="24"/>
        <v>0</v>
      </c>
      <c r="M227" s="112">
        <f t="shared" si="24"/>
        <v>0</v>
      </c>
      <c r="N227" s="290" t="s">
        <v>405</v>
      </c>
      <c r="O227" s="252"/>
      <c r="P227" s="252"/>
      <c r="Q227" s="252"/>
      <c r="R227" s="252"/>
      <c r="S227" s="252"/>
      <c r="T227" s="252"/>
      <c r="U227" s="252"/>
      <c r="V227" s="252"/>
      <c r="W227" s="252"/>
      <c r="X227" s="252"/>
      <c r="Y227" s="252"/>
      <c r="Z227" s="438"/>
      <c r="AE227" s="116"/>
      <c r="AF227" s="116"/>
      <c r="AG227" s="116"/>
      <c r="AH227" s="116"/>
      <c r="AI227" s="116"/>
      <c r="AJ227" s="116"/>
      <c r="AK227" s="116"/>
      <c r="AL227" s="54"/>
      <c r="AM227" s="54"/>
      <c r="AN227" s="18"/>
    </row>
    <row r="228" spans="1:40">
      <c r="N228" s="493" t="s">
        <v>395</v>
      </c>
      <c r="O228" s="494"/>
      <c r="P228" s="494"/>
      <c r="Q228" s="494"/>
      <c r="R228" s="494"/>
      <c r="S228" s="494"/>
      <c r="T228" s="494"/>
      <c r="U228" s="494"/>
      <c r="V228" s="494"/>
      <c r="W228" s="494"/>
      <c r="X228" s="494"/>
      <c r="Y228" s="494"/>
      <c r="Z228" s="439"/>
      <c r="AE228" s="116"/>
      <c r="AF228" s="116"/>
      <c r="AG228" s="116"/>
      <c r="AH228" s="116"/>
      <c r="AI228" s="116"/>
      <c r="AJ228" s="116"/>
      <c r="AK228" s="116"/>
      <c r="AL228" s="54"/>
      <c r="AM228" s="54"/>
      <c r="AN228" s="18"/>
    </row>
    <row r="229" spans="1:40">
      <c r="N229" s="195" t="s">
        <v>406</v>
      </c>
      <c r="O229" s="112"/>
      <c r="P229" s="112"/>
      <c r="Q229" s="112"/>
      <c r="R229" s="112"/>
      <c r="S229" s="112"/>
      <c r="T229" s="112"/>
      <c r="U229" s="112"/>
      <c r="V229" s="112"/>
      <c r="W229" s="112"/>
      <c r="X229" s="112"/>
      <c r="Y229" s="112"/>
      <c r="Z229" s="306"/>
      <c r="AE229" s="116"/>
      <c r="AF229" s="116"/>
      <c r="AG229" s="116"/>
      <c r="AH229" s="116"/>
      <c r="AI229" s="116"/>
      <c r="AJ229" s="116"/>
      <c r="AK229" s="116"/>
      <c r="AL229" s="54"/>
      <c r="AM229" s="54"/>
      <c r="AN229" s="18"/>
    </row>
    <row r="230" spans="1:40">
      <c r="N230" s="289" t="s">
        <v>400</v>
      </c>
      <c r="O230" s="161"/>
      <c r="P230" s="161"/>
      <c r="Q230" s="161"/>
      <c r="R230" s="161"/>
      <c r="S230" s="161"/>
      <c r="T230" s="161"/>
      <c r="U230" s="161"/>
      <c r="V230" s="161"/>
      <c r="W230" s="161"/>
      <c r="X230" s="161"/>
      <c r="Y230" s="161"/>
      <c r="Z230" s="46"/>
      <c r="AE230" s="116"/>
      <c r="AF230" s="116"/>
      <c r="AG230" s="116"/>
      <c r="AH230" s="116"/>
      <c r="AI230" s="116"/>
      <c r="AJ230" s="116"/>
      <c r="AK230" s="116"/>
      <c r="AL230" s="54"/>
      <c r="AM230" s="54"/>
      <c r="AN230" s="18"/>
    </row>
    <row r="231" spans="1:40">
      <c r="N231" s="290" t="s">
        <v>401</v>
      </c>
      <c r="O231" s="24"/>
      <c r="P231" s="24"/>
      <c r="Q231" s="24"/>
      <c r="R231" s="24"/>
      <c r="S231" s="24"/>
      <c r="T231" s="24"/>
      <c r="U231" s="24"/>
      <c r="V231" s="24"/>
      <c r="W231" s="24"/>
      <c r="X231" s="24"/>
      <c r="Y231" s="24"/>
      <c r="Z231" s="46"/>
      <c r="AE231" s="116"/>
      <c r="AF231" s="116"/>
      <c r="AG231" s="116"/>
      <c r="AH231" s="116"/>
      <c r="AI231" s="116"/>
      <c r="AJ231" s="116"/>
      <c r="AK231" s="116"/>
      <c r="AL231" s="54"/>
      <c r="AM231" s="54"/>
      <c r="AN231" s="18"/>
    </row>
    <row r="232" spans="1:40">
      <c r="N232" s="290" t="s">
        <v>402</v>
      </c>
      <c r="O232" s="24"/>
      <c r="P232" s="24"/>
      <c r="Q232" s="24"/>
      <c r="R232" s="24"/>
      <c r="S232" s="24"/>
      <c r="T232" s="24"/>
      <c r="U232" s="24"/>
      <c r="V232" s="24"/>
      <c r="W232" s="24"/>
      <c r="X232" s="24"/>
      <c r="Y232" s="24"/>
      <c r="Z232" s="46"/>
      <c r="AE232" s="116"/>
      <c r="AF232" s="116"/>
      <c r="AG232" s="116"/>
      <c r="AH232" s="116"/>
      <c r="AI232" s="116"/>
      <c r="AJ232" s="116"/>
      <c r="AK232" s="116"/>
      <c r="AL232" s="54"/>
      <c r="AM232" s="54"/>
      <c r="AN232" s="18"/>
    </row>
    <row r="233" spans="1:40">
      <c r="N233" s="495" t="s">
        <v>395</v>
      </c>
      <c r="O233" s="491"/>
      <c r="P233" s="491"/>
      <c r="Q233" s="491"/>
      <c r="R233" s="491"/>
      <c r="S233" s="491"/>
      <c r="T233" s="491"/>
      <c r="U233" s="491"/>
      <c r="V233" s="491"/>
      <c r="W233" s="491"/>
      <c r="X233" s="491"/>
      <c r="Y233" s="491"/>
      <c r="Z233" s="46"/>
      <c r="AE233" s="116"/>
      <c r="AF233" s="116"/>
      <c r="AG233" s="116"/>
      <c r="AH233" s="116"/>
      <c r="AI233" s="116"/>
      <c r="AJ233" s="116"/>
      <c r="AK233" s="116"/>
      <c r="AL233" s="54"/>
      <c r="AM233" s="54"/>
      <c r="AN233" s="18"/>
    </row>
    <row r="234" spans="1:40">
      <c r="N234" s="195" t="s">
        <v>247</v>
      </c>
      <c r="O234" s="120"/>
      <c r="P234" s="120"/>
      <c r="Q234" s="120"/>
      <c r="R234" s="120"/>
      <c r="S234" s="120"/>
      <c r="T234" s="120"/>
      <c r="U234" s="120"/>
      <c r="V234" s="120"/>
      <c r="W234" s="120"/>
      <c r="X234" s="120"/>
      <c r="Y234" s="120"/>
      <c r="Z234" s="46"/>
      <c r="AE234" s="116"/>
      <c r="AF234" s="116"/>
      <c r="AG234" s="116"/>
      <c r="AH234" s="116"/>
      <c r="AI234" s="116"/>
      <c r="AJ234" s="116"/>
      <c r="AK234" s="116"/>
      <c r="AL234" s="54"/>
      <c r="AM234" s="54"/>
      <c r="AN234" s="18"/>
    </row>
    <row r="235" spans="1:40">
      <c r="AA235" s="138"/>
    </row>
    <row r="236" spans="1:40">
      <c r="C236" s="31"/>
      <c r="D236" s="31"/>
      <c r="E236" s="31"/>
      <c r="F236" s="31"/>
      <c r="G236" s="31"/>
      <c r="H236" s="31"/>
      <c r="I236" s="31"/>
      <c r="J236" s="31"/>
      <c r="K236" s="31"/>
      <c r="L236" s="31"/>
      <c r="M236" s="31"/>
      <c r="O236" s="31"/>
      <c r="P236" s="31"/>
      <c r="Q236" s="31"/>
      <c r="R236" s="31"/>
      <c r="S236" s="31"/>
      <c r="T236" s="31"/>
      <c r="U236" s="31"/>
      <c r="V236" s="31"/>
      <c r="W236" s="31"/>
      <c r="X236" s="31"/>
      <c r="Y236" s="31"/>
      <c r="Z236" s="46"/>
      <c r="AA236" s="138"/>
    </row>
    <row r="237" spans="1:40" s="586" customFormat="1" ht="22.8">
      <c r="A237" s="394" t="s">
        <v>421</v>
      </c>
      <c r="B237" s="40"/>
      <c r="C237" s="40"/>
      <c r="D237" s="40"/>
      <c r="E237" s="40"/>
      <c r="F237" s="40"/>
      <c r="G237" s="40"/>
      <c r="H237" s="40"/>
      <c r="I237" s="40"/>
      <c r="J237" s="40"/>
      <c r="K237" s="40"/>
      <c r="L237" s="40"/>
      <c r="M237" s="40"/>
      <c r="N237" s="40"/>
      <c r="O237" s="40"/>
      <c r="P237" s="40"/>
      <c r="Q237" s="40"/>
      <c r="R237" s="40"/>
      <c r="S237" s="40"/>
      <c r="T237" s="394" t="str">
        <f>A237</f>
        <v>Wavelength Selective Switches</v>
      </c>
      <c r="U237" s="40"/>
      <c r="V237" s="40"/>
      <c r="W237" s="40"/>
      <c r="X237" s="40"/>
      <c r="Y237" s="40"/>
      <c r="Z237" s="40"/>
      <c r="AA237" s="95"/>
      <c r="AB237"/>
      <c r="AC237"/>
    </row>
    <row r="238" spans="1:40">
      <c r="Q238" s="138"/>
      <c r="R238" s="138"/>
      <c r="S238" s="138"/>
      <c r="T238" s="138"/>
      <c r="U238" s="138"/>
      <c r="V238" s="138"/>
      <c r="W238" s="138"/>
      <c r="X238" s="138"/>
      <c r="Y238" s="138"/>
    </row>
    <row r="239" spans="1:40" ht="15.6">
      <c r="B239" s="77" t="s">
        <v>466</v>
      </c>
      <c r="G239" s="77"/>
      <c r="N239" s="77" t="s">
        <v>359</v>
      </c>
      <c r="O239" s="77"/>
      <c r="P239" s="77"/>
      <c r="Q239" s="138"/>
      <c r="R239" s="138"/>
      <c r="S239" s="138"/>
      <c r="T239" s="138"/>
      <c r="U239" s="138"/>
      <c r="V239" s="138"/>
      <c r="W239" s="138"/>
      <c r="X239" s="138"/>
      <c r="Y239" s="138"/>
    </row>
    <row r="240" spans="1:40">
      <c r="Q240" s="138"/>
      <c r="R240" s="138"/>
      <c r="S240" s="138"/>
      <c r="T240" s="138"/>
      <c r="U240" s="138"/>
      <c r="V240" s="138"/>
      <c r="W240" s="138"/>
      <c r="X240" s="138"/>
      <c r="Y240" s="138"/>
    </row>
    <row r="241" spans="17:25">
      <c r="Q241" s="138"/>
      <c r="R241" s="138"/>
      <c r="S241" s="138"/>
      <c r="T241" s="138"/>
      <c r="U241" s="138"/>
      <c r="V241" s="138"/>
      <c r="W241" s="138"/>
      <c r="X241" s="138"/>
      <c r="Y241" s="138"/>
    </row>
    <row r="242" spans="17:25">
      <c r="Q242" s="138"/>
      <c r="R242" s="138"/>
      <c r="S242" s="138"/>
      <c r="T242" s="138"/>
      <c r="U242" s="138"/>
      <c r="V242" s="138"/>
      <c r="W242" s="138"/>
      <c r="X242" s="138"/>
      <c r="Y242" s="138"/>
    </row>
    <row r="243" spans="17:25">
      <c r="Q243" s="138"/>
      <c r="R243" s="138"/>
      <c r="S243" s="138"/>
      <c r="T243" s="138"/>
      <c r="U243" s="138"/>
      <c r="V243" s="138"/>
      <c r="W243" s="138"/>
      <c r="X243" s="138"/>
      <c r="Y243" s="138"/>
    </row>
    <row r="244" spans="17:25">
      <c r="Q244" s="138"/>
      <c r="R244" s="138"/>
      <c r="S244" s="138"/>
      <c r="T244" s="138"/>
      <c r="U244" s="138"/>
      <c r="V244" s="138"/>
      <c r="W244" s="138"/>
      <c r="X244" s="138"/>
      <c r="Y244" s="138"/>
    </row>
    <row r="245" spans="17:25">
      <c r="Q245" s="138"/>
      <c r="R245" s="138"/>
      <c r="S245" s="138"/>
      <c r="T245" s="138"/>
      <c r="U245" s="138"/>
      <c r="V245" s="138"/>
      <c r="W245" s="138"/>
      <c r="X245" s="138"/>
      <c r="Y245" s="138"/>
    </row>
    <row r="246" spans="17:25">
      <c r="Q246" s="138"/>
      <c r="R246" s="138"/>
      <c r="S246" s="138"/>
      <c r="T246" s="138"/>
      <c r="U246" s="138"/>
      <c r="V246" s="138"/>
      <c r="W246" s="138"/>
      <c r="X246" s="138"/>
      <c r="Y246" s="138"/>
    </row>
    <row r="247" spans="17:25">
      <c r="Q247" s="138"/>
      <c r="R247" s="138"/>
      <c r="S247" s="138"/>
      <c r="T247" s="138"/>
      <c r="U247" s="138"/>
      <c r="V247" s="138"/>
      <c r="W247" s="138"/>
      <c r="X247" s="138"/>
      <c r="Y247" s="138"/>
    </row>
    <row r="248" spans="17:25">
      <c r="Q248" s="138"/>
      <c r="R248" s="138"/>
      <c r="S248" s="138"/>
      <c r="T248" s="138"/>
      <c r="U248" s="138"/>
      <c r="V248" s="138"/>
      <c r="W248" s="138"/>
      <c r="X248" s="138"/>
      <c r="Y248" s="138"/>
    </row>
    <row r="249" spans="17:25">
      <c r="Q249" s="138"/>
      <c r="R249" s="138"/>
      <c r="S249" s="138"/>
      <c r="T249" s="138"/>
      <c r="U249" s="138"/>
      <c r="V249" s="138"/>
      <c r="W249" s="138"/>
      <c r="X249" s="138"/>
      <c r="Y249" s="138"/>
    </row>
    <row r="250" spans="17:25">
      <c r="Q250" s="138"/>
      <c r="R250" s="138"/>
      <c r="S250" s="138"/>
      <c r="T250" s="138"/>
      <c r="U250" s="138"/>
      <c r="V250" s="138"/>
      <c r="W250" s="138"/>
      <c r="X250" s="138"/>
      <c r="Y250" s="138"/>
    </row>
    <row r="251" spans="17:25">
      <c r="Q251" s="138"/>
      <c r="R251" s="138"/>
      <c r="S251" s="138"/>
      <c r="T251" s="138"/>
      <c r="U251" s="138"/>
      <c r="V251" s="138"/>
      <c r="W251" s="138"/>
      <c r="X251" s="138"/>
      <c r="Y251" s="138"/>
    </row>
    <row r="252" spans="17:25">
      <c r="Q252" s="138"/>
      <c r="R252" s="138"/>
      <c r="S252" s="138"/>
      <c r="T252" s="138"/>
      <c r="U252" s="138"/>
      <c r="V252" s="138"/>
      <c r="W252" s="138"/>
      <c r="X252" s="138"/>
      <c r="Y252" s="138"/>
    </row>
    <row r="253" spans="17:25">
      <c r="Q253" s="138"/>
      <c r="R253" s="138"/>
      <c r="S253" s="138"/>
      <c r="T253" s="138"/>
      <c r="U253" s="138"/>
      <c r="V253" s="138"/>
      <c r="W253" s="138"/>
      <c r="X253" s="138"/>
      <c r="Y253" s="138"/>
    </row>
    <row r="254" spans="17:25">
      <c r="Q254" s="138"/>
      <c r="R254" s="138"/>
      <c r="S254" s="138"/>
      <c r="T254" s="138"/>
      <c r="U254" s="138"/>
      <c r="V254" s="138"/>
      <c r="W254" s="138"/>
      <c r="X254" s="138"/>
      <c r="Y254" s="138"/>
    </row>
    <row r="255" spans="17:25">
      <c r="Q255" s="138"/>
      <c r="R255" s="138"/>
      <c r="S255" s="138"/>
      <c r="T255" s="138"/>
      <c r="U255" s="138"/>
      <c r="V255" s="138"/>
      <c r="W255" s="138"/>
      <c r="X255" s="138"/>
      <c r="Y255" s="138"/>
    </row>
    <row r="256" spans="17:25">
      <c r="Q256" s="138"/>
      <c r="R256" s="138"/>
      <c r="S256" s="138"/>
      <c r="T256" s="138"/>
      <c r="U256" s="138"/>
      <c r="V256" s="138"/>
      <c r="W256" s="138"/>
      <c r="X256" s="138"/>
      <c r="Y256" s="138"/>
    </row>
    <row r="257" spans="1:29">
      <c r="Q257" s="138"/>
      <c r="R257" s="138"/>
      <c r="S257" s="138"/>
      <c r="T257" s="138"/>
      <c r="U257" s="138"/>
      <c r="V257" s="138"/>
      <c r="W257" s="138"/>
      <c r="X257" s="138"/>
      <c r="Y257" s="138"/>
    </row>
    <row r="258" spans="1:29">
      <c r="Q258" s="138"/>
      <c r="R258" s="138"/>
      <c r="S258" s="138"/>
      <c r="T258" s="138"/>
      <c r="U258" s="138"/>
      <c r="V258" s="138"/>
      <c r="W258" s="138"/>
      <c r="X258" s="138"/>
      <c r="Y258" s="138"/>
    </row>
    <row r="259" spans="1:29" ht="15.6">
      <c r="B259" s="77" t="s">
        <v>465</v>
      </c>
      <c r="H259" s="138"/>
      <c r="I259" s="138"/>
      <c r="J259" s="138"/>
      <c r="K259" s="138"/>
      <c r="L259" s="138"/>
      <c r="M259" s="138"/>
      <c r="N259" s="78" t="s">
        <v>464</v>
      </c>
      <c r="O259" s="138"/>
      <c r="P259" s="138"/>
      <c r="Q259" s="138"/>
      <c r="R259" s="138"/>
      <c r="S259" s="138"/>
      <c r="T259" s="138"/>
      <c r="U259" s="138"/>
      <c r="V259" s="138"/>
      <c r="W259" s="138"/>
      <c r="X259" s="138"/>
      <c r="Y259" s="138"/>
      <c r="Z259" s="118" t="s">
        <v>2</v>
      </c>
    </row>
    <row r="260" spans="1:29">
      <c r="B260" s="158" t="s">
        <v>82</v>
      </c>
      <c r="C260" s="117">
        <v>2018</v>
      </c>
      <c r="D260" s="103">
        <v>2019</v>
      </c>
      <c r="E260" s="103">
        <v>2020</v>
      </c>
      <c r="F260" s="103">
        <v>2021</v>
      </c>
      <c r="G260" s="103">
        <v>2022</v>
      </c>
      <c r="H260" s="103">
        <v>2023</v>
      </c>
      <c r="I260" s="103">
        <v>2024</v>
      </c>
      <c r="J260" s="103">
        <v>2025</v>
      </c>
      <c r="K260" s="103">
        <v>2026</v>
      </c>
      <c r="L260" s="103">
        <v>2027</v>
      </c>
      <c r="M260" s="103">
        <v>2028</v>
      </c>
      <c r="N260" s="158" t="s">
        <v>82</v>
      </c>
      <c r="O260" s="117">
        <v>2018</v>
      </c>
      <c r="P260" s="117">
        <v>2019</v>
      </c>
      <c r="Q260" s="117">
        <v>2020</v>
      </c>
      <c r="R260" s="117">
        <v>2021</v>
      </c>
      <c r="S260" s="117">
        <v>2022</v>
      </c>
      <c r="T260" s="117">
        <v>2023</v>
      </c>
      <c r="U260" s="117">
        <v>2024</v>
      </c>
      <c r="V260" s="117">
        <v>2025</v>
      </c>
      <c r="W260" s="117">
        <v>2026</v>
      </c>
      <c r="X260" s="117">
        <v>2027</v>
      </c>
      <c r="Y260" s="117">
        <v>2028</v>
      </c>
      <c r="Z260" s="103" t="str">
        <f>$Z$139</f>
        <v>2022-2028</v>
      </c>
    </row>
    <row r="261" spans="1:29">
      <c r="B261" s="195" t="s">
        <v>482</v>
      </c>
      <c r="C261" s="497">
        <f>WSS!D8</f>
        <v>14467</v>
      </c>
      <c r="D261" s="130">
        <f>WSS!E8</f>
        <v>17118</v>
      </c>
      <c r="E261" s="130">
        <f>WSS!F8</f>
        <v>0</v>
      </c>
      <c r="F261" s="130">
        <f>WSS!G8</f>
        <v>0</v>
      </c>
      <c r="G261" s="130">
        <f>WSS!H8</f>
        <v>0</v>
      </c>
      <c r="H261" s="130">
        <f>WSS!I8</f>
        <v>0</v>
      </c>
      <c r="I261" s="130">
        <f>WSS!J8</f>
        <v>0</v>
      </c>
      <c r="J261" s="130">
        <f>WSS!K8</f>
        <v>0</v>
      </c>
      <c r="K261" s="130">
        <f>WSS!L8</f>
        <v>0</v>
      </c>
      <c r="L261" s="130">
        <f>WSS!M8</f>
        <v>0</v>
      </c>
      <c r="M261" s="130">
        <f>WSS!N8</f>
        <v>0</v>
      </c>
      <c r="N261" s="160" t="str">
        <f t="shared" ref="N261:N267" si="25">B261</f>
        <v>Fixed Grid  all</v>
      </c>
      <c r="O261" s="498">
        <f>WSS!D28</f>
        <v>39.037064905910405</v>
      </c>
      <c r="P261" s="498">
        <f>WSS!E28</f>
        <v>38.567489999999999</v>
      </c>
      <c r="Q261" s="498">
        <f>WSS!F28</f>
        <v>0</v>
      </c>
      <c r="R261" s="498">
        <f>WSS!G28</f>
        <v>0</v>
      </c>
      <c r="S261" s="498">
        <f>WSS!H28</f>
        <v>0</v>
      </c>
      <c r="T261" s="498">
        <f>WSS!I28</f>
        <v>0</v>
      </c>
      <c r="U261" s="498">
        <f>WSS!J28</f>
        <v>0</v>
      </c>
      <c r="V261" s="498">
        <f>WSS!K28</f>
        <v>0</v>
      </c>
      <c r="W261" s="498">
        <f>WSS!L28</f>
        <v>0</v>
      </c>
      <c r="X261" s="498">
        <f>WSS!M28</f>
        <v>0</v>
      </c>
      <c r="Y261" s="498">
        <f>WSS!N28</f>
        <v>0</v>
      </c>
      <c r="Z261" s="306" t="e">
        <f t="shared" ref="Z261:Z267" si="26">(Y261/S261)^(1/6)-1</f>
        <v>#DIV/0!</v>
      </c>
    </row>
    <row r="262" spans="1:29">
      <c r="B262" s="195" t="s">
        <v>483</v>
      </c>
      <c r="C262" s="497">
        <f>WSS!D9</f>
        <v>43136</v>
      </c>
      <c r="D262" s="130">
        <f>WSS!E9</f>
        <v>77356</v>
      </c>
      <c r="E262" s="130">
        <f>WSS!F9</f>
        <v>0</v>
      </c>
      <c r="F262" s="130">
        <f>WSS!G9</f>
        <v>0</v>
      </c>
      <c r="G262" s="130">
        <f>WSS!H9</f>
        <v>0</v>
      </c>
      <c r="H262" s="130">
        <f>WSS!I9</f>
        <v>0</v>
      </c>
      <c r="I262" s="130">
        <f>WSS!J9</f>
        <v>0</v>
      </c>
      <c r="J262" s="130">
        <f>WSS!K9</f>
        <v>0</v>
      </c>
      <c r="K262" s="130">
        <f>WSS!L9</f>
        <v>0</v>
      </c>
      <c r="L262" s="130">
        <f>WSS!M9</f>
        <v>0</v>
      </c>
      <c r="M262" s="130">
        <f>WSS!N9</f>
        <v>0</v>
      </c>
      <c r="N262" s="160" t="str">
        <f t="shared" si="25"/>
        <v>Flex Grid single 1x9</v>
      </c>
      <c r="O262" s="498">
        <f>WSS!D29</f>
        <v>141.71897079537212</v>
      </c>
      <c r="P262" s="498">
        <f>WSS!E29</f>
        <v>199.20160383541099</v>
      </c>
      <c r="Q262" s="498">
        <f>WSS!F29</f>
        <v>0</v>
      </c>
      <c r="R262" s="498">
        <f>WSS!G29</f>
        <v>0</v>
      </c>
      <c r="S262" s="498">
        <f>WSS!H29</f>
        <v>0</v>
      </c>
      <c r="T262" s="498">
        <f>WSS!I29</f>
        <v>0</v>
      </c>
      <c r="U262" s="498">
        <f>WSS!J29</f>
        <v>0</v>
      </c>
      <c r="V262" s="498">
        <f>WSS!K29</f>
        <v>0</v>
      </c>
      <c r="W262" s="498">
        <f>WSS!L29</f>
        <v>0</v>
      </c>
      <c r="X262" s="498">
        <f>WSS!M29</f>
        <v>0</v>
      </c>
      <c r="Y262" s="498">
        <f>WSS!N29</f>
        <v>0</v>
      </c>
      <c r="Z262" s="306" t="e">
        <f t="shared" si="26"/>
        <v>#DIV/0!</v>
      </c>
    </row>
    <row r="263" spans="1:29">
      <c r="B263" s="195" t="s">
        <v>484</v>
      </c>
      <c r="C263" s="497">
        <f>WSS!D10</f>
        <v>5964</v>
      </c>
      <c r="D263" s="130">
        <f>WSS!E10</f>
        <v>8376</v>
      </c>
      <c r="E263" s="130">
        <f>WSS!F10</f>
        <v>0</v>
      </c>
      <c r="F263" s="130">
        <f>WSS!G10</f>
        <v>0</v>
      </c>
      <c r="G263" s="130">
        <f>WSS!H10</f>
        <v>0</v>
      </c>
      <c r="H263" s="130">
        <f>WSS!I10</f>
        <v>0</v>
      </c>
      <c r="I263" s="130">
        <f>WSS!J10</f>
        <v>0</v>
      </c>
      <c r="J263" s="130">
        <f>WSS!K10</f>
        <v>0</v>
      </c>
      <c r="K263" s="130">
        <f>WSS!L10</f>
        <v>0</v>
      </c>
      <c r="L263" s="130">
        <f>WSS!M10</f>
        <v>0</v>
      </c>
      <c r="M263" s="130">
        <f>WSS!N10</f>
        <v>0</v>
      </c>
      <c r="N263" s="160" t="str">
        <f t="shared" si="25"/>
        <v>Flex Grid  twin 1x9</v>
      </c>
      <c r="O263" s="498">
        <f>WSS!D30</f>
        <v>27.670064759071593</v>
      </c>
      <c r="P263" s="498">
        <f>WSS!E30</f>
        <v>36.476862887186336</v>
      </c>
      <c r="Q263" s="498">
        <f>WSS!F30</f>
        <v>0</v>
      </c>
      <c r="R263" s="498">
        <f>WSS!G30</f>
        <v>0</v>
      </c>
      <c r="S263" s="498">
        <f>WSS!H30</f>
        <v>0</v>
      </c>
      <c r="T263" s="498">
        <f>WSS!I30</f>
        <v>0</v>
      </c>
      <c r="U263" s="498">
        <f>WSS!J30</f>
        <v>0</v>
      </c>
      <c r="V263" s="498">
        <f>WSS!K30</f>
        <v>0</v>
      </c>
      <c r="W263" s="498">
        <f>WSS!L30</f>
        <v>0</v>
      </c>
      <c r="X263" s="498">
        <f>WSS!M30</f>
        <v>0</v>
      </c>
      <c r="Y263" s="498">
        <f>WSS!N30</f>
        <v>0</v>
      </c>
      <c r="Z263" s="306" t="e">
        <f t="shared" si="26"/>
        <v>#DIV/0!</v>
      </c>
    </row>
    <row r="264" spans="1:29">
      <c r="B264" s="195" t="s">
        <v>485</v>
      </c>
      <c r="C264" s="497">
        <f>WSS!D11</f>
        <v>25010</v>
      </c>
      <c r="D264" s="130">
        <f>WSS!E11</f>
        <v>52226</v>
      </c>
      <c r="E264" s="130">
        <f>WSS!F11</f>
        <v>0</v>
      </c>
      <c r="F264" s="130">
        <f>WSS!G11</f>
        <v>0</v>
      </c>
      <c r="G264" s="130">
        <f>WSS!H11</f>
        <v>0</v>
      </c>
      <c r="H264" s="130">
        <f>WSS!I11</f>
        <v>0</v>
      </c>
      <c r="I264" s="130">
        <f>WSS!J11</f>
        <v>0</v>
      </c>
      <c r="J264" s="130">
        <f>WSS!K11</f>
        <v>0</v>
      </c>
      <c r="K264" s="130">
        <f>WSS!L11</f>
        <v>0</v>
      </c>
      <c r="L264" s="130">
        <f>WSS!M11</f>
        <v>0</v>
      </c>
      <c r="M264" s="130">
        <f>WSS!N11</f>
        <v>0</v>
      </c>
      <c r="N264" s="160" t="str">
        <f t="shared" si="25"/>
        <v xml:space="preserve">Flex Grid twin 1x20 </v>
      </c>
      <c r="O264" s="498">
        <f>WSS!D31</f>
        <v>156.89220112128351</v>
      </c>
      <c r="P264" s="498">
        <f>WSS!E31</f>
        <v>244.43641545722053</v>
      </c>
      <c r="Q264" s="498">
        <f>WSS!F31</f>
        <v>0</v>
      </c>
      <c r="R264" s="498">
        <f>WSS!G31</f>
        <v>0</v>
      </c>
      <c r="S264" s="498">
        <f>WSS!H31</f>
        <v>0</v>
      </c>
      <c r="T264" s="498">
        <f>WSS!I31</f>
        <v>0</v>
      </c>
      <c r="U264" s="498">
        <f>WSS!J31</f>
        <v>0</v>
      </c>
      <c r="V264" s="498">
        <f>WSS!K31</f>
        <v>0</v>
      </c>
      <c r="W264" s="498">
        <f>WSS!L31</f>
        <v>0</v>
      </c>
      <c r="X264" s="498">
        <f>WSS!M31</f>
        <v>0</v>
      </c>
      <c r="Y264" s="498">
        <f>WSS!N31</f>
        <v>0</v>
      </c>
      <c r="Z264" s="306" t="e">
        <f t="shared" si="26"/>
        <v>#DIV/0!</v>
      </c>
    </row>
    <row r="265" spans="1:29">
      <c r="B265" s="195" t="s">
        <v>486</v>
      </c>
      <c r="C265" s="497">
        <f>WSS!D12</f>
        <v>0</v>
      </c>
      <c r="D265" s="130">
        <f>WSS!E12</f>
        <v>0</v>
      </c>
      <c r="E265" s="130">
        <f>WSS!F12</f>
        <v>0</v>
      </c>
      <c r="F265" s="130">
        <f>WSS!G12</f>
        <v>0</v>
      </c>
      <c r="G265" s="130">
        <f>WSS!H12</f>
        <v>0</v>
      </c>
      <c r="H265" s="130">
        <f>WSS!I12</f>
        <v>0</v>
      </c>
      <c r="I265" s="130">
        <f>WSS!J12</f>
        <v>0</v>
      </c>
      <c r="J265" s="130">
        <f>WSS!K12</f>
        <v>0</v>
      </c>
      <c r="K265" s="130">
        <f>WSS!L12</f>
        <v>0</v>
      </c>
      <c r="L265" s="130">
        <f>WSS!M12</f>
        <v>0</v>
      </c>
      <c r="M265" s="130">
        <f>WSS!N12</f>
        <v>0</v>
      </c>
      <c r="N265" s="160" t="str">
        <f t="shared" si="25"/>
        <v>Flex Grid L-band</v>
      </c>
      <c r="O265" s="498">
        <f>WSS!D32</f>
        <v>0</v>
      </c>
      <c r="P265" s="498">
        <f>WSS!E32</f>
        <v>0</v>
      </c>
      <c r="Q265" s="498">
        <f>WSS!F32</f>
        <v>0</v>
      </c>
      <c r="R265" s="498">
        <f>WSS!G32</f>
        <v>0</v>
      </c>
      <c r="S265" s="498">
        <f>WSS!H32</f>
        <v>0</v>
      </c>
      <c r="T265" s="498">
        <f>WSS!I32</f>
        <v>0</v>
      </c>
      <c r="U265" s="498">
        <f>WSS!J32</f>
        <v>0</v>
      </c>
      <c r="V265" s="498">
        <f>WSS!K32</f>
        <v>0</v>
      </c>
      <c r="W265" s="498">
        <f>WSS!L32</f>
        <v>0</v>
      </c>
      <c r="X265" s="498">
        <f>WSS!M32</f>
        <v>0</v>
      </c>
      <c r="Y265" s="498">
        <f>WSS!N32</f>
        <v>0</v>
      </c>
      <c r="Z265" s="306" t="e">
        <f t="shared" si="26"/>
        <v>#DIV/0!</v>
      </c>
    </row>
    <row r="266" spans="1:29">
      <c r="B266" s="195" t="s">
        <v>487</v>
      </c>
      <c r="C266" s="497">
        <f>WSS!D13</f>
        <v>0</v>
      </c>
      <c r="D266" s="130">
        <f>WSS!E13</f>
        <v>0</v>
      </c>
      <c r="E266" s="130">
        <f>WSS!F13</f>
        <v>0</v>
      </c>
      <c r="F266" s="130">
        <f>WSS!G13</f>
        <v>0</v>
      </c>
      <c r="G266" s="130">
        <f>WSS!H13</f>
        <v>0</v>
      </c>
      <c r="H266" s="130">
        <f>WSS!I13</f>
        <v>0</v>
      </c>
      <c r="I266" s="130">
        <f>WSS!J13</f>
        <v>0</v>
      </c>
      <c r="J266" s="130">
        <f>WSS!K13</f>
        <v>0</v>
      </c>
      <c r="K266" s="130">
        <f>WSS!L13</f>
        <v>0</v>
      </c>
      <c r="L266" s="130">
        <f>WSS!M13</f>
        <v>0</v>
      </c>
      <c r="M266" s="130">
        <f>WSS!N13</f>
        <v>0</v>
      </c>
      <c r="N266" s="160" t="str">
        <f t="shared" si="25"/>
        <v>Next Generation All</v>
      </c>
      <c r="O266" s="498">
        <f>WSS!D33</f>
        <v>0</v>
      </c>
      <c r="P266" s="498">
        <f>WSS!E33</f>
        <v>0</v>
      </c>
      <c r="Q266" s="498">
        <f>WSS!F33</f>
        <v>0</v>
      </c>
      <c r="R266" s="498">
        <f>WSS!G33</f>
        <v>0</v>
      </c>
      <c r="S266" s="498">
        <f>WSS!H33</f>
        <v>0</v>
      </c>
      <c r="T266" s="498">
        <f>WSS!I33</f>
        <v>0</v>
      </c>
      <c r="U266" s="498">
        <f>WSS!J33</f>
        <v>0</v>
      </c>
      <c r="V266" s="498">
        <f>WSS!K33</f>
        <v>0</v>
      </c>
      <c r="W266" s="498">
        <f>WSS!L33</f>
        <v>0</v>
      </c>
      <c r="X266" s="498">
        <f>WSS!M33</f>
        <v>0</v>
      </c>
      <c r="Y266" s="498">
        <f>WSS!N33</f>
        <v>0</v>
      </c>
      <c r="Z266" s="306" t="e">
        <f t="shared" si="26"/>
        <v>#DIV/0!</v>
      </c>
    </row>
    <row r="267" spans="1:29">
      <c r="B267" s="160" t="s">
        <v>488</v>
      </c>
      <c r="C267" s="110">
        <f>WSS!D14</f>
        <v>88577</v>
      </c>
      <c r="D267" s="110">
        <f>WSS!E14</f>
        <v>155076</v>
      </c>
      <c r="E267" s="110">
        <f>WSS!F14</f>
        <v>0</v>
      </c>
      <c r="F267" s="110">
        <f>WSS!G14</f>
        <v>0</v>
      </c>
      <c r="G267" s="110">
        <f>WSS!H14</f>
        <v>0</v>
      </c>
      <c r="H267" s="110">
        <f>WSS!I14</f>
        <v>0</v>
      </c>
      <c r="I267" s="110">
        <f>WSS!J14</f>
        <v>0</v>
      </c>
      <c r="J267" s="110">
        <f>WSS!K14</f>
        <v>0</v>
      </c>
      <c r="K267" s="110">
        <f>WSS!L14</f>
        <v>0</v>
      </c>
      <c r="L267" s="110">
        <f>WSS!M14</f>
        <v>0</v>
      </c>
      <c r="M267" s="110">
        <f>WSS!N14</f>
        <v>0</v>
      </c>
      <c r="N267" s="160" t="str">
        <f t="shared" si="25"/>
        <v>Total WSS</v>
      </c>
      <c r="O267" s="105">
        <f>WSS!D34</f>
        <v>365.31830158163763</v>
      </c>
      <c r="P267" s="105">
        <f>WSS!E34</f>
        <v>518.68237217981789</v>
      </c>
      <c r="Q267" s="105">
        <f>WSS!F34</f>
        <v>0</v>
      </c>
      <c r="R267" s="105">
        <f>WSS!G34</f>
        <v>0</v>
      </c>
      <c r="S267" s="105">
        <f>WSS!H34</f>
        <v>0</v>
      </c>
      <c r="T267" s="105">
        <f>WSS!I34</f>
        <v>0</v>
      </c>
      <c r="U267" s="105">
        <f>WSS!J34</f>
        <v>0</v>
      </c>
      <c r="V267" s="105">
        <f>WSS!K34</f>
        <v>0</v>
      </c>
      <c r="W267" s="105">
        <f>WSS!L34</f>
        <v>0</v>
      </c>
      <c r="X267" s="105">
        <f>WSS!M34</f>
        <v>0</v>
      </c>
      <c r="Y267" s="105">
        <f>WSS!N34</f>
        <v>0</v>
      </c>
      <c r="Z267" s="306" t="e">
        <f t="shared" si="26"/>
        <v>#DIV/0!</v>
      </c>
    </row>
    <row r="268" spans="1:29" ht="15.6">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138"/>
    </row>
    <row r="269" spans="1:29">
      <c r="Q269" s="138"/>
      <c r="R269" s="138"/>
      <c r="S269" s="138"/>
      <c r="T269" s="138"/>
      <c r="U269" s="138"/>
      <c r="V269" s="138"/>
      <c r="W269" s="138"/>
      <c r="X269" s="138"/>
      <c r="Y269" s="138"/>
    </row>
    <row r="270" spans="1:29" s="586" customFormat="1" ht="22.8">
      <c r="A270" s="394" t="s">
        <v>8</v>
      </c>
      <c r="B270" s="72"/>
      <c r="C270" s="74"/>
      <c r="D270" s="74"/>
      <c r="E270" s="74"/>
      <c r="F270" s="74"/>
      <c r="G270" s="74"/>
      <c r="H270" s="80"/>
      <c r="I270" s="80"/>
      <c r="J270" s="80"/>
      <c r="K270" s="80"/>
      <c r="L270" s="80"/>
      <c r="M270" s="80"/>
      <c r="N270" s="80"/>
      <c r="O270" s="72"/>
      <c r="P270" s="72"/>
      <c r="Q270" s="72"/>
      <c r="R270" s="72"/>
      <c r="S270" s="72"/>
      <c r="T270" s="394" t="str">
        <f>A270</f>
        <v>FTTx</v>
      </c>
      <c r="U270" s="72"/>
      <c r="V270" s="72"/>
      <c r="W270" s="72"/>
      <c r="X270" s="72"/>
      <c r="Y270" s="72"/>
      <c r="Z270" s="40"/>
      <c r="AA270" s="80"/>
      <c r="AB270"/>
      <c r="AC270"/>
    </row>
    <row r="271" spans="1:29">
      <c r="B271" s="16"/>
      <c r="C271" s="46"/>
      <c r="D271" s="46"/>
      <c r="E271" s="46"/>
      <c r="F271" s="46"/>
      <c r="G271" s="46"/>
      <c r="H271" s="138"/>
      <c r="I271" s="138"/>
      <c r="J271" s="138"/>
      <c r="K271" s="138"/>
      <c r="L271" s="138"/>
      <c r="M271" s="138"/>
      <c r="N271" s="138"/>
      <c r="O271" s="16"/>
      <c r="P271" s="16"/>
      <c r="Q271" s="138"/>
      <c r="R271" s="138"/>
      <c r="S271" s="138"/>
      <c r="T271" s="138"/>
      <c r="U271" s="138"/>
      <c r="V271" s="138"/>
      <c r="W271" s="138"/>
      <c r="X271" s="138"/>
      <c r="Y271" s="138"/>
      <c r="AA271" s="138"/>
    </row>
    <row r="272" spans="1:29" ht="15.6">
      <c r="B272" s="77" t="s">
        <v>91</v>
      </c>
      <c r="C272" s="7"/>
      <c r="D272" s="7"/>
      <c r="E272" s="7"/>
      <c r="F272" s="7"/>
      <c r="G272" s="7"/>
      <c r="H272" s="7"/>
      <c r="I272" s="7"/>
      <c r="J272" s="7"/>
      <c r="K272" s="7"/>
      <c r="L272" s="7"/>
      <c r="M272" s="7"/>
      <c r="N272" s="77" t="s">
        <v>92</v>
      </c>
      <c r="O272" s="16"/>
      <c r="P272" s="16"/>
      <c r="Q272" s="138"/>
      <c r="R272" s="138"/>
      <c r="S272" s="138"/>
      <c r="T272" s="138"/>
      <c r="U272" s="138"/>
      <c r="V272" s="138"/>
      <c r="W272" s="138"/>
      <c r="X272" s="138"/>
      <c r="Y272" s="138"/>
      <c r="AA272" s="138"/>
    </row>
    <row r="273" spans="2:27">
      <c r="B273" s="16"/>
      <c r="C273" s="42"/>
      <c r="D273" s="42"/>
      <c r="E273" s="42"/>
      <c r="F273" s="42"/>
      <c r="G273" s="42"/>
      <c r="H273" s="42"/>
      <c r="I273" s="42"/>
      <c r="J273" s="42"/>
      <c r="K273" s="42"/>
      <c r="L273" s="42"/>
      <c r="M273" s="42"/>
      <c r="N273" s="42"/>
      <c r="O273" s="16"/>
      <c r="P273" s="16"/>
      <c r="Q273" s="138"/>
      <c r="R273" s="138"/>
      <c r="S273" s="138"/>
      <c r="T273" s="138"/>
      <c r="U273" s="138"/>
      <c r="V273" s="138"/>
      <c r="W273" s="138"/>
      <c r="X273" s="138"/>
      <c r="Y273" s="138"/>
      <c r="AA273" s="138"/>
    </row>
    <row r="274" spans="2:27">
      <c r="B274" s="16"/>
      <c r="C274" s="42"/>
      <c r="D274" s="42"/>
      <c r="E274" s="42"/>
      <c r="F274" s="42"/>
      <c r="G274" s="42"/>
      <c r="H274" s="42"/>
      <c r="I274" s="42"/>
      <c r="J274" s="42"/>
      <c r="K274" s="42"/>
      <c r="L274" s="42"/>
      <c r="M274" s="42"/>
      <c r="N274" s="42"/>
      <c r="O274" s="16"/>
      <c r="P274" s="16"/>
      <c r="Q274" s="138"/>
      <c r="R274" s="138"/>
      <c r="S274" s="138"/>
      <c r="T274" s="138"/>
      <c r="U274" s="138"/>
      <c r="V274" s="138"/>
      <c r="W274" s="138"/>
      <c r="X274" s="138"/>
      <c r="Y274" s="138"/>
      <c r="AA274" s="138"/>
    </row>
    <row r="275" spans="2:27">
      <c r="B275" s="16"/>
      <c r="C275" s="42"/>
      <c r="D275" s="42"/>
      <c r="E275" s="42"/>
      <c r="F275" s="42"/>
      <c r="G275" s="42"/>
      <c r="H275" s="42"/>
      <c r="I275" s="42"/>
      <c r="J275" s="42"/>
      <c r="K275" s="42"/>
      <c r="L275" s="42"/>
      <c r="M275" s="42"/>
      <c r="N275" s="42"/>
      <c r="O275" s="16"/>
      <c r="P275" s="16"/>
      <c r="Q275" s="138"/>
      <c r="R275" s="138"/>
      <c r="S275" s="138"/>
      <c r="T275" s="138"/>
      <c r="U275" s="138"/>
      <c r="V275" s="138"/>
      <c r="W275" s="138"/>
      <c r="X275" s="138"/>
      <c r="Y275" s="138"/>
      <c r="AA275" s="138"/>
    </row>
    <row r="276" spans="2:27">
      <c r="B276" s="16"/>
      <c r="C276" s="44"/>
      <c r="D276" s="44"/>
      <c r="E276" s="44"/>
      <c r="F276" s="44"/>
      <c r="G276" s="44"/>
      <c r="H276" s="44"/>
      <c r="I276" s="44"/>
      <c r="J276" s="44"/>
      <c r="K276" s="44"/>
      <c r="L276" s="44"/>
      <c r="M276" s="44"/>
      <c r="N276" s="44"/>
      <c r="O276" s="16"/>
      <c r="P276" s="16"/>
      <c r="Q276" s="138"/>
      <c r="R276" s="138"/>
      <c r="S276" s="138"/>
      <c r="T276" s="138"/>
      <c r="U276" s="138"/>
      <c r="V276" s="138"/>
      <c r="W276" s="138"/>
      <c r="X276" s="138"/>
      <c r="Y276" s="138"/>
      <c r="AA276" s="138"/>
    </row>
    <row r="277" spans="2:27">
      <c r="B277" s="16"/>
      <c r="C277" s="44"/>
      <c r="D277" s="44"/>
      <c r="E277" s="44"/>
      <c r="F277" s="44"/>
      <c r="G277" s="44"/>
      <c r="H277" s="44"/>
      <c r="I277" s="44"/>
      <c r="J277" s="44"/>
      <c r="K277" s="44"/>
      <c r="L277" s="44"/>
      <c r="M277" s="44"/>
      <c r="N277" s="44"/>
      <c r="O277" s="16"/>
      <c r="P277" s="16"/>
      <c r="Q277" s="138"/>
      <c r="R277" s="138"/>
      <c r="S277" s="138"/>
      <c r="T277" s="138"/>
      <c r="U277" s="138"/>
      <c r="V277" s="138"/>
      <c r="W277" s="138"/>
      <c r="X277" s="138"/>
      <c r="Y277" s="138"/>
      <c r="AA277" s="138"/>
    </row>
    <row r="278" spans="2:27">
      <c r="B278" s="16"/>
      <c r="C278" s="44"/>
      <c r="D278" s="44"/>
      <c r="E278" s="44"/>
      <c r="F278" s="44"/>
      <c r="G278" s="44"/>
      <c r="H278" s="44"/>
      <c r="I278" s="44"/>
      <c r="J278" s="44"/>
      <c r="K278" s="44"/>
      <c r="L278" s="44"/>
      <c r="M278" s="44"/>
      <c r="N278" s="44"/>
      <c r="O278" s="16"/>
      <c r="P278" s="16"/>
      <c r="Q278" s="138"/>
      <c r="R278" s="138"/>
      <c r="S278" s="138"/>
      <c r="T278" s="138"/>
      <c r="U278" s="138"/>
      <c r="V278" s="138"/>
      <c r="W278" s="138"/>
      <c r="X278" s="138"/>
      <c r="Y278" s="138"/>
      <c r="AA278" s="138"/>
    </row>
    <row r="279" spans="2:27">
      <c r="B279" s="16"/>
      <c r="C279" s="16"/>
      <c r="D279" s="16"/>
      <c r="E279" s="16"/>
      <c r="F279" s="16"/>
      <c r="G279" s="16"/>
      <c r="H279" s="16"/>
      <c r="I279" s="16"/>
      <c r="J279" s="16"/>
      <c r="K279" s="16"/>
      <c r="L279" s="16"/>
      <c r="M279" s="16"/>
      <c r="N279" s="16"/>
      <c r="O279" s="16"/>
      <c r="P279" s="16"/>
      <c r="Q279" s="138"/>
      <c r="R279" s="138"/>
      <c r="S279" s="138"/>
      <c r="T279" s="138"/>
      <c r="U279" s="138"/>
      <c r="V279" s="138"/>
      <c r="W279" s="138"/>
      <c r="X279" s="138"/>
      <c r="Y279" s="138"/>
      <c r="AA279" s="138"/>
    </row>
    <row r="280" spans="2:27">
      <c r="B280" s="16"/>
      <c r="C280" s="16"/>
      <c r="D280" s="16"/>
      <c r="E280" s="16"/>
      <c r="F280" s="16"/>
      <c r="G280" s="16"/>
      <c r="H280" s="16"/>
      <c r="I280" s="16"/>
      <c r="J280" s="16"/>
      <c r="K280" s="16"/>
      <c r="L280" s="16"/>
      <c r="M280" s="16"/>
      <c r="N280" s="16"/>
      <c r="O280" s="16"/>
      <c r="P280" s="16"/>
      <c r="Q280" s="138"/>
      <c r="R280" s="138"/>
      <c r="S280" s="138"/>
      <c r="T280" s="138"/>
      <c r="U280" s="138"/>
      <c r="V280" s="138"/>
      <c r="W280" s="138"/>
      <c r="X280" s="138"/>
      <c r="Y280" s="138"/>
      <c r="AA280" s="138"/>
    </row>
    <row r="281" spans="2:27">
      <c r="B281" s="16"/>
      <c r="C281" s="16"/>
      <c r="D281" s="16"/>
      <c r="E281" s="16"/>
      <c r="F281" s="16"/>
      <c r="G281" s="16"/>
      <c r="H281" s="16"/>
      <c r="I281" s="16"/>
      <c r="J281" s="16"/>
      <c r="K281" s="16"/>
      <c r="L281" s="16"/>
      <c r="M281" s="16"/>
      <c r="N281" s="16"/>
      <c r="O281" s="16"/>
      <c r="P281" s="16"/>
      <c r="Q281" s="138"/>
      <c r="R281" s="138"/>
      <c r="S281" s="138"/>
      <c r="T281" s="138"/>
      <c r="U281" s="138"/>
      <c r="V281" s="138"/>
      <c r="W281" s="138"/>
      <c r="X281" s="138"/>
      <c r="Y281" s="138"/>
      <c r="AA281" s="138"/>
    </row>
    <row r="282" spans="2:27">
      <c r="B282" s="16"/>
      <c r="C282" s="16"/>
      <c r="D282" s="16"/>
      <c r="E282" s="16"/>
      <c r="F282" s="16"/>
      <c r="G282" s="16"/>
      <c r="H282" s="16"/>
      <c r="I282" s="16"/>
      <c r="J282" s="16"/>
      <c r="K282" s="16"/>
      <c r="L282" s="16"/>
      <c r="M282" s="16"/>
      <c r="N282" s="16"/>
      <c r="O282" s="16"/>
      <c r="P282" s="16"/>
      <c r="Q282" s="138"/>
      <c r="R282" s="138"/>
      <c r="S282" s="138"/>
      <c r="T282" s="138"/>
      <c r="U282" s="138"/>
      <c r="V282" s="138"/>
      <c r="W282" s="138"/>
      <c r="X282" s="138"/>
      <c r="Y282" s="138"/>
      <c r="AA282" s="138"/>
    </row>
    <row r="283" spans="2:27">
      <c r="B283" s="16"/>
      <c r="C283" s="16"/>
      <c r="D283" s="16"/>
      <c r="E283" s="16"/>
      <c r="F283" s="16"/>
      <c r="G283" s="16"/>
      <c r="H283" s="16"/>
      <c r="I283" s="16"/>
      <c r="J283" s="16"/>
      <c r="K283" s="16"/>
      <c r="L283" s="16"/>
      <c r="M283" s="16"/>
      <c r="N283" s="16"/>
      <c r="O283" s="16"/>
      <c r="P283" s="16"/>
      <c r="Q283" s="138"/>
      <c r="R283" s="138"/>
      <c r="S283" s="138"/>
      <c r="T283" s="138"/>
      <c r="U283" s="138"/>
      <c r="V283" s="138"/>
      <c r="W283" s="138"/>
      <c r="X283" s="138"/>
      <c r="Y283" s="138"/>
      <c r="AA283" s="138"/>
    </row>
    <row r="284" spans="2:27">
      <c r="B284" s="16"/>
      <c r="C284" s="16"/>
      <c r="D284" s="16"/>
      <c r="E284" s="16"/>
      <c r="F284" s="16"/>
      <c r="G284" s="16"/>
      <c r="H284" s="16"/>
      <c r="I284" s="16"/>
      <c r="J284" s="16"/>
      <c r="K284" s="16"/>
      <c r="L284" s="16"/>
      <c r="M284" s="16"/>
      <c r="N284" s="16"/>
      <c r="O284" s="16"/>
      <c r="P284" s="16"/>
      <c r="Q284" s="138"/>
      <c r="R284" s="138"/>
      <c r="S284" s="138"/>
      <c r="T284" s="138"/>
      <c r="U284" s="138"/>
      <c r="V284" s="138"/>
      <c r="W284" s="138"/>
      <c r="X284" s="138"/>
      <c r="Y284" s="138"/>
      <c r="AA284" s="138"/>
    </row>
    <row r="285" spans="2:27">
      <c r="B285" s="16"/>
      <c r="C285" s="16"/>
      <c r="D285" s="16"/>
      <c r="E285" s="16"/>
      <c r="F285" s="16"/>
      <c r="G285" s="16"/>
      <c r="H285" s="16"/>
      <c r="I285" s="16"/>
      <c r="J285" s="16"/>
      <c r="K285" s="16"/>
      <c r="L285" s="16"/>
      <c r="M285" s="16"/>
      <c r="N285" s="16"/>
      <c r="O285" s="16"/>
      <c r="P285" s="16"/>
      <c r="Q285" s="138"/>
      <c r="R285" s="138"/>
      <c r="S285" s="138"/>
      <c r="T285" s="138"/>
      <c r="U285" s="138"/>
      <c r="V285" s="138"/>
      <c r="W285" s="138"/>
      <c r="X285" s="138"/>
      <c r="Y285" s="138"/>
      <c r="AA285" s="138"/>
    </row>
    <row r="286" spans="2:27">
      <c r="B286" s="16"/>
      <c r="C286" s="138"/>
      <c r="D286" s="138"/>
      <c r="E286" s="138"/>
      <c r="F286" s="138"/>
      <c r="G286" s="138"/>
      <c r="H286" s="570"/>
      <c r="I286" s="570"/>
      <c r="J286" s="570"/>
      <c r="K286" s="570"/>
      <c r="L286" s="570"/>
      <c r="M286" s="570"/>
      <c r="N286" s="570"/>
      <c r="O286" s="16"/>
      <c r="P286" s="16"/>
      <c r="Q286" s="138"/>
      <c r="R286" s="138"/>
      <c r="S286" s="138"/>
      <c r="T286" s="138"/>
      <c r="U286" s="138"/>
      <c r="V286" s="138"/>
      <c r="W286" s="138"/>
      <c r="X286" s="138"/>
      <c r="Y286" s="138"/>
      <c r="AA286" s="138"/>
    </row>
    <row r="287" spans="2:27">
      <c r="B287" s="16"/>
      <c r="C287" s="138"/>
      <c r="D287" s="138"/>
      <c r="E287" s="138"/>
      <c r="F287" s="138"/>
      <c r="G287" s="138"/>
      <c r="H287" s="138"/>
      <c r="I287" s="138"/>
      <c r="J287" s="138"/>
      <c r="K287" s="138"/>
      <c r="L287" s="138"/>
      <c r="M287" s="138"/>
      <c r="N287" s="138"/>
      <c r="O287" s="16"/>
      <c r="P287" s="16"/>
      <c r="Q287" s="138"/>
      <c r="R287" s="138"/>
      <c r="S287" s="138"/>
      <c r="T287" s="138"/>
      <c r="U287" s="138"/>
      <c r="V287" s="138"/>
      <c r="W287" s="138"/>
      <c r="X287" s="138"/>
      <c r="Y287" s="138"/>
      <c r="AA287" s="138"/>
    </row>
    <row r="288" spans="2:27">
      <c r="B288" s="16"/>
      <c r="C288" s="54"/>
      <c r="D288" s="54"/>
      <c r="E288" s="54"/>
      <c r="F288" s="54"/>
      <c r="G288" s="54"/>
      <c r="H288" s="60"/>
      <c r="I288" s="60"/>
      <c r="J288" s="60"/>
      <c r="K288" s="60"/>
      <c r="L288" s="60"/>
      <c r="M288" s="60"/>
      <c r="N288" s="60"/>
      <c r="O288" s="16"/>
      <c r="P288" s="16"/>
      <c r="Q288" s="138"/>
      <c r="R288" s="138"/>
      <c r="S288" s="138"/>
      <c r="T288" s="138"/>
      <c r="U288" s="138"/>
      <c r="V288" s="138"/>
      <c r="W288" s="138"/>
      <c r="X288" s="138"/>
      <c r="Y288" s="138"/>
      <c r="AA288" s="138"/>
    </row>
    <row r="289" spans="2:27">
      <c r="B289" s="16"/>
      <c r="C289" s="54"/>
      <c r="D289" s="54"/>
      <c r="E289" s="54"/>
      <c r="F289" s="54"/>
      <c r="G289" s="54"/>
      <c r="H289" s="60"/>
      <c r="I289" s="60"/>
      <c r="J289" s="60"/>
      <c r="K289" s="60"/>
      <c r="L289" s="60"/>
      <c r="M289" s="60"/>
      <c r="N289" s="60"/>
      <c r="O289" s="16"/>
      <c r="P289" s="16"/>
      <c r="Q289" s="138"/>
      <c r="R289" s="138"/>
      <c r="S289" s="138"/>
      <c r="T289" s="138"/>
      <c r="U289" s="138"/>
      <c r="V289" s="138"/>
      <c r="W289" s="138"/>
      <c r="X289" s="138"/>
      <c r="Y289" s="138"/>
      <c r="AA289" s="138"/>
    </row>
    <row r="290" spans="2:27">
      <c r="B290" s="16"/>
      <c r="C290" s="54"/>
      <c r="D290" s="54"/>
      <c r="E290" s="54"/>
      <c r="F290" s="54"/>
      <c r="G290" s="54"/>
      <c r="H290" s="60"/>
      <c r="I290" s="60"/>
      <c r="J290" s="60"/>
      <c r="K290" s="60"/>
      <c r="L290" s="60"/>
      <c r="M290" s="60"/>
      <c r="N290" s="60"/>
      <c r="O290" s="16"/>
      <c r="P290" s="16"/>
      <c r="Q290" s="138"/>
      <c r="R290" s="138"/>
      <c r="S290" s="138"/>
      <c r="T290" s="138"/>
      <c r="U290" s="138"/>
      <c r="V290" s="138"/>
      <c r="W290" s="138"/>
      <c r="X290" s="138"/>
      <c r="Y290" s="138"/>
      <c r="AA290" s="138"/>
    </row>
    <row r="291" spans="2:27">
      <c r="B291" s="16"/>
      <c r="C291" s="54"/>
      <c r="D291" s="54"/>
      <c r="E291" s="54"/>
      <c r="F291" s="54"/>
      <c r="G291" s="54"/>
      <c r="H291" s="60"/>
      <c r="I291" s="60"/>
      <c r="J291" s="60"/>
      <c r="K291" s="60"/>
      <c r="L291" s="60"/>
      <c r="M291" s="60"/>
      <c r="N291" s="60"/>
      <c r="O291" s="16"/>
      <c r="P291" s="16"/>
      <c r="Q291" s="138"/>
      <c r="R291" s="138"/>
      <c r="S291" s="138"/>
      <c r="T291" s="138"/>
      <c r="U291" s="138"/>
      <c r="V291" s="138"/>
      <c r="W291" s="138"/>
      <c r="X291" s="138"/>
      <c r="Y291" s="138"/>
      <c r="AA291" s="138"/>
    </row>
    <row r="292" spans="2:27">
      <c r="C292" s="54"/>
      <c r="D292" s="54"/>
      <c r="E292" s="54"/>
      <c r="F292" s="54"/>
      <c r="G292" s="54"/>
      <c r="H292" s="60"/>
      <c r="I292" s="60"/>
      <c r="J292" s="60"/>
      <c r="K292" s="60"/>
      <c r="L292" s="60"/>
      <c r="M292" s="60"/>
      <c r="O292" s="16"/>
      <c r="P292" s="16"/>
      <c r="Q292" s="138"/>
      <c r="R292" s="138"/>
      <c r="S292" s="138"/>
      <c r="T292" s="138"/>
      <c r="U292" s="138"/>
      <c r="V292" s="138"/>
      <c r="W292" s="138"/>
      <c r="X292" s="138"/>
      <c r="Y292" s="138"/>
      <c r="AA292" s="138"/>
    </row>
    <row r="293" spans="2:27" ht="15.6">
      <c r="B293" s="77" t="s">
        <v>165</v>
      </c>
      <c r="H293" s="138"/>
      <c r="I293" s="138"/>
      <c r="J293" s="138"/>
      <c r="K293" s="138"/>
      <c r="L293" s="138"/>
      <c r="M293" s="138"/>
      <c r="N293" s="78" t="s">
        <v>166</v>
      </c>
      <c r="O293" s="138"/>
      <c r="P293" s="138"/>
      <c r="Q293" s="138"/>
      <c r="R293" s="138"/>
      <c r="S293" s="138"/>
      <c r="T293" s="138"/>
      <c r="U293" s="138"/>
      <c r="V293" s="138"/>
      <c r="W293" s="138"/>
      <c r="X293" s="138"/>
      <c r="Y293" s="138"/>
      <c r="Z293" s="118" t="s">
        <v>2</v>
      </c>
    </row>
    <row r="294" spans="2:27">
      <c r="B294" s="158" t="s">
        <v>82</v>
      </c>
      <c r="C294" s="117">
        <v>2018</v>
      </c>
      <c r="D294" s="103">
        <v>2019</v>
      </c>
      <c r="E294" s="103">
        <v>2020</v>
      </c>
      <c r="F294" s="103">
        <v>2021</v>
      </c>
      <c r="G294" s="103">
        <v>2022</v>
      </c>
      <c r="H294" s="103">
        <v>2023</v>
      </c>
      <c r="I294" s="103">
        <v>2024</v>
      </c>
      <c r="J294" s="103">
        <v>2025</v>
      </c>
      <c r="K294" s="103">
        <v>2026</v>
      </c>
      <c r="L294" s="103">
        <v>2027</v>
      </c>
      <c r="M294" s="103">
        <v>2028</v>
      </c>
      <c r="N294" s="158" t="s">
        <v>82</v>
      </c>
      <c r="O294" s="117">
        <v>2018</v>
      </c>
      <c r="P294" s="117">
        <v>2019</v>
      </c>
      <c r="Q294" s="117">
        <v>2020</v>
      </c>
      <c r="R294" s="117">
        <v>2021</v>
      </c>
      <c r="S294" s="117">
        <v>2022</v>
      </c>
      <c r="T294" s="117">
        <v>2023</v>
      </c>
      <c r="U294" s="117">
        <v>2024</v>
      </c>
      <c r="V294" s="117">
        <v>2025</v>
      </c>
      <c r="W294" s="117">
        <v>2026</v>
      </c>
      <c r="X294" s="117">
        <v>2027</v>
      </c>
      <c r="Y294" s="117">
        <v>2028</v>
      </c>
      <c r="Z294" s="103" t="str">
        <f>$Z$139</f>
        <v>2022-2028</v>
      </c>
    </row>
    <row r="295" spans="2:27">
      <c r="B295" s="22" t="s">
        <v>20</v>
      </c>
      <c r="C295" s="48">
        <f>SUM(FTTx!C8:C11)</f>
        <v>81490373</v>
      </c>
      <c r="D295" s="48">
        <f>SUM(FTTx!D8:D11)</f>
        <v>64055791.75</v>
      </c>
      <c r="E295" s="11">
        <f>SUM(FTTx!E8:E11)</f>
        <v>64245753</v>
      </c>
      <c r="F295" s="11">
        <f>SUM(FTTx!F8:F11)</f>
        <v>0</v>
      </c>
      <c r="G295" s="11">
        <f>SUM(FTTx!G8:G11)</f>
        <v>0</v>
      </c>
      <c r="H295" s="11">
        <f>SUM(FTTx!H8:H11)</f>
        <v>0</v>
      </c>
      <c r="I295" s="11">
        <f>SUM(FTTx!I8:I11)</f>
        <v>0</v>
      </c>
      <c r="J295" s="11">
        <f>SUM(FTTx!J8:J11)</f>
        <v>0</v>
      </c>
      <c r="K295" s="11">
        <f>SUM(FTTx!K8:K11)</f>
        <v>0</v>
      </c>
      <c r="L295" s="11">
        <f>SUM(FTTx!L8:L11)</f>
        <v>0</v>
      </c>
      <c r="M295" s="11">
        <f>SUM(FTTx!M8:M11)</f>
        <v>0</v>
      </c>
      <c r="N295" s="33" t="str">
        <f t="shared" ref="N295:N300" si="27">B295</f>
        <v>GPON</v>
      </c>
      <c r="O295" s="64">
        <f>SUM(FTTx!C59:C62)</f>
        <v>412.92291733724369</v>
      </c>
      <c r="P295" s="64">
        <f>SUM(FTTx!D59:D62)</f>
        <v>308.10625172132325</v>
      </c>
      <c r="Q295" s="64">
        <f>SUM(FTTx!E59:E62)</f>
        <v>173.30062999999998</v>
      </c>
      <c r="R295" s="64">
        <f>SUM(FTTx!F59:F62)</f>
        <v>0</v>
      </c>
      <c r="S295" s="64">
        <f>SUM(FTTx!G59:G62)</f>
        <v>0</v>
      </c>
      <c r="T295" s="64">
        <f>SUM(FTTx!H59:H62)</f>
        <v>0</v>
      </c>
      <c r="U295" s="64">
        <f>SUM(FTTx!I59:I62)</f>
        <v>0</v>
      </c>
      <c r="V295" s="64">
        <f>SUM(FTTx!J59:J62)</f>
        <v>0</v>
      </c>
      <c r="W295" s="64">
        <f>SUM(FTTx!K59:K62)</f>
        <v>0</v>
      </c>
      <c r="X295" s="64">
        <f>SUM(FTTx!L59:L62)</f>
        <v>0</v>
      </c>
      <c r="Y295" s="64">
        <f>SUM(FTTx!M59:M62)</f>
        <v>0</v>
      </c>
      <c r="Z295" s="140" t="e">
        <f>(Y295/S295)^(1/6)-1</f>
        <v>#DIV/0!</v>
      </c>
    </row>
    <row r="296" spans="2:27">
      <c r="B296" s="22" t="s">
        <v>21</v>
      </c>
      <c r="C296" s="48">
        <f>SUM(FTTx!C12:C14)</f>
        <v>8058961.9423999991</v>
      </c>
      <c r="D296" s="48">
        <f>SUM(FTTx!D12:D14)</f>
        <v>4035961.2211999996</v>
      </c>
      <c r="E296" s="11">
        <f>SUM(FTTx!E12:E14)</f>
        <v>2628060.2798399995</v>
      </c>
      <c r="F296" s="11">
        <f>SUM(FTTx!F12:F14)</f>
        <v>0</v>
      </c>
      <c r="G296" s="11">
        <f>SUM(FTTx!G12:G14)</f>
        <v>0</v>
      </c>
      <c r="H296" s="11">
        <f>SUM(FTTx!H12:H14)</f>
        <v>0</v>
      </c>
      <c r="I296" s="11">
        <f>SUM(FTTx!I12:I14)</f>
        <v>0</v>
      </c>
      <c r="J296" s="11">
        <f>SUM(FTTx!J12:J14)</f>
        <v>0</v>
      </c>
      <c r="K296" s="11">
        <f>SUM(FTTx!K12:K14)</f>
        <v>0</v>
      </c>
      <c r="L296" s="11">
        <f>SUM(FTTx!L12:L14)</f>
        <v>0</v>
      </c>
      <c r="M296" s="11">
        <f>SUM(FTTx!M12:M14)</f>
        <v>0</v>
      </c>
      <c r="N296" s="33" t="str">
        <f t="shared" si="27"/>
        <v>EPON</v>
      </c>
      <c r="O296" s="64">
        <f>SUM(FTTx!C63:C65)</f>
        <v>44.537029713288099</v>
      </c>
      <c r="P296" s="64">
        <f>SUM(FTTx!D63:D65)</f>
        <v>18.822052169774089</v>
      </c>
      <c r="Q296" s="64">
        <f>SUM(FTTx!E63:E65)</f>
        <v>6.6421205596799986</v>
      </c>
      <c r="R296" s="64">
        <f>SUM(FTTx!F63:F65)</f>
        <v>0</v>
      </c>
      <c r="S296" s="64">
        <f>SUM(FTTx!G63:G65)</f>
        <v>0</v>
      </c>
      <c r="T296" s="64">
        <f>SUM(FTTx!H63:H65)</f>
        <v>0</v>
      </c>
      <c r="U296" s="64">
        <f>SUM(FTTx!I63:I65)</f>
        <v>0</v>
      </c>
      <c r="V296" s="64">
        <f>SUM(FTTx!J63:J65)</f>
        <v>0</v>
      </c>
      <c r="W296" s="64">
        <f>SUM(FTTx!K63:K65)</f>
        <v>0</v>
      </c>
      <c r="X296" s="64">
        <f>SUM(FTTx!L63:L65)</f>
        <v>0</v>
      </c>
      <c r="Y296" s="64">
        <f>SUM(FTTx!M63:M65)</f>
        <v>0</v>
      </c>
      <c r="Z296" s="140" t="e">
        <f>(Y296/S296)^(1/6)-1</f>
        <v>#DIV/0!</v>
      </c>
    </row>
    <row r="297" spans="2:27">
      <c r="B297" s="22" t="s">
        <v>297</v>
      </c>
      <c r="C297" s="48">
        <f>SUM(FTTx!C15:C21)</f>
        <v>2506000</v>
      </c>
      <c r="D297" s="48">
        <f>SUM(FTTx!D15:D21)</f>
        <v>4220129</v>
      </c>
      <c r="E297" s="48">
        <f>SUM(FTTx!E15:E21)</f>
        <v>9728819.9031914882</v>
      </c>
      <c r="F297" s="48">
        <f>SUM(FTTx!F15:F21)</f>
        <v>0</v>
      </c>
      <c r="G297" s="48">
        <f>SUM(FTTx!G15:G21)</f>
        <v>0</v>
      </c>
      <c r="H297" s="48">
        <f>SUM(FTTx!H15:H21)</f>
        <v>0</v>
      </c>
      <c r="I297" s="48">
        <f>SUM(FTTx!I15:I21)</f>
        <v>0</v>
      </c>
      <c r="J297" s="48">
        <f>SUM(FTTx!J15:J21)</f>
        <v>0</v>
      </c>
      <c r="K297" s="48">
        <f>SUM(FTTx!K15:K21)</f>
        <v>0</v>
      </c>
      <c r="L297" s="48">
        <f>SUM(FTTx!L15:L21)</f>
        <v>0</v>
      </c>
      <c r="M297" s="48">
        <f>SUM(FTTx!M15:M21)</f>
        <v>0</v>
      </c>
      <c r="N297" s="33" t="str">
        <f t="shared" si="27"/>
        <v>10G-PON</v>
      </c>
      <c r="O297" s="64">
        <f>SUM(FTTx!C66:C72)</f>
        <v>183.62701702266691</v>
      </c>
      <c r="P297" s="64">
        <f>SUM(FTTx!D66:D72)</f>
        <v>252.11707801926076</v>
      </c>
      <c r="Q297" s="64">
        <f>SUM(FTTx!E66:E72)</f>
        <v>356.76576064296671</v>
      </c>
      <c r="R297" s="64">
        <f>SUM(FTTx!F66:F72)</f>
        <v>0</v>
      </c>
      <c r="S297" s="64">
        <f>SUM(FTTx!G66:G72)</f>
        <v>0</v>
      </c>
      <c r="T297" s="64">
        <f>SUM(FTTx!H66:H72)</f>
        <v>0</v>
      </c>
      <c r="U297" s="64">
        <f>SUM(FTTx!I66:I72)</f>
        <v>0</v>
      </c>
      <c r="V297" s="64">
        <f>SUM(FTTx!J66:J72)</f>
        <v>0</v>
      </c>
      <c r="W297" s="64">
        <f>SUM(FTTx!K66:K72)</f>
        <v>0</v>
      </c>
      <c r="X297" s="64">
        <f>SUM(FTTx!L66:L72)</f>
        <v>0</v>
      </c>
      <c r="Y297" s="64">
        <f>SUM(FTTx!M66:M72)</f>
        <v>0</v>
      </c>
      <c r="Z297" s="140" t="e">
        <f>(Y297/S297)^(1/6)-1</f>
        <v>#DIV/0!</v>
      </c>
    </row>
    <row r="298" spans="2:27">
      <c r="B298" s="22" t="s">
        <v>296</v>
      </c>
      <c r="C298" s="48">
        <f>SUM(FTTx!C22:C23)</f>
        <v>1150</v>
      </c>
      <c r="D298" s="48">
        <f>SUM(FTTx!D22:D23)</f>
        <v>4200</v>
      </c>
      <c r="E298" s="48">
        <f>SUM(FTTx!E22:E23)</f>
        <v>100000</v>
      </c>
      <c r="F298" s="48">
        <f>SUM(FTTx!F22:F23)</f>
        <v>0</v>
      </c>
      <c r="G298" s="48">
        <f>SUM(FTTx!G22:G23)</f>
        <v>0</v>
      </c>
      <c r="H298" s="48">
        <f>SUM(FTTx!H22:H23)</f>
        <v>0</v>
      </c>
      <c r="I298" s="48">
        <f>SUM(FTTx!I22:I23)</f>
        <v>0</v>
      </c>
      <c r="J298" s="48">
        <f>SUM(FTTx!J22:J23)</f>
        <v>0</v>
      </c>
      <c r="K298" s="48">
        <f>SUM(FTTx!K22:K23)</f>
        <v>0</v>
      </c>
      <c r="L298" s="48">
        <f>SUM(FTTx!L22:L23)</f>
        <v>0</v>
      </c>
      <c r="M298" s="48">
        <f>SUM(FTTx!M22:M23)</f>
        <v>0</v>
      </c>
      <c r="N298" s="33" t="str">
        <f t="shared" si="27"/>
        <v>NG-PON2</v>
      </c>
      <c r="O298" s="64">
        <f>SUM(FTTx!C73:C74)</f>
        <v>0.77749999999999997</v>
      </c>
      <c r="P298" s="64">
        <f>SUM(FTTx!D73:D74)</f>
        <v>2.76</v>
      </c>
      <c r="Q298" s="64">
        <f>SUM(FTTx!E73:E74)</f>
        <v>65.875</v>
      </c>
      <c r="R298" s="64">
        <f>SUM(FTTx!F73:F74)</f>
        <v>0</v>
      </c>
      <c r="S298" s="64">
        <f>SUM(FTTx!G73:G74)</f>
        <v>0</v>
      </c>
      <c r="T298" s="64">
        <f>SUM(FTTx!H73:H74)</f>
        <v>0</v>
      </c>
      <c r="U298" s="64">
        <f>SUM(FTTx!I73:I74)</f>
        <v>0</v>
      </c>
      <c r="V298" s="64">
        <f>SUM(FTTx!J73:J74)</f>
        <v>0</v>
      </c>
      <c r="W298" s="64">
        <f>SUM(FTTx!K73:K74)</f>
        <v>0</v>
      </c>
      <c r="X298" s="64">
        <f>SUM(FTTx!L73:L74)</f>
        <v>0</v>
      </c>
      <c r="Y298" s="64">
        <f>SUM(FTTx!M73:M74)</f>
        <v>0</v>
      </c>
      <c r="Z298" s="140" t="e">
        <f>(Y298/S298)^(1/6)-1</f>
        <v>#DIV/0!</v>
      </c>
    </row>
    <row r="299" spans="2:27">
      <c r="B299" s="22" t="s">
        <v>457</v>
      </c>
      <c r="C299" s="48">
        <f>SUM(FTTx!C24:C25)</f>
        <v>0</v>
      </c>
      <c r="D299" s="48">
        <f>SUM(FTTx!D24:D25)</f>
        <v>0</v>
      </c>
      <c r="E299" s="48">
        <f>SUM(FTTx!E24:E25)</f>
        <v>0</v>
      </c>
      <c r="F299" s="48">
        <f>SUM(FTTx!F24:F25)</f>
        <v>0</v>
      </c>
      <c r="G299" s="48">
        <f>SUM(FTTx!G24:G25)</f>
        <v>0</v>
      </c>
      <c r="H299" s="48">
        <f>SUM(FTTx!H24:H25)</f>
        <v>0</v>
      </c>
      <c r="I299" s="48">
        <f>SUM(FTTx!I24:I25)</f>
        <v>0</v>
      </c>
      <c r="J299" s="48">
        <f>SUM(FTTx!J24:J25)</f>
        <v>0</v>
      </c>
      <c r="K299" s="48">
        <f>SUM(FTTx!K24:K25)</f>
        <v>0</v>
      </c>
      <c r="L299" s="48">
        <f>SUM(FTTx!L24:L25)</f>
        <v>0</v>
      </c>
      <c r="M299" s="48">
        <f>SUM(FTTx!M24:M25)</f>
        <v>0</v>
      </c>
      <c r="N299" s="33" t="str">
        <f t="shared" si="27"/>
        <v>25G PON</v>
      </c>
      <c r="O299" s="64">
        <f>SUM(FTTx!C75:C76)</f>
        <v>0</v>
      </c>
      <c r="P299" s="64">
        <f>SUM(FTTx!D75:D76)</f>
        <v>0</v>
      </c>
      <c r="Q299" s="64">
        <f>SUM(FTTx!E75:E76)</f>
        <v>0</v>
      </c>
      <c r="R299" s="64">
        <f>SUM(FTTx!F75:F76)</f>
        <v>0</v>
      </c>
      <c r="S299" s="64">
        <f>SUM(FTTx!G75:G76)</f>
        <v>0</v>
      </c>
      <c r="T299" s="64">
        <f>SUM(FTTx!H75:H76)</f>
        <v>0</v>
      </c>
      <c r="U299" s="64">
        <f>SUM(FTTx!I75:I76)</f>
        <v>0</v>
      </c>
      <c r="V299" s="64">
        <f>SUM(FTTx!J75:J76)</f>
        <v>0</v>
      </c>
      <c r="W299" s="64">
        <f>SUM(FTTx!K75:K76)</f>
        <v>0</v>
      </c>
      <c r="X299" s="64">
        <f>SUM(FTTx!L75:L76)</f>
        <v>0</v>
      </c>
      <c r="Y299" s="64">
        <f>SUM(FTTx!M75:M76)</f>
        <v>0</v>
      </c>
      <c r="Z299" s="140" t="e">
        <f>(Y299/S299)^(1/6)-1</f>
        <v>#DIV/0!</v>
      </c>
    </row>
    <row r="300" spans="2:27">
      <c r="B300" s="22" t="s">
        <v>458</v>
      </c>
      <c r="C300" s="48">
        <f>SUM(FTTx!C26:C27)</f>
        <v>0</v>
      </c>
      <c r="D300" s="48">
        <f>SUM(FTTx!D26:D27)</f>
        <v>0</v>
      </c>
      <c r="E300" s="48">
        <f>SUM(FTTx!E26:E27)</f>
        <v>0</v>
      </c>
      <c r="F300" s="48">
        <f>SUM(FTTx!F26:F27)</f>
        <v>0</v>
      </c>
      <c r="G300" s="48">
        <f>SUM(FTTx!G26:G27)</f>
        <v>0</v>
      </c>
      <c r="H300" s="48">
        <f>SUM(FTTx!H26:H27)</f>
        <v>0</v>
      </c>
      <c r="I300" s="48">
        <f>SUM(FTTx!I26:I27)</f>
        <v>0</v>
      </c>
      <c r="J300" s="48">
        <f>SUM(FTTx!J26:J27)</f>
        <v>0</v>
      </c>
      <c r="K300" s="48">
        <f>SUM(FTTx!K26:K27)</f>
        <v>0</v>
      </c>
      <c r="L300" s="48">
        <f>SUM(FTTx!L26:L27)</f>
        <v>0</v>
      </c>
      <c r="M300" s="48">
        <f>SUM(FTTx!M26:M27)</f>
        <v>0</v>
      </c>
      <c r="N300" s="33" t="str">
        <f t="shared" si="27"/>
        <v>50G PON</v>
      </c>
      <c r="O300" s="64">
        <f>SUM(FTTx!C77:C78)</f>
        <v>0</v>
      </c>
      <c r="P300" s="64">
        <f>SUM(FTTx!D77:D78)</f>
        <v>0</v>
      </c>
      <c r="Q300" s="64">
        <f>SUM(FTTx!E77:E78)</f>
        <v>0</v>
      </c>
      <c r="R300" s="64">
        <f>SUM(FTTx!F77:F78)</f>
        <v>0</v>
      </c>
      <c r="S300" s="64">
        <f>SUM(FTTx!G77:G78)</f>
        <v>0</v>
      </c>
      <c r="T300" s="64">
        <f>SUM(FTTx!H77:H78)</f>
        <v>0</v>
      </c>
      <c r="U300" s="64">
        <f>SUM(FTTx!I77:I78)</f>
        <v>0</v>
      </c>
      <c r="V300" s="64">
        <f>SUM(FTTx!J77:J78)</f>
        <v>0</v>
      </c>
      <c r="W300" s="64">
        <f>SUM(FTTx!K77:K78)</f>
        <v>0</v>
      </c>
      <c r="X300" s="64">
        <f>SUM(FTTx!L77:L78)</f>
        <v>0</v>
      </c>
      <c r="Y300" s="64">
        <f>SUM(FTTx!M77:M78)</f>
        <v>0</v>
      </c>
      <c r="Z300" s="140"/>
    </row>
    <row r="301" spans="2:27">
      <c r="B301" s="160" t="s">
        <v>93</v>
      </c>
      <c r="C301" s="167">
        <f t="shared" ref="C301:M301" si="28">SUM(C295:C300)</f>
        <v>92056484.942399994</v>
      </c>
      <c r="D301" s="167">
        <f t="shared" si="28"/>
        <v>72316081.971200004</v>
      </c>
      <c r="E301" s="167">
        <f t="shared" si="28"/>
        <v>76702633.183031484</v>
      </c>
      <c r="F301" s="167">
        <f t="shared" si="28"/>
        <v>0</v>
      </c>
      <c r="G301" s="167">
        <f t="shared" si="28"/>
        <v>0</v>
      </c>
      <c r="H301" s="167">
        <f t="shared" si="28"/>
        <v>0</v>
      </c>
      <c r="I301" s="167">
        <f t="shared" si="28"/>
        <v>0</v>
      </c>
      <c r="J301" s="167">
        <f t="shared" si="28"/>
        <v>0</v>
      </c>
      <c r="K301" s="167">
        <f t="shared" si="28"/>
        <v>0</v>
      </c>
      <c r="L301" s="167">
        <f t="shared" si="28"/>
        <v>0</v>
      </c>
      <c r="M301" s="167">
        <f t="shared" si="28"/>
        <v>0</v>
      </c>
      <c r="N301" s="162" t="s">
        <v>93</v>
      </c>
      <c r="O301" s="105">
        <f t="shared" ref="O301:Y301" si="29">SUM(O295:O300)</f>
        <v>641.86446407319875</v>
      </c>
      <c r="P301" s="105">
        <f t="shared" si="29"/>
        <v>581.80538191035816</v>
      </c>
      <c r="Q301" s="105">
        <f t="shared" si="29"/>
        <v>602.58351120264672</v>
      </c>
      <c r="R301" s="105">
        <f t="shared" si="29"/>
        <v>0</v>
      </c>
      <c r="S301" s="105">
        <f t="shared" si="29"/>
        <v>0</v>
      </c>
      <c r="T301" s="105">
        <f t="shared" si="29"/>
        <v>0</v>
      </c>
      <c r="U301" s="105">
        <f t="shared" si="29"/>
        <v>0</v>
      </c>
      <c r="V301" s="105">
        <f t="shared" si="29"/>
        <v>0</v>
      </c>
      <c r="W301" s="105">
        <f t="shared" si="29"/>
        <v>0</v>
      </c>
      <c r="X301" s="105">
        <f t="shared" si="29"/>
        <v>0</v>
      </c>
      <c r="Y301" s="105">
        <f t="shared" si="29"/>
        <v>0</v>
      </c>
      <c r="Z301" s="144" t="e">
        <f>(Y301/S301)^(1/6)-1</f>
        <v>#DIV/0!</v>
      </c>
    </row>
    <row r="302" spans="2:27">
      <c r="AA302" s="138"/>
    </row>
    <row r="303" spans="2:27" ht="15.6">
      <c r="B303" s="77" t="s">
        <v>97</v>
      </c>
      <c r="C303" s="54"/>
      <c r="D303" s="54"/>
      <c r="E303" s="54"/>
      <c r="F303" s="54"/>
      <c r="G303" s="54"/>
      <c r="H303" s="44"/>
      <c r="I303" s="44"/>
      <c r="J303" s="44"/>
      <c r="K303" s="44"/>
      <c r="L303" s="44"/>
      <c r="M303" s="44"/>
      <c r="N303" s="77" t="s">
        <v>98</v>
      </c>
      <c r="O303" s="16"/>
      <c r="P303" s="16"/>
      <c r="Q303" s="138"/>
      <c r="R303" s="138"/>
      <c r="S303" s="138"/>
      <c r="T303" s="138"/>
      <c r="U303" s="138"/>
      <c r="V303" s="138"/>
      <c r="W303" s="138"/>
      <c r="X303" s="138"/>
      <c r="Y303" s="138"/>
      <c r="AA303" s="138"/>
    </row>
    <row r="304" spans="2:27">
      <c r="B304" s="16"/>
      <c r="C304" s="31"/>
      <c r="D304" s="31"/>
      <c r="E304" s="31"/>
      <c r="F304" s="31"/>
      <c r="G304" s="31"/>
      <c r="H304" s="32"/>
      <c r="I304" s="32"/>
      <c r="J304" s="32"/>
      <c r="K304" s="32"/>
      <c r="L304" s="32"/>
      <c r="M304" s="32"/>
      <c r="N304" s="32"/>
      <c r="O304" s="16"/>
      <c r="P304" s="16"/>
      <c r="Q304" s="138"/>
      <c r="R304" s="138"/>
      <c r="S304" s="138"/>
      <c r="T304" s="138"/>
      <c r="U304" s="138"/>
      <c r="V304" s="138"/>
      <c r="W304" s="138"/>
      <c r="X304" s="138"/>
      <c r="Y304" s="138"/>
      <c r="AA304" s="138"/>
    </row>
    <row r="305" spans="2:27">
      <c r="B305" s="16"/>
      <c r="C305" s="31"/>
      <c r="D305" s="31"/>
      <c r="E305" s="31"/>
      <c r="F305" s="31"/>
      <c r="G305" s="31"/>
      <c r="H305" s="32"/>
      <c r="I305" s="32"/>
      <c r="J305" s="32"/>
      <c r="K305" s="32"/>
      <c r="L305" s="32"/>
      <c r="M305" s="32"/>
      <c r="N305" s="32"/>
      <c r="O305" s="16"/>
      <c r="P305" s="16"/>
      <c r="Q305" s="138"/>
      <c r="R305" s="138"/>
      <c r="S305" s="138"/>
      <c r="T305" s="138"/>
      <c r="U305" s="138"/>
      <c r="V305" s="138"/>
      <c r="W305" s="138"/>
      <c r="X305" s="138"/>
      <c r="Y305" s="138"/>
      <c r="AA305" s="138"/>
    </row>
    <row r="306" spans="2:27">
      <c r="B306" s="16"/>
      <c r="C306" s="31"/>
      <c r="D306" s="31"/>
      <c r="E306" s="31"/>
      <c r="F306" s="31"/>
      <c r="G306" s="31"/>
      <c r="H306" s="32"/>
      <c r="I306" s="32"/>
      <c r="J306" s="32"/>
      <c r="K306" s="32"/>
      <c r="L306" s="32"/>
      <c r="M306" s="32"/>
      <c r="N306" s="32"/>
      <c r="O306" s="16"/>
      <c r="P306" s="16"/>
      <c r="Q306" s="138"/>
      <c r="R306" s="138"/>
      <c r="S306" s="138"/>
      <c r="T306" s="138"/>
      <c r="U306" s="138"/>
      <c r="V306" s="138"/>
      <c r="W306" s="138"/>
      <c r="X306" s="138"/>
      <c r="Y306" s="138"/>
      <c r="AA306" s="138"/>
    </row>
    <row r="307" spans="2:27">
      <c r="B307" s="16"/>
      <c r="C307" s="31"/>
      <c r="D307" s="31"/>
      <c r="E307" s="31"/>
      <c r="F307" s="31"/>
      <c r="G307" s="31"/>
      <c r="H307" s="32"/>
      <c r="I307" s="32"/>
      <c r="J307" s="32"/>
      <c r="K307" s="32"/>
      <c r="L307" s="32"/>
      <c r="M307" s="32"/>
      <c r="N307" s="32"/>
      <c r="O307" s="16"/>
      <c r="P307" s="16"/>
      <c r="Q307" s="138"/>
      <c r="R307" s="138"/>
      <c r="S307" s="138"/>
      <c r="T307" s="138"/>
      <c r="U307" s="138"/>
      <c r="V307" s="138"/>
      <c r="W307" s="138"/>
      <c r="X307" s="138"/>
      <c r="Y307" s="138"/>
      <c r="AA307" s="138"/>
    </row>
    <row r="308" spans="2:27">
      <c r="B308" s="16"/>
      <c r="C308" s="31"/>
      <c r="D308" s="31"/>
      <c r="E308" s="31"/>
      <c r="F308" s="31"/>
      <c r="G308" s="31"/>
      <c r="H308" s="32"/>
      <c r="I308" s="32"/>
      <c r="J308" s="32"/>
      <c r="K308" s="32"/>
      <c r="L308" s="32"/>
      <c r="M308" s="32"/>
      <c r="N308" s="32"/>
      <c r="O308" s="16"/>
      <c r="P308" s="16"/>
      <c r="Q308" s="138"/>
      <c r="R308" s="138"/>
      <c r="S308" s="138"/>
      <c r="T308" s="138"/>
      <c r="U308" s="138"/>
      <c r="V308" s="138"/>
      <c r="W308" s="138"/>
      <c r="X308" s="138"/>
      <c r="Y308" s="138"/>
      <c r="AA308" s="138"/>
    </row>
    <row r="309" spans="2:27">
      <c r="B309" s="16"/>
      <c r="C309" s="31"/>
      <c r="D309" s="31"/>
      <c r="E309" s="31"/>
      <c r="F309" s="31"/>
      <c r="G309" s="31"/>
      <c r="H309" s="32"/>
      <c r="I309" s="32"/>
      <c r="J309" s="32"/>
      <c r="K309" s="32"/>
      <c r="L309" s="32"/>
      <c r="M309" s="32"/>
      <c r="N309" s="32"/>
      <c r="O309" s="16"/>
      <c r="P309" s="16"/>
      <c r="Q309" s="138"/>
      <c r="R309" s="138"/>
      <c r="S309" s="138"/>
      <c r="T309" s="138"/>
      <c r="U309" s="138"/>
      <c r="V309" s="138"/>
      <c r="W309" s="138"/>
      <c r="X309" s="138"/>
      <c r="Y309" s="138"/>
      <c r="AA309" s="138"/>
    </row>
    <row r="310" spans="2:27">
      <c r="B310" s="16"/>
      <c r="C310" s="31"/>
      <c r="D310" s="31"/>
      <c r="E310" s="31"/>
      <c r="F310" s="31"/>
      <c r="G310" s="31"/>
      <c r="H310" s="32"/>
      <c r="I310" s="32"/>
      <c r="J310" s="32"/>
      <c r="K310" s="32"/>
      <c r="L310" s="32"/>
      <c r="M310" s="32"/>
      <c r="N310" s="32"/>
      <c r="O310" s="16"/>
      <c r="P310" s="16"/>
      <c r="Q310" s="138"/>
      <c r="R310" s="138"/>
      <c r="S310" s="138"/>
      <c r="T310" s="138"/>
      <c r="U310" s="138"/>
      <c r="V310" s="138"/>
      <c r="W310" s="138"/>
      <c r="X310" s="138"/>
      <c r="Y310" s="138"/>
      <c r="AA310" s="138"/>
    </row>
    <row r="311" spans="2:27">
      <c r="B311" s="16"/>
      <c r="C311" s="31"/>
      <c r="D311" s="31"/>
      <c r="E311" s="31"/>
      <c r="F311" s="31"/>
      <c r="G311" s="31"/>
      <c r="H311" s="32"/>
      <c r="I311" s="32"/>
      <c r="J311" s="32"/>
      <c r="K311" s="32"/>
      <c r="L311" s="32"/>
      <c r="M311" s="32"/>
      <c r="N311" s="32"/>
      <c r="O311" s="16"/>
      <c r="P311" s="16"/>
      <c r="Q311" s="138"/>
      <c r="R311" s="138"/>
      <c r="S311" s="138"/>
      <c r="T311" s="138"/>
      <c r="U311" s="138"/>
      <c r="V311" s="138"/>
      <c r="W311" s="138"/>
      <c r="X311" s="138"/>
      <c r="Y311" s="138"/>
      <c r="AA311" s="138"/>
    </row>
    <row r="312" spans="2:27">
      <c r="B312" s="16"/>
      <c r="C312" s="31"/>
      <c r="D312" s="31"/>
      <c r="E312" s="31"/>
      <c r="F312" s="31"/>
      <c r="G312" s="31"/>
      <c r="H312" s="32"/>
      <c r="I312" s="32"/>
      <c r="J312" s="32"/>
      <c r="K312" s="32"/>
      <c r="L312" s="32"/>
      <c r="M312" s="32"/>
      <c r="N312" s="32"/>
      <c r="O312" s="16"/>
      <c r="P312" s="16"/>
      <c r="Q312" s="138"/>
      <c r="R312" s="138"/>
      <c r="S312" s="138"/>
      <c r="T312" s="138"/>
      <c r="U312" s="138"/>
      <c r="V312" s="138"/>
      <c r="W312" s="138"/>
      <c r="X312" s="138"/>
      <c r="Y312" s="138"/>
      <c r="AA312" s="138"/>
    </row>
    <row r="313" spans="2:27">
      <c r="B313" s="16"/>
      <c r="C313" s="31"/>
      <c r="D313" s="31"/>
      <c r="E313" s="31"/>
      <c r="F313" s="31"/>
      <c r="G313" s="31"/>
      <c r="H313" s="32"/>
      <c r="I313" s="32"/>
      <c r="J313" s="32"/>
      <c r="K313" s="32"/>
      <c r="L313" s="32"/>
      <c r="M313" s="32"/>
      <c r="N313" s="32"/>
      <c r="O313" s="16"/>
      <c r="P313" s="16"/>
      <c r="Q313" s="138"/>
      <c r="R313" s="138"/>
      <c r="S313" s="138"/>
      <c r="T313" s="138"/>
      <c r="U313" s="138"/>
      <c r="V313" s="138"/>
      <c r="W313" s="138"/>
      <c r="X313" s="138"/>
      <c r="Y313" s="138"/>
      <c r="AA313" s="138"/>
    </row>
    <row r="314" spans="2:27">
      <c r="B314" s="16"/>
      <c r="C314" s="31"/>
      <c r="D314" s="31"/>
      <c r="E314" s="31"/>
      <c r="F314" s="31"/>
      <c r="G314" s="31"/>
      <c r="H314" s="32"/>
      <c r="I314" s="32"/>
      <c r="J314" s="32"/>
      <c r="K314" s="32"/>
      <c r="L314" s="32"/>
      <c r="M314" s="32"/>
      <c r="N314" s="32"/>
      <c r="O314" s="16"/>
      <c r="P314" s="16"/>
      <c r="Q314" s="138"/>
      <c r="R314" s="138"/>
      <c r="S314" s="138"/>
      <c r="T314" s="138"/>
      <c r="U314" s="138"/>
      <c r="V314" s="138"/>
      <c r="W314" s="138"/>
      <c r="X314" s="138"/>
      <c r="Y314" s="138"/>
      <c r="AA314" s="138"/>
    </row>
    <row r="315" spans="2:27">
      <c r="B315" s="16"/>
      <c r="C315" s="31"/>
      <c r="D315" s="31"/>
      <c r="E315" s="31"/>
      <c r="F315" s="31"/>
      <c r="G315" s="31"/>
      <c r="H315" s="32"/>
      <c r="I315" s="32"/>
      <c r="J315" s="32"/>
      <c r="K315" s="32"/>
      <c r="L315" s="32"/>
      <c r="M315" s="32"/>
      <c r="N315" s="32"/>
      <c r="O315" s="16"/>
      <c r="P315" s="16"/>
      <c r="Q315" s="138"/>
      <c r="R315" s="138"/>
      <c r="S315" s="138"/>
      <c r="T315" s="138"/>
      <c r="U315" s="138"/>
      <c r="V315" s="138"/>
      <c r="W315" s="138"/>
      <c r="X315" s="138"/>
      <c r="Y315" s="138"/>
      <c r="AA315" s="138"/>
    </row>
    <row r="316" spans="2:27">
      <c r="B316" s="16"/>
      <c r="C316" s="31"/>
      <c r="D316" s="31"/>
      <c r="E316" s="31"/>
      <c r="F316" s="31"/>
      <c r="G316" s="31"/>
      <c r="H316" s="32"/>
      <c r="I316" s="32"/>
      <c r="J316" s="32"/>
      <c r="K316" s="32"/>
      <c r="L316" s="32"/>
      <c r="M316" s="32"/>
      <c r="N316" s="32"/>
      <c r="O316" s="16"/>
      <c r="P316" s="16"/>
      <c r="Q316" s="138"/>
      <c r="R316" s="138"/>
      <c r="S316" s="138"/>
      <c r="T316" s="138"/>
      <c r="U316" s="138"/>
      <c r="V316" s="138"/>
      <c r="W316" s="138"/>
      <c r="X316" s="138"/>
      <c r="Y316" s="138"/>
      <c r="AA316" s="138"/>
    </row>
    <row r="317" spans="2:27">
      <c r="B317" s="16"/>
      <c r="C317" s="31"/>
      <c r="D317" s="31"/>
      <c r="E317" s="31"/>
      <c r="F317" s="31"/>
      <c r="G317" s="31"/>
      <c r="H317" s="32"/>
      <c r="I317" s="32"/>
      <c r="J317" s="32"/>
      <c r="K317" s="32"/>
      <c r="L317" s="32"/>
      <c r="M317" s="32"/>
      <c r="N317" s="32"/>
      <c r="O317" s="16"/>
      <c r="P317" s="16"/>
      <c r="Q317" s="138"/>
      <c r="R317" s="138"/>
      <c r="S317" s="138"/>
      <c r="T317" s="138"/>
      <c r="U317" s="138"/>
      <c r="V317" s="138"/>
      <c r="W317" s="138"/>
      <c r="X317" s="138"/>
      <c r="Y317" s="138"/>
      <c r="AA317" s="138"/>
    </row>
    <row r="318" spans="2:27">
      <c r="B318" s="16"/>
      <c r="C318" s="31"/>
      <c r="D318" s="31"/>
      <c r="E318" s="31"/>
      <c r="F318" s="31"/>
      <c r="G318" s="31"/>
      <c r="H318" s="32"/>
      <c r="I318" s="32"/>
      <c r="J318" s="32"/>
      <c r="K318" s="32"/>
      <c r="L318" s="32"/>
      <c r="M318" s="32"/>
      <c r="N318" s="32"/>
      <c r="O318" s="16"/>
      <c r="P318" s="16"/>
      <c r="Q318" s="138"/>
      <c r="R318" s="138"/>
      <c r="S318" s="138"/>
      <c r="T318" s="138"/>
      <c r="U318" s="138"/>
      <c r="V318" s="138"/>
      <c r="W318" s="138"/>
      <c r="X318" s="138"/>
      <c r="Y318" s="138"/>
      <c r="AA318" s="138"/>
    </row>
    <row r="319" spans="2:27">
      <c r="B319" s="16"/>
      <c r="C319" s="31"/>
      <c r="D319" s="31"/>
      <c r="E319" s="31"/>
      <c r="F319" s="31"/>
      <c r="G319" s="31"/>
      <c r="H319" s="32"/>
      <c r="I319" s="32"/>
      <c r="J319" s="32"/>
      <c r="K319" s="32"/>
      <c r="L319" s="32"/>
      <c r="M319" s="32"/>
      <c r="N319" s="32"/>
      <c r="O319" s="16"/>
      <c r="P319" s="16"/>
      <c r="Q319" s="138"/>
      <c r="R319" s="138"/>
      <c r="S319" s="138"/>
      <c r="T319" s="138"/>
      <c r="U319" s="138"/>
      <c r="V319" s="138"/>
      <c r="W319" s="138"/>
      <c r="X319" s="138"/>
      <c r="Y319" s="138"/>
      <c r="AA319" s="138"/>
    </row>
    <row r="320" spans="2:27" ht="15.6">
      <c r="B320" s="77"/>
      <c r="C320" s="54"/>
      <c r="D320" s="54"/>
      <c r="E320" s="54"/>
      <c r="F320" s="54"/>
      <c r="G320" s="54"/>
      <c r="H320" s="60"/>
      <c r="I320" s="60"/>
      <c r="J320" s="60"/>
      <c r="K320" s="60"/>
      <c r="L320" s="60"/>
      <c r="M320" s="60"/>
      <c r="O320" s="16"/>
      <c r="P320" s="16"/>
      <c r="Q320" s="138"/>
      <c r="R320" s="138"/>
      <c r="S320" s="138"/>
      <c r="T320" s="138"/>
      <c r="U320" s="138"/>
      <c r="V320" s="138"/>
      <c r="W320" s="138"/>
      <c r="X320" s="138"/>
      <c r="Y320" s="138"/>
      <c r="AA320" s="138"/>
    </row>
    <row r="321" spans="1:29" ht="15.6">
      <c r="B321" s="77" t="s">
        <v>442</v>
      </c>
      <c r="C321" s="54"/>
      <c r="D321" s="54"/>
      <c r="E321" s="54"/>
      <c r="F321" s="54"/>
      <c r="G321" s="54"/>
      <c r="H321" s="138"/>
      <c r="I321" s="138"/>
      <c r="J321" s="138"/>
      <c r="K321" s="138"/>
      <c r="L321" s="138"/>
      <c r="M321" s="138"/>
      <c r="N321" s="78" t="s">
        <v>441</v>
      </c>
      <c r="O321" s="138"/>
      <c r="P321" s="138"/>
      <c r="Q321" s="138"/>
      <c r="R321" s="138"/>
      <c r="S321" s="138"/>
      <c r="T321" s="138"/>
      <c r="U321" s="138"/>
      <c r="V321" s="138"/>
      <c r="W321" s="138"/>
      <c r="X321" s="138"/>
      <c r="Y321" s="138"/>
      <c r="Z321" s="118" t="s">
        <v>2</v>
      </c>
    </row>
    <row r="322" spans="1:29">
      <c r="B322" s="158" t="s">
        <v>82</v>
      </c>
      <c r="C322" s="117">
        <v>2018</v>
      </c>
      <c r="D322" s="103">
        <v>2019</v>
      </c>
      <c r="E322" s="103">
        <v>2020</v>
      </c>
      <c r="F322" s="103">
        <v>2021</v>
      </c>
      <c r="G322" s="103">
        <v>2022</v>
      </c>
      <c r="H322" s="103">
        <v>2023</v>
      </c>
      <c r="I322" s="103">
        <v>2024</v>
      </c>
      <c r="J322" s="103">
        <v>2025</v>
      </c>
      <c r="K322" s="103">
        <v>2026</v>
      </c>
      <c r="L322" s="103">
        <v>2027</v>
      </c>
      <c r="M322" s="103">
        <v>2028</v>
      </c>
      <c r="N322" s="158" t="s">
        <v>82</v>
      </c>
      <c r="O322" s="117">
        <v>2018</v>
      </c>
      <c r="P322" s="117">
        <v>2019</v>
      </c>
      <c r="Q322" s="117">
        <v>2020</v>
      </c>
      <c r="R322" s="117">
        <v>2021</v>
      </c>
      <c r="S322" s="117">
        <v>2022</v>
      </c>
      <c r="T322" s="117">
        <v>2023</v>
      </c>
      <c r="U322" s="117">
        <v>2024</v>
      </c>
      <c r="V322" s="117">
        <v>2025</v>
      </c>
      <c r="W322" s="117">
        <v>2026</v>
      </c>
      <c r="X322" s="117">
        <v>2027</v>
      </c>
      <c r="Y322" s="117">
        <v>2028</v>
      </c>
      <c r="Z322" s="103" t="str">
        <f>$Z$139</f>
        <v>2022-2028</v>
      </c>
    </row>
    <row r="323" spans="1:29">
      <c r="B323" s="22" t="s">
        <v>83</v>
      </c>
      <c r="C323" s="48">
        <f>+FTTx!C8+FTTx!C11+FTTx!C12+FTTx!C15+FTTx!C17+FTTx!C18+FTTx!C19+FTTx!C22++FTTx!C24+FTTx!C26+FTTx!C28</f>
        <v>11617109</v>
      </c>
      <c r="D323" s="48">
        <f>+FTTx!D8+FTTx!D11+FTTx!D12+FTTx!D15+FTTx!D17+FTTx!D18+FTTx!D19+FTTx!D22++FTTx!D24+FTTx!D26+FTTx!D28</f>
        <v>8455822</v>
      </c>
      <c r="E323" s="48">
        <f>+FTTx!E8+FTTx!E11+FTTx!E12+FTTx!E15+FTTx!E17+FTTx!E18+FTTx!E19+FTTx!E22++FTTx!E24+FTTx!E26+FTTx!E28</f>
        <v>10860584.90319149</v>
      </c>
      <c r="F323" s="48">
        <f>+FTTx!F8+FTTx!F11+FTTx!F12+FTTx!F15+FTTx!F17+FTTx!F18+FTTx!F19+FTTx!F22++FTTx!F24+FTTx!F26+FTTx!F28</f>
        <v>0</v>
      </c>
      <c r="G323" s="48">
        <f>+FTTx!G8+FTTx!G11+FTTx!G12+FTTx!G15+FTTx!G17+FTTx!G18+FTTx!G19+FTTx!G22++FTTx!G24+FTTx!G26+FTTx!G28</f>
        <v>0</v>
      </c>
      <c r="H323" s="48">
        <f>+FTTx!H8+FTTx!H11+FTTx!H12+FTTx!H15+FTTx!H17+FTTx!H18+FTTx!H19+FTTx!H22++FTTx!H24+FTTx!H26+FTTx!H28</f>
        <v>0</v>
      </c>
      <c r="I323" s="48">
        <f>+FTTx!I8+FTTx!I11+FTTx!I12+FTTx!I15+FTTx!I17+FTTx!I18+FTTx!I19+FTTx!I22++FTTx!I24+FTTx!I26+FTTx!I28</f>
        <v>0</v>
      </c>
      <c r="J323" s="48">
        <f>+FTTx!J8+FTTx!J11+FTTx!J12+FTTx!J15+FTTx!J17+FTTx!J18+FTTx!J19+FTTx!J22++FTTx!J24+FTTx!J26+FTTx!J28</f>
        <v>0</v>
      </c>
      <c r="K323" s="48">
        <f>+FTTx!K8+FTTx!K11+FTTx!K12+FTTx!K15+FTTx!K17+FTTx!K18+FTTx!K19+FTTx!K22++FTTx!K24+FTTx!K26+FTTx!K28</f>
        <v>0</v>
      </c>
      <c r="L323" s="48">
        <f>+FTTx!L8+FTTx!L11+FTTx!L12+FTTx!L15+FTTx!L17+FTTx!L18+FTTx!L19+FTTx!L22++FTTx!L24+FTTx!L26+FTTx!L28</f>
        <v>0</v>
      </c>
      <c r="M323" s="48">
        <f>+FTTx!M8+FTTx!M11+FTTx!M12+FTTx!M15+FTTx!M17+FTTx!M18+FTTx!M19+FTTx!M22++FTTx!M24+FTTx!M26+FTTx!M28</f>
        <v>0</v>
      </c>
      <c r="N323" s="35" t="s">
        <v>83</v>
      </c>
      <c r="O323" s="104">
        <f>+FTTx!C59+FTTx!C62+FTTx!C63+FTTx!C66+FTTx!C68+FTTx!C69+FTTx!C70+FTTx!C73+FTTx!C75+FTTx!C77+FTTx!C79</f>
        <v>87.801134324362607</v>
      </c>
      <c r="P323" s="104">
        <f>+FTTx!D59+FTTx!D62+FTTx!D63+FTTx!D66+FTTx!D68+FTTx!D69+FTTx!D70+FTTx!D73+FTTx!D75+FTTx!D77+FTTx!D79</f>
        <v>158.36564593961413</v>
      </c>
      <c r="Q323" s="104">
        <f>+FTTx!E59+FTTx!E62+FTTx!E63+FTTx!E66+FTTx!E68+FTTx!E69+FTTx!E70+FTTx!E73+FTTx!E75+FTTx!E77+FTTx!E79</f>
        <v>227.86611764361703</v>
      </c>
      <c r="R323" s="104">
        <f>+FTTx!F59+FTTx!F62+FTTx!F63+FTTx!F66+FTTx!F68+FTTx!F69+FTTx!F70+FTTx!F73+FTTx!F75+FTTx!F77+FTTx!F79</f>
        <v>0</v>
      </c>
      <c r="S323" s="104">
        <f>+FTTx!G59+FTTx!G62+FTTx!G63+FTTx!G66+FTTx!G68+FTTx!G69+FTTx!G70+FTTx!G73+FTTx!G75+FTTx!G77+FTTx!G79</f>
        <v>0</v>
      </c>
      <c r="T323" s="104">
        <f>+FTTx!H59+FTTx!H62+FTTx!H63+FTTx!H66+FTTx!H68+FTTx!H69+FTTx!H70+FTTx!H73+FTTx!H75+FTTx!H77+FTTx!H79</f>
        <v>0</v>
      </c>
      <c r="U323" s="104">
        <f>+FTTx!I59+FTTx!I62+FTTx!I63+FTTx!I66+FTTx!I68+FTTx!I69+FTTx!I70+FTTx!I73+FTTx!I75+FTTx!I77+FTTx!I79</f>
        <v>0</v>
      </c>
      <c r="V323" s="104">
        <f>+FTTx!J59+FTTx!J62+FTTx!J63+FTTx!J66+FTTx!J68+FTTx!J69+FTTx!J70+FTTx!J73+FTTx!J75+FTTx!J77+FTTx!J79</f>
        <v>0</v>
      </c>
      <c r="W323" s="104">
        <f>+FTTx!K59+FTTx!K62+FTTx!K63+FTTx!K66+FTTx!K68+FTTx!K69+FTTx!K70+FTTx!K73+FTTx!K75+FTTx!K77+FTTx!K79</f>
        <v>0</v>
      </c>
      <c r="X323" s="104">
        <f>+FTTx!L59+FTTx!L62+FTTx!L63+FTTx!L66+FTTx!L68+FTTx!L69+FTTx!L70+FTTx!L73+FTTx!L75+FTTx!L77+FTTx!L79</f>
        <v>0</v>
      </c>
      <c r="Y323" s="104">
        <f>+FTTx!M59+FTTx!M62+FTTx!M63+FTTx!M66+FTTx!M68+FTTx!M69+FTTx!M70+FTTx!M73+FTTx!M75+FTTx!M77+FTTx!M79</f>
        <v>0</v>
      </c>
      <c r="Z323" s="139" t="e">
        <f>(Y323/S323)^(1/6)-1</f>
        <v>#DIV/0!</v>
      </c>
    </row>
    <row r="324" spans="1:29">
      <c r="B324" s="22" t="s">
        <v>84</v>
      </c>
      <c r="C324" s="48">
        <f>+FTTx!C10+FTTx!C14+FTTx!C16+FTTx!C21+FTTx!C23+FTTx!C25+FTTx!C27+FTTx!C29</f>
        <v>4084918</v>
      </c>
      <c r="D324" s="48">
        <f>+FTTx!D10+FTTx!D14+FTTx!D16+FTTx!D21+FTTx!D23+FTTx!D25+FTTx!D27+FTTx!D29</f>
        <v>4803031</v>
      </c>
      <c r="E324" s="48">
        <f>+FTTx!E10+FTTx!E14+FTTx!E16+FTTx!E21+FTTx!E23+FTTx!E25+FTTx!E27+FTTx!E29</f>
        <v>4513988</v>
      </c>
      <c r="F324" s="48">
        <f>+FTTx!F10+FTTx!F14+FTTx!F16+FTTx!F21+FTTx!F23+FTTx!F25+FTTx!F27+FTTx!F29</f>
        <v>0</v>
      </c>
      <c r="G324" s="48">
        <f>+FTTx!G10+FTTx!G14+FTTx!G16+FTTx!G21+FTTx!G23+FTTx!G25+FTTx!G27+FTTx!G29</f>
        <v>0</v>
      </c>
      <c r="H324" s="48">
        <f>+FTTx!H10+FTTx!H14+FTTx!H16+FTTx!H21+FTTx!H23+FTTx!H25+FTTx!H27+FTTx!H29</f>
        <v>0</v>
      </c>
      <c r="I324" s="48">
        <f>+FTTx!I10+FTTx!I14+FTTx!I16+FTTx!I21+FTTx!I23+FTTx!I25+FTTx!I27+FTTx!I29</f>
        <v>0</v>
      </c>
      <c r="J324" s="48">
        <f>+FTTx!J10+FTTx!J14+FTTx!J16+FTTx!J21+FTTx!J23+FTTx!J25+FTTx!J27+FTTx!J29</f>
        <v>0</v>
      </c>
      <c r="K324" s="48">
        <f>+FTTx!K10+FTTx!K14+FTTx!K16+FTTx!K21+FTTx!K23+FTTx!K25+FTTx!K27+FTTx!K29</f>
        <v>0</v>
      </c>
      <c r="L324" s="48">
        <f>+FTTx!L10+FTTx!L14+FTTx!L16+FTTx!L21+FTTx!L23+FTTx!L25+FTTx!L27+FTTx!L29</f>
        <v>0</v>
      </c>
      <c r="M324" s="48">
        <f>+FTTx!M10+FTTx!M14+FTTx!M16+FTTx!M21+FTTx!M23+FTTx!M25+FTTx!M27+FTTx!M29</f>
        <v>0</v>
      </c>
      <c r="N324" s="33" t="s">
        <v>84</v>
      </c>
      <c r="O324" s="255">
        <f>+FTTx!C61+FTTx!C65+FTTx!C67+FTTx!C72+FTTx!C74+FTTx!C76+FTTx!C78+FTTx!C80</f>
        <v>172.29104003683608</v>
      </c>
      <c r="P324" s="255">
        <f>+FTTx!D61+FTTx!D65+FTTx!D67+FTTx!D72+FTTx!D74+FTTx!D76+FTTx!D78+FTTx!D80</f>
        <v>197.76326967351608</v>
      </c>
      <c r="Q324" s="255">
        <f>+FTTx!E61+FTTx!E65+FTTx!E67+FTTx!E72+FTTx!E74+FTTx!E76+FTTx!E78+FTTx!E80</f>
        <v>240.56127299934963</v>
      </c>
      <c r="R324" s="255">
        <f>+FTTx!F61+FTTx!F65+FTTx!F67+FTTx!F72+FTTx!F74+FTTx!F76+FTTx!F78+FTTx!F80</f>
        <v>0</v>
      </c>
      <c r="S324" s="255">
        <f>+FTTx!G61+FTTx!G65+FTTx!G67+FTTx!G72+FTTx!G74+FTTx!G76+FTTx!G78+FTTx!G80</f>
        <v>0</v>
      </c>
      <c r="T324" s="255">
        <f>+FTTx!H61+FTTx!H65+FTTx!H67+FTTx!H72+FTTx!H74+FTTx!H76+FTTx!H78+FTTx!H80</f>
        <v>0</v>
      </c>
      <c r="U324" s="255">
        <f>+FTTx!I61+FTTx!I65+FTTx!I67+FTTx!I72+FTTx!I74+FTTx!I76+FTTx!I78+FTTx!I80</f>
        <v>0</v>
      </c>
      <c r="V324" s="255">
        <f>+FTTx!J61+FTTx!J65+FTTx!J67+FTTx!J72+FTTx!J74+FTTx!J76+FTTx!J78+FTTx!J80</f>
        <v>0</v>
      </c>
      <c r="W324" s="255">
        <f>+FTTx!K61+FTTx!K65+FTTx!K67+FTTx!K72+FTTx!K74+FTTx!K76+FTTx!K78+FTTx!K80</f>
        <v>0</v>
      </c>
      <c r="X324" s="255">
        <f>+FTTx!L61+FTTx!L65+FTTx!L67+FTTx!L72+FTTx!L74+FTTx!L76+FTTx!L78+FTTx!L80</f>
        <v>0</v>
      </c>
      <c r="Y324" s="255">
        <f>+FTTx!M61+FTTx!M65+FTTx!M67+FTTx!M72+FTTx!M74+FTTx!M76+FTTx!M78+FTTx!M80</f>
        <v>0</v>
      </c>
      <c r="Z324" s="140" t="e">
        <f>(Y324/S324)^(1/6)-1</f>
        <v>#DIV/0!</v>
      </c>
    </row>
    <row r="325" spans="1:29">
      <c r="B325" s="25" t="s">
        <v>114</v>
      </c>
      <c r="C325" s="205">
        <f>FTTx!C9+FTTx!C13+FTTx!C20</f>
        <v>76354457.942399994</v>
      </c>
      <c r="D325" s="205">
        <f>FTTx!D9+FTTx!D13+FTTx!D20</f>
        <v>59057228.971199997</v>
      </c>
      <c r="E325" s="205">
        <f>FTTx!E9+FTTx!E13+FTTx!E20</f>
        <v>61328060.27984</v>
      </c>
      <c r="F325" s="205">
        <f>FTTx!F9+FTTx!F13+FTTx!F20</f>
        <v>0</v>
      </c>
      <c r="G325" s="205">
        <f>FTTx!G9+FTTx!G13+FTTx!G20</f>
        <v>0</v>
      </c>
      <c r="H325" s="205">
        <f>FTTx!H9+FTTx!H13+FTTx!H20</f>
        <v>0</v>
      </c>
      <c r="I325" s="205">
        <f>FTTx!I9+FTTx!I13+FTTx!I20</f>
        <v>0</v>
      </c>
      <c r="J325" s="205">
        <f>FTTx!J9+FTTx!J13+FTTx!J20</f>
        <v>0</v>
      </c>
      <c r="K325" s="205">
        <f>FTTx!K9+FTTx!K13+FTTx!K20</f>
        <v>0</v>
      </c>
      <c r="L325" s="205">
        <f>FTTx!L9+FTTx!L13+FTTx!L20</f>
        <v>0</v>
      </c>
      <c r="M325" s="205">
        <f>FTTx!M9+FTTx!M13+FTTx!M20</f>
        <v>0</v>
      </c>
      <c r="N325" s="25" t="s">
        <v>114</v>
      </c>
      <c r="O325" s="65">
        <f>FTTx!C60+FTTx!C64+FTTx!C71</f>
        <v>381.77228971199997</v>
      </c>
      <c r="P325" s="65">
        <f>FTTx!D60+FTTx!D64+FTTx!D71</f>
        <v>225.67646629722788</v>
      </c>
      <c r="Q325" s="65">
        <f>FTTx!E60+FTTx!E64+FTTx!E71</f>
        <v>134.15612055968001</v>
      </c>
      <c r="R325" s="65">
        <f>FTTx!F60+FTTx!F64+FTTx!F71</f>
        <v>0</v>
      </c>
      <c r="S325" s="65">
        <f>FTTx!G60+FTTx!G64+FTTx!G71</f>
        <v>0</v>
      </c>
      <c r="T325" s="65">
        <f>FTTx!H60+FTTx!H64+FTTx!H71</f>
        <v>0</v>
      </c>
      <c r="U325" s="65">
        <f>FTTx!I60+FTTx!I64+FTTx!I71</f>
        <v>0</v>
      </c>
      <c r="V325" s="65">
        <f>FTTx!J60+FTTx!J64+FTTx!J71</f>
        <v>0</v>
      </c>
      <c r="W325" s="65">
        <f>FTTx!K60+FTTx!K64+FTTx!K71</f>
        <v>0</v>
      </c>
      <c r="X325" s="65">
        <f>FTTx!L60+FTTx!L64+FTTx!L71</f>
        <v>0</v>
      </c>
      <c r="Y325" s="65">
        <f>FTTx!M60+FTTx!M64+FTTx!M71</f>
        <v>0</v>
      </c>
      <c r="Z325" s="141" t="e">
        <f>(Y325/S325)^(1/6)-1</f>
        <v>#DIV/0!</v>
      </c>
    </row>
    <row r="326" spans="1:29">
      <c r="B326" s="16"/>
      <c r="C326" s="238">
        <f t="shared" ref="C326:M326" si="30">C324/C323</f>
        <v>0.35162948027775243</v>
      </c>
      <c r="D326" s="238">
        <f t="shared" si="30"/>
        <v>0.56801467675171025</v>
      </c>
      <c r="E326" s="238">
        <f t="shared" si="30"/>
        <v>0.4156302851307318</v>
      </c>
      <c r="F326" s="238" t="e">
        <f t="shared" si="30"/>
        <v>#DIV/0!</v>
      </c>
      <c r="G326" s="238" t="e">
        <f t="shared" si="30"/>
        <v>#DIV/0!</v>
      </c>
      <c r="H326" s="238" t="e">
        <f t="shared" si="30"/>
        <v>#DIV/0!</v>
      </c>
      <c r="I326" s="238" t="e">
        <f t="shared" si="30"/>
        <v>#DIV/0!</v>
      </c>
      <c r="J326" s="238" t="e">
        <f t="shared" si="30"/>
        <v>#DIV/0!</v>
      </c>
      <c r="K326" s="238" t="e">
        <f t="shared" si="30"/>
        <v>#DIV/0!</v>
      </c>
      <c r="L326" s="238" t="e">
        <f t="shared" si="30"/>
        <v>#DIV/0!</v>
      </c>
      <c r="M326" s="238" t="e">
        <f t="shared" si="30"/>
        <v>#DIV/0!</v>
      </c>
      <c r="N326" s="32"/>
      <c r="O326" s="82"/>
      <c r="P326" s="82"/>
      <c r="Q326" s="138"/>
      <c r="R326" s="138"/>
      <c r="S326" s="138"/>
      <c r="T326" s="138"/>
      <c r="U326" s="138"/>
      <c r="V326" s="138"/>
      <c r="W326" s="138"/>
      <c r="X326" s="138"/>
      <c r="Y326" s="138"/>
      <c r="AA326" s="142"/>
    </row>
    <row r="328" spans="1:29">
      <c r="B328" s="16"/>
      <c r="C328" s="31"/>
      <c r="D328" s="31"/>
      <c r="E328" s="31"/>
      <c r="F328" s="31"/>
      <c r="G328" s="31"/>
      <c r="H328" s="32"/>
      <c r="I328" s="32"/>
      <c r="J328" s="32"/>
      <c r="K328" s="32"/>
      <c r="L328" s="32"/>
      <c r="M328" s="32"/>
      <c r="N328" s="32" t="s">
        <v>71</v>
      </c>
      <c r="O328" s="63"/>
      <c r="P328" s="63"/>
      <c r="Q328" s="138"/>
      <c r="R328" s="138"/>
      <c r="S328" s="138"/>
      <c r="T328" s="138"/>
      <c r="U328" s="138"/>
      <c r="V328" s="138"/>
      <c r="W328" s="138"/>
      <c r="X328" s="138"/>
      <c r="Y328" s="138"/>
      <c r="AA328" s="143"/>
    </row>
    <row r="329" spans="1:29" s="586" customFormat="1" ht="22.8">
      <c r="A329" s="394" t="s">
        <v>86</v>
      </c>
      <c r="B329" s="72"/>
      <c r="C329" s="73"/>
      <c r="D329" s="73"/>
      <c r="E329" s="73"/>
      <c r="F329" s="73"/>
      <c r="G329" s="73"/>
      <c r="H329" s="79"/>
      <c r="I329" s="79"/>
      <c r="J329" s="79"/>
      <c r="K329" s="79"/>
      <c r="L329" s="79"/>
      <c r="M329" s="79"/>
      <c r="N329" s="79"/>
      <c r="O329" s="72"/>
      <c r="P329" s="72"/>
      <c r="Q329" s="40"/>
      <c r="R329" s="72"/>
      <c r="S329" s="72"/>
      <c r="T329" s="394" t="str">
        <f>A329</f>
        <v>Wireless Infrastructure</v>
      </c>
      <c r="U329" s="72"/>
      <c r="V329" s="72"/>
      <c r="W329" s="72"/>
      <c r="X329" s="72"/>
      <c r="Y329" s="72"/>
      <c r="Z329" s="40"/>
      <c r="AA329" s="80"/>
      <c r="AB329"/>
      <c r="AC329"/>
    </row>
    <row r="330" spans="1:29">
      <c r="B330" s="16"/>
      <c r="C330" s="31"/>
      <c r="D330" s="31"/>
      <c r="E330" s="31"/>
      <c r="F330" s="31"/>
      <c r="G330" s="31"/>
      <c r="H330" s="32"/>
      <c r="I330" s="32"/>
      <c r="J330" s="32"/>
      <c r="K330" s="32"/>
      <c r="L330" s="32"/>
      <c r="M330" s="32"/>
      <c r="N330" s="32"/>
      <c r="O330" s="16"/>
      <c r="P330" s="16"/>
      <c r="Q330" s="138"/>
      <c r="R330" s="138"/>
      <c r="S330" s="138"/>
      <c r="T330" s="138"/>
      <c r="U330" s="138"/>
      <c r="V330" s="138"/>
      <c r="W330" s="138"/>
      <c r="X330" s="138"/>
      <c r="Y330" s="138"/>
      <c r="AA330" s="138"/>
    </row>
    <row r="331" spans="1:29" ht="15.6">
      <c r="B331" s="78" t="s">
        <v>323</v>
      </c>
      <c r="C331" s="31"/>
      <c r="D331" s="31"/>
      <c r="E331" s="31"/>
      <c r="F331" s="31"/>
      <c r="G331" s="31"/>
      <c r="H331" s="32"/>
      <c r="I331" s="32"/>
      <c r="J331" s="32"/>
      <c r="K331" s="32"/>
      <c r="L331" s="32"/>
      <c r="M331" s="32"/>
      <c r="N331" s="78" t="s">
        <v>324</v>
      </c>
      <c r="O331" s="16"/>
      <c r="P331" s="16"/>
      <c r="Q331" s="138"/>
      <c r="R331" s="138"/>
      <c r="S331" s="138"/>
      <c r="T331" s="138"/>
      <c r="U331" s="138"/>
      <c r="V331" s="138"/>
      <c r="W331" s="138"/>
      <c r="X331" s="138"/>
      <c r="Y331" s="138"/>
      <c r="AA331" s="138"/>
    </row>
    <row r="332" spans="1:29">
      <c r="B332" s="16"/>
      <c r="C332" s="31"/>
      <c r="D332" s="31"/>
      <c r="E332" s="31"/>
      <c r="F332" s="31"/>
      <c r="G332" s="31"/>
      <c r="H332" s="32"/>
      <c r="I332" s="32"/>
      <c r="J332" s="32"/>
      <c r="K332" s="32"/>
      <c r="L332" s="32"/>
      <c r="M332" s="32"/>
      <c r="N332" s="32"/>
      <c r="O332" s="16"/>
      <c r="P332" s="16"/>
      <c r="Q332" s="138"/>
      <c r="R332" s="138"/>
      <c r="S332" s="138"/>
      <c r="T332" s="138"/>
      <c r="U332" s="138"/>
      <c r="V332" s="138"/>
      <c r="W332" s="138"/>
      <c r="X332" s="138"/>
      <c r="Y332" s="138"/>
      <c r="AA332" s="138"/>
    </row>
    <row r="333" spans="1:29">
      <c r="B333" s="16"/>
      <c r="C333" s="31"/>
      <c r="D333" s="31"/>
      <c r="E333" s="31"/>
      <c r="F333" s="31"/>
      <c r="G333" s="31"/>
      <c r="H333" s="32"/>
      <c r="I333" s="32"/>
      <c r="J333" s="32"/>
      <c r="K333" s="32"/>
      <c r="L333" s="32"/>
      <c r="M333" s="32"/>
      <c r="N333" s="32"/>
      <c r="O333" s="16"/>
      <c r="P333" s="16"/>
      <c r="Q333" s="138"/>
      <c r="R333" s="138"/>
      <c r="S333" s="138"/>
      <c r="T333" s="138"/>
      <c r="U333" s="138"/>
      <c r="V333" s="138"/>
      <c r="W333" s="138"/>
      <c r="X333" s="138"/>
      <c r="Y333" s="138"/>
      <c r="AA333" s="138"/>
    </row>
    <row r="334" spans="1:29">
      <c r="B334" s="16"/>
      <c r="C334" s="31"/>
      <c r="D334" s="31"/>
      <c r="E334" s="31"/>
      <c r="F334" s="31"/>
      <c r="G334" s="31"/>
      <c r="H334" s="32"/>
      <c r="I334" s="32"/>
      <c r="J334" s="32"/>
      <c r="K334" s="32"/>
      <c r="L334" s="32"/>
      <c r="M334" s="32"/>
      <c r="N334" s="32"/>
      <c r="O334" s="16"/>
      <c r="P334" s="16"/>
      <c r="Q334" s="138"/>
      <c r="R334" s="138"/>
      <c r="S334" s="138"/>
      <c r="T334" s="138"/>
      <c r="U334" s="138"/>
      <c r="V334" s="138"/>
      <c r="W334" s="138"/>
      <c r="X334" s="138"/>
      <c r="Y334" s="138"/>
      <c r="AA334" s="138"/>
    </row>
    <row r="335" spans="1:29">
      <c r="B335" s="16"/>
      <c r="C335" s="31"/>
      <c r="D335" s="31"/>
      <c r="E335" s="31"/>
      <c r="F335" s="31"/>
      <c r="G335" s="31"/>
      <c r="H335" s="32"/>
      <c r="I335" s="32"/>
      <c r="J335" s="32"/>
      <c r="K335" s="32"/>
      <c r="L335" s="32"/>
      <c r="M335" s="32"/>
      <c r="N335" s="32"/>
      <c r="O335" s="16"/>
      <c r="P335" s="16"/>
      <c r="Q335" s="138"/>
      <c r="R335" s="138"/>
      <c r="S335" s="138"/>
      <c r="T335" s="138"/>
      <c r="U335" s="138"/>
      <c r="V335" s="138"/>
      <c r="W335" s="138"/>
      <c r="X335" s="138"/>
      <c r="Y335" s="138"/>
      <c r="AA335" s="138"/>
    </row>
    <row r="336" spans="1:29">
      <c r="B336" s="16"/>
      <c r="C336" s="31"/>
      <c r="D336" s="31"/>
      <c r="E336" s="31"/>
      <c r="F336" s="31"/>
      <c r="G336" s="31"/>
      <c r="H336" s="32"/>
      <c r="I336" s="32"/>
      <c r="J336" s="32"/>
      <c r="K336" s="32"/>
      <c r="L336" s="32"/>
      <c r="M336" s="32"/>
      <c r="N336" s="32"/>
      <c r="O336" s="16"/>
      <c r="P336" s="16"/>
      <c r="Q336" s="138"/>
      <c r="R336" s="138"/>
      <c r="S336" s="138"/>
      <c r="T336" s="138"/>
      <c r="U336" s="138"/>
      <c r="V336" s="138"/>
      <c r="W336" s="138"/>
      <c r="X336" s="138"/>
      <c r="Y336" s="138"/>
      <c r="AA336" s="138"/>
    </row>
    <row r="337" spans="2:30">
      <c r="B337" s="16"/>
      <c r="C337" s="31"/>
      <c r="D337" s="31"/>
      <c r="E337" s="31"/>
      <c r="F337" s="31"/>
      <c r="G337" s="31"/>
      <c r="H337" s="32"/>
      <c r="I337" s="32"/>
      <c r="J337" s="32"/>
      <c r="K337" s="32"/>
      <c r="L337" s="32"/>
      <c r="M337" s="32"/>
      <c r="N337" s="32"/>
      <c r="O337" s="16"/>
      <c r="P337" s="16"/>
      <c r="Q337" s="138"/>
      <c r="R337" s="138"/>
      <c r="S337" s="138"/>
      <c r="T337" s="138"/>
      <c r="U337" s="138"/>
      <c r="V337" s="138"/>
      <c r="W337" s="138"/>
      <c r="X337" s="138"/>
      <c r="Y337" s="138"/>
      <c r="AA337" s="138"/>
    </row>
    <row r="338" spans="2:30">
      <c r="B338" s="16"/>
      <c r="C338" s="31"/>
      <c r="D338" s="31"/>
      <c r="E338" s="31"/>
      <c r="F338" s="31"/>
      <c r="G338" s="31"/>
      <c r="H338" s="32"/>
      <c r="I338" s="32"/>
      <c r="J338" s="32"/>
      <c r="K338" s="32"/>
      <c r="L338" s="32"/>
      <c r="M338" s="32"/>
      <c r="N338" s="32"/>
      <c r="O338" s="16"/>
      <c r="P338" s="16"/>
      <c r="Q338" s="138"/>
      <c r="R338" s="138"/>
      <c r="S338" s="138"/>
      <c r="T338" s="138"/>
      <c r="U338" s="138"/>
      <c r="V338" s="138"/>
      <c r="W338" s="138"/>
      <c r="X338" s="138"/>
      <c r="Y338" s="138"/>
      <c r="AA338" s="138"/>
    </row>
    <row r="339" spans="2:30">
      <c r="B339" s="16"/>
      <c r="C339" s="31"/>
      <c r="D339" s="31"/>
      <c r="E339" s="31"/>
      <c r="F339" s="31"/>
      <c r="G339" s="31"/>
      <c r="H339" s="32"/>
      <c r="I339" s="32"/>
      <c r="J339" s="32"/>
      <c r="K339" s="32"/>
      <c r="L339" s="32"/>
      <c r="M339" s="32"/>
      <c r="N339" s="32"/>
      <c r="O339" s="16"/>
      <c r="P339" s="16"/>
      <c r="Q339" s="138"/>
      <c r="R339" s="138"/>
      <c r="S339" s="138"/>
      <c r="T339" s="138"/>
      <c r="U339" s="138"/>
      <c r="V339" s="138"/>
      <c r="W339" s="138"/>
      <c r="X339" s="138"/>
      <c r="Y339" s="138"/>
      <c r="AA339" s="138"/>
    </row>
    <row r="340" spans="2:30">
      <c r="B340" s="16"/>
      <c r="C340" s="31"/>
      <c r="D340" s="31"/>
      <c r="E340" s="31"/>
      <c r="F340" s="31"/>
      <c r="G340" s="31"/>
      <c r="H340" s="32"/>
      <c r="I340" s="32"/>
      <c r="J340" s="32"/>
      <c r="K340" s="32"/>
      <c r="L340" s="32"/>
      <c r="M340" s="32"/>
      <c r="N340" s="32"/>
      <c r="O340" s="16"/>
      <c r="P340" s="16"/>
      <c r="Q340" s="138"/>
      <c r="R340" s="138"/>
      <c r="S340" s="138"/>
      <c r="T340" s="138"/>
      <c r="U340" s="138"/>
      <c r="V340" s="138"/>
      <c r="W340" s="138"/>
      <c r="X340" s="138"/>
      <c r="Y340" s="138"/>
      <c r="AA340" s="138"/>
    </row>
    <row r="341" spans="2:30">
      <c r="B341" s="16"/>
      <c r="C341" s="31"/>
      <c r="D341" s="31"/>
      <c r="E341" s="31"/>
      <c r="F341" s="31"/>
      <c r="G341" s="31"/>
      <c r="H341" s="32"/>
      <c r="I341" s="32"/>
      <c r="J341" s="32"/>
      <c r="K341" s="32"/>
      <c r="L341" s="32"/>
      <c r="M341" s="32"/>
      <c r="N341" s="32"/>
      <c r="O341" s="16"/>
      <c r="P341" s="16"/>
      <c r="Q341" s="138"/>
      <c r="R341" s="138"/>
      <c r="S341" s="138"/>
      <c r="T341" s="138"/>
      <c r="U341" s="138"/>
      <c r="V341" s="138"/>
      <c r="W341" s="138"/>
      <c r="X341" s="138"/>
      <c r="Y341" s="138"/>
      <c r="AA341" s="138"/>
    </row>
    <row r="342" spans="2:30">
      <c r="B342" s="16"/>
      <c r="C342" s="31"/>
      <c r="D342" s="31"/>
      <c r="E342" s="31"/>
      <c r="F342" s="31"/>
      <c r="G342" s="31"/>
      <c r="H342" s="32"/>
      <c r="I342" s="32"/>
      <c r="J342" s="32"/>
      <c r="K342" s="32"/>
      <c r="L342" s="32"/>
      <c r="M342" s="32"/>
      <c r="N342" s="32"/>
      <c r="O342" s="16"/>
      <c r="P342" s="16"/>
      <c r="Q342" s="138"/>
      <c r="R342" s="138"/>
      <c r="S342" s="138"/>
      <c r="T342" s="138"/>
      <c r="U342" s="138"/>
      <c r="V342" s="138"/>
      <c r="W342" s="138"/>
      <c r="X342" s="138"/>
      <c r="Y342" s="138"/>
      <c r="AA342" s="138"/>
    </row>
    <row r="343" spans="2:30">
      <c r="B343" s="16"/>
      <c r="C343" s="31"/>
      <c r="D343" s="31"/>
      <c r="E343" s="31"/>
      <c r="F343" s="31"/>
      <c r="G343" s="31"/>
      <c r="H343" s="32"/>
      <c r="I343" s="32"/>
      <c r="J343" s="32"/>
      <c r="K343" s="32"/>
      <c r="L343" s="32"/>
      <c r="M343" s="32"/>
      <c r="N343" s="32"/>
      <c r="O343" s="16"/>
      <c r="P343" s="16"/>
      <c r="Q343" s="138"/>
      <c r="R343" s="138"/>
      <c r="S343" s="138"/>
      <c r="T343" s="138"/>
      <c r="U343" s="138"/>
      <c r="V343" s="138"/>
      <c r="W343" s="138"/>
      <c r="X343" s="138"/>
      <c r="Y343" s="138"/>
      <c r="AA343" s="138"/>
    </row>
    <row r="344" spans="2:30">
      <c r="B344" s="16"/>
      <c r="C344" s="31"/>
      <c r="D344" s="31"/>
      <c r="E344" s="31"/>
      <c r="F344" s="31"/>
      <c r="G344" s="31"/>
      <c r="H344" s="32"/>
      <c r="I344" s="32"/>
      <c r="J344" s="32"/>
      <c r="K344" s="32"/>
      <c r="L344" s="32"/>
      <c r="M344" s="32"/>
      <c r="N344" s="32"/>
      <c r="O344" s="16"/>
      <c r="P344" s="16"/>
      <c r="Q344" s="138"/>
      <c r="R344" s="138"/>
      <c r="S344" s="138"/>
      <c r="T344" s="138"/>
      <c r="U344" s="138"/>
      <c r="V344" s="138"/>
      <c r="W344" s="138"/>
      <c r="X344" s="138"/>
      <c r="Y344" s="138"/>
      <c r="AA344" s="138"/>
    </row>
    <row r="345" spans="2:30">
      <c r="B345" s="16"/>
      <c r="C345" s="31"/>
      <c r="D345" s="31"/>
      <c r="E345" s="31"/>
      <c r="F345" s="31"/>
      <c r="G345" s="31"/>
      <c r="H345" s="32"/>
      <c r="I345" s="32"/>
      <c r="J345" s="32"/>
      <c r="K345" s="32"/>
      <c r="L345" s="32"/>
      <c r="M345" s="32"/>
      <c r="N345" s="32"/>
      <c r="O345" s="16"/>
      <c r="P345" s="16"/>
      <c r="Q345" s="138"/>
      <c r="R345" s="138"/>
      <c r="S345" s="138"/>
      <c r="T345" s="138"/>
      <c r="U345" s="138"/>
      <c r="V345" s="138"/>
      <c r="W345" s="138"/>
      <c r="X345" s="138"/>
      <c r="Y345" s="138"/>
      <c r="AA345" s="138"/>
    </row>
    <row r="346" spans="2:30">
      <c r="B346" s="16"/>
      <c r="C346" s="31"/>
      <c r="D346" s="31"/>
      <c r="E346" s="31"/>
      <c r="F346" s="31"/>
      <c r="G346" s="31"/>
      <c r="H346" s="32"/>
      <c r="I346" s="32"/>
      <c r="J346" s="32"/>
      <c r="K346" s="32"/>
      <c r="L346" s="32"/>
      <c r="M346" s="32"/>
      <c r="N346" s="32"/>
      <c r="O346" s="16"/>
      <c r="P346" s="16"/>
      <c r="Q346" s="138"/>
      <c r="R346" s="138"/>
      <c r="S346" s="138"/>
      <c r="T346" s="138"/>
      <c r="U346" s="138"/>
      <c r="V346" s="138"/>
      <c r="W346" s="138"/>
      <c r="X346" s="138"/>
      <c r="Y346" s="138"/>
      <c r="AA346" s="138"/>
    </row>
    <row r="347" spans="2:30">
      <c r="B347" s="16"/>
      <c r="C347" s="31"/>
      <c r="D347" s="31"/>
      <c r="E347" s="31"/>
      <c r="F347" s="31"/>
      <c r="G347" s="31"/>
      <c r="H347" s="32"/>
      <c r="I347" s="32"/>
      <c r="J347" s="32"/>
      <c r="K347" s="32"/>
      <c r="L347" s="32"/>
      <c r="M347" s="32"/>
      <c r="N347" s="32"/>
      <c r="O347" s="16"/>
      <c r="P347" s="16"/>
      <c r="Q347" s="138"/>
      <c r="R347" s="138"/>
      <c r="S347" s="138"/>
      <c r="T347" s="138"/>
      <c r="U347" s="138"/>
      <c r="V347" s="138"/>
      <c r="W347" s="138"/>
      <c r="X347" s="138"/>
      <c r="Y347" s="138"/>
      <c r="AA347" s="138"/>
    </row>
    <row r="348" spans="2:30">
      <c r="B348" s="16"/>
      <c r="C348" s="31"/>
      <c r="D348" s="31"/>
      <c r="E348" s="31"/>
      <c r="F348" s="31"/>
      <c r="G348" s="31"/>
      <c r="H348" s="32"/>
      <c r="I348" s="32"/>
      <c r="J348" s="32"/>
      <c r="K348" s="32"/>
      <c r="L348" s="32"/>
      <c r="M348" s="32"/>
      <c r="N348" s="32"/>
      <c r="O348" s="16"/>
      <c r="P348" s="16"/>
      <c r="Q348" s="138"/>
      <c r="R348" s="138"/>
      <c r="S348" s="138"/>
      <c r="T348" s="138"/>
      <c r="U348" s="138"/>
      <c r="V348" s="138"/>
      <c r="W348" s="138"/>
      <c r="X348" s="138"/>
      <c r="Y348" s="138"/>
      <c r="AA348" s="138"/>
    </row>
    <row r="349" spans="2:30">
      <c r="B349" s="16"/>
      <c r="C349" s="31"/>
      <c r="D349" s="31"/>
      <c r="E349" s="31"/>
      <c r="F349" s="31"/>
      <c r="G349" s="31"/>
      <c r="H349" s="32"/>
      <c r="I349" s="32"/>
      <c r="J349" s="32"/>
      <c r="K349" s="32"/>
      <c r="L349" s="32"/>
      <c r="M349" s="32"/>
      <c r="N349" s="32"/>
      <c r="O349" s="16"/>
      <c r="P349" s="16"/>
      <c r="Q349" s="138"/>
      <c r="R349" s="138"/>
      <c r="S349" s="138"/>
      <c r="T349" s="138"/>
      <c r="U349" s="138"/>
      <c r="V349" s="138"/>
      <c r="W349" s="138"/>
      <c r="X349" s="138"/>
      <c r="Y349" s="138"/>
      <c r="AA349" s="138"/>
    </row>
    <row r="350" spans="2:30">
      <c r="B350" s="16"/>
      <c r="C350" s="208"/>
      <c r="D350" s="208"/>
      <c r="E350" s="208"/>
      <c r="F350" s="208"/>
      <c r="G350" s="208"/>
      <c r="H350" s="208"/>
      <c r="I350" s="208"/>
      <c r="J350" s="208"/>
      <c r="K350" s="208"/>
      <c r="L350" s="208"/>
      <c r="M350" s="208"/>
      <c r="N350" s="32"/>
      <c r="O350" s="196"/>
      <c r="P350" s="196"/>
      <c r="Q350" s="196"/>
      <c r="R350" s="196"/>
      <c r="S350" s="196"/>
      <c r="T350" s="196"/>
      <c r="U350" s="196"/>
      <c r="V350" s="196"/>
      <c r="W350" s="196"/>
      <c r="X350" s="196"/>
      <c r="Y350" s="196"/>
      <c r="AA350" s="7"/>
    </row>
    <row r="351" spans="2:30" s="151" customFormat="1" ht="13.8">
      <c r="B351" s="151" t="s">
        <v>347</v>
      </c>
      <c r="N351" s="151" t="s">
        <v>348</v>
      </c>
      <c r="Z351" s="118" t="s">
        <v>2</v>
      </c>
      <c r="AB351"/>
      <c r="AC351"/>
      <c r="AD351"/>
    </row>
    <row r="352" spans="2:30" s="151" customFormat="1" ht="13.8">
      <c r="B352" s="158" t="s">
        <v>360</v>
      </c>
      <c r="C352" s="108">
        <v>2018</v>
      </c>
      <c r="D352" s="103">
        <v>2019</v>
      </c>
      <c r="E352" s="103">
        <v>2020</v>
      </c>
      <c r="F352" s="103">
        <v>2021</v>
      </c>
      <c r="G352" s="103">
        <v>2022</v>
      </c>
      <c r="H352" s="103">
        <v>2023</v>
      </c>
      <c r="I352" s="103">
        <v>2024</v>
      </c>
      <c r="J352" s="103">
        <v>2025</v>
      </c>
      <c r="K352" s="103">
        <v>2026</v>
      </c>
      <c r="L352" s="103">
        <v>2027</v>
      </c>
      <c r="M352" s="103">
        <v>2028</v>
      </c>
      <c r="N352" s="158" t="str">
        <f>B352</f>
        <v>Speed</v>
      </c>
      <c r="O352" s="108">
        <v>2018</v>
      </c>
      <c r="P352" s="103">
        <v>2019</v>
      </c>
      <c r="Q352" s="103">
        <v>2020</v>
      </c>
      <c r="R352" s="103">
        <v>2021</v>
      </c>
      <c r="S352" s="103">
        <v>2022</v>
      </c>
      <c r="T352" s="103">
        <v>2023</v>
      </c>
      <c r="U352" s="103">
        <v>2024</v>
      </c>
      <c r="V352" s="103">
        <v>2025</v>
      </c>
      <c r="W352" s="103">
        <v>2026</v>
      </c>
      <c r="X352" s="103">
        <v>2027</v>
      </c>
      <c r="Y352" s="103">
        <v>2028</v>
      </c>
      <c r="Z352" s="108" t="str">
        <f>$Z$139</f>
        <v>2022-2028</v>
      </c>
      <c r="AB352"/>
      <c r="AC352"/>
      <c r="AD352"/>
    </row>
    <row r="353" spans="2:30" s="151" customFormat="1" ht="13.8">
      <c r="B353" s="33" t="str">
        <f t="shared" ref="B353:B357" si="31">N353</f>
        <v>Legacy 1,3,6 Gbps</v>
      </c>
      <c r="C353" s="115">
        <f>Fronthaul!F8</f>
        <v>7401851.8200361906</v>
      </c>
      <c r="D353" s="115">
        <f>Fronthaul!G8</f>
        <v>7610509.7457169611</v>
      </c>
      <c r="E353" s="115">
        <f>Fronthaul!H8</f>
        <v>0</v>
      </c>
      <c r="F353" s="115">
        <f>Fronthaul!I8</f>
        <v>0</v>
      </c>
      <c r="G353" s="115">
        <f>Fronthaul!J8</f>
        <v>0</v>
      </c>
      <c r="H353" s="115">
        <f>Fronthaul!K8</f>
        <v>0</v>
      </c>
      <c r="I353" s="115">
        <f>Fronthaul!L8</f>
        <v>0</v>
      </c>
      <c r="J353" s="115">
        <f>Fronthaul!M8</f>
        <v>0</v>
      </c>
      <c r="K353" s="115">
        <f>Fronthaul!N8</f>
        <v>0</v>
      </c>
      <c r="L353" s="115">
        <f>Fronthaul!O8</f>
        <v>0</v>
      </c>
      <c r="M353" s="115">
        <f>Fronthaul!P8</f>
        <v>0</v>
      </c>
      <c r="N353" s="33" t="str">
        <f>"Legacy "&amp;Fronthaul!C8</f>
        <v>Legacy 1,3,6 Gbps</v>
      </c>
      <c r="O353" s="161">
        <f>Fronthaul!F36</f>
        <v>100.15924885256101</v>
      </c>
      <c r="P353" s="161">
        <f>Fronthaul!G36</f>
        <v>80.529743039643847</v>
      </c>
      <c r="Q353" s="161">
        <f>Fronthaul!H36</f>
        <v>0</v>
      </c>
      <c r="R353" s="161">
        <f>Fronthaul!I36</f>
        <v>0</v>
      </c>
      <c r="S353" s="161">
        <f>Fronthaul!J36</f>
        <v>0</v>
      </c>
      <c r="T353" s="161">
        <f>Fronthaul!K36</f>
        <v>0</v>
      </c>
      <c r="U353" s="136">
        <f>Fronthaul!L36</f>
        <v>0</v>
      </c>
      <c r="V353" s="136">
        <f>Fronthaul!M36</f>
        <v>0</v>
      </c>
      <c r="W353" s="136">
        <f>Fronthaul!N36</f>
        <v>0</v>
      </c>
      <c r="X353" s="136">
        <f>Fronthaul!O36</f>
        <v>0</v>
      </c>
      <c r="Y353" s="136">
        <f>Fronthaul!P36</f>
        <v>0</v>
      </c>
      <c r="Z353" s="139" t="e">
        <f t="shared" ref="Z353:Z358" si="32">(Y353/S353)^(1/6)-1</f>
        <v>#DIV/0!</v>
      </c>
      <c r="AB353"/>
      <c r="AC353"/>
      <c r="AD353"/>
    </row>
    <row r="354" spans="2:30" s="151" customFormat="1" ht="13.8">
      <c r="B354" s="33" t="str">
        <f t="shared" si="31"/>
        <v>10 Gbps</v>
      </c>
      <c r="C354" s="69">
        <f>Fronthaul!F9+Fronthaul!F16</f>
        <v>8723735.2416260391</v>
      </c>
      <c r="D354" s="69">
        <f>Fronthaul!G9+Fronthaul!G16</f>
        <v>21129008.220813021</v>
      </c>
      <c r="E354" s="69">
        <f>Fronthaul!H9+Fronthaul!H16</f>
        <v>0</v>
      </c>
      <c r="F354" s="69">
        <f>Fronthaul!I9+Fronthaul!I16</f>
        <v>0</v>
      </c>
      <c r="G354" s="69">
        <f>Fronthaul!J9+Fronthaul!J16</f>
        <v>0</v>
      </c>
      <c r="H354" s="69">
        <f>Fronthaul!K9+Fronthaul!K16</f>
        <v>0</v>
      </c>
      <c r="I354" s="69">
        <f>Fronthaul!L9+Fronthaul!L16</f>
        <v>0</v>
      </c>
      <c r="J354" s="69">
        <f>Fronthaul!M9+Fronthaul!M16</f>
        <v>0</v>
      </c>
      <c r="K354" s="69">
        <f>Fronthaul!N9+Fronthaul!N16</f>
        <v>0</v>
      </c>
      <c r="L354" s="69">
        <f>Fronthaul!O9+Fronthaul!O16</f>
        <v>0</v>
      </c>
      <c r="M354" s="69">
        <f>Fronthaul!P9+Fronthaul!P16</f>
        <v>0</v>
      </c>
      <c r="N354" s="33" t="s">
        <v>78</v>
      </c>
      <c r="O354" s="64">
        <f>Fronthaul!F37+Fronthaul!F44</f>
        <v>196.8123706070254</v>
      </c>
      <c r="P354" s="64">
        <f>Fronthaul!G37+Fronthaul!G44</f>
        <v>497.90928965557566</v>
      </c>
      <c r="Q354" s="64">
        <f>Fronthaul!H37+Fronthaul!H44</f>
        <v>0</v>
      </c>
      <c r="R354" s="64">
        <f>Fronthaul!I37+Fronthaul!I44</f>
        <v>0</v>
      </c>
      <c r="S354" s="64">
        <f>Fronthaul!J37+Fronthaul!J44</f>
        <v>0</v>
      </c>
      <c r="T354" s="64">
        <f>Fronthaul!K37+Fronthaul!K44</f>
        <v>0</v>
      </c>
      <c r="U354" s="62">
        <f>Fronthaul!L37+Fronthaul!L44</f>
        <v>0</v>
      </c>
      <c r="V354" s="62">
        <f>Fronthaul!M37+Fronthaul!M44</f>
        <v>0</v>
      </c>
      <c r="W354" s="62">
        <f>Fronthaul!N37+Fronthaul!N44</f>
        <v>0</v>
      </c>
      <c r="X354" s="62">
        <f>Fronthaul!O37+Fronthaul!O44</f>
        <v>0</v>
      </c>
      <c r="Y354" s="62">
        <f>Fronthaul!P37+Fronthaul!P44</f>
        <v>0</v>
      </c>
      <c r="Z354" s="140" t="e">
        <f t="shared" si="32"/>
        <v>#DIV/0!</v>
      </c>
      <c r="AB354"/>
      <c r="AC354"/>
      <c r="AD354"/>
    </row>
    <row r="355" spans="2:30" s="151" customFormat="1" ht="13.8">
      <c r="B355" s="33" t="str">
        <f t="shared" si="31"/>
        <v>25 Gbps</v>
      </c>
      <c r="C355" s="23">
        <f>Fronthaul!F17+SUM(Fronthaul!F10:F13)</f>
        <v>339082</v>
      </c>
      <c r="D355" s="23">
        <f>Fronthaul!G17+SUM(Fronthaul!G10:G13)</f>
        <v>3595182.9999999995</v>
      </c>
      <c r="E355" s="23">
        <f>Fronthaul!H17+SUM(Fronthaul!H10:H13)</f>
        <v>0</v>
      </c>
      <c r="F355" s="23">
        <f>Fronthaul!I17+SUM(Fronthaul!I10:I13)</f>
        <v>0</v>
      </c>
      <c r="G355" s="23">
        <f>Fronthaul!J17+SUM(Fronthaul!J10:J13)</f>
        <v>0</v>
      </c>
      <c r="H355" s="23">
        <f>Fronthaul!K17+SUM(Fronthaul!K10:K13)</f>
        <v>0</v>
      </c>
      <c r="I355" s="23">
        <f>Fronthaul!L17+SUM(Fronthaul!L10:L13)</f>
        <v>0</v>
      </c>
      <c r="J355" s="23">
        <f>Fronthaul!M17+SUM(Fronthaul!M10:M13)</f>
        <v>0</v>
      </c>
      <c r="K355" s="23">
        <f>Fronthaul!N17+SUM(Fronthaul!N10:N13)</f>
        <v>0</v>
      </c>
      <c r="L355" s="23">
        <f>Fronthaul!O17+SUM(Fronthaul!O10:O13)</f>
        <v>0</v>
      </c>
      <c r="M355" s="23">
        <f>Fronthaul!P17+SUM(Fronthaul!P10:P13)</f>
        <v>0</v>
      </c>
      <c r="N355" s="33" t="s">
        <v>231</v>
      </c>
      <c r="O355" s="24">
        <f>SUM(Fronthaul!F38:F41)+Fronthaul!F45</f>
        <v>68.819090137435296</v>
      </c>
      <c r="P355" s="24">
        <f>SUM(Fronthaul!G38:G41)+Fronthaul!G45</f>
        <v>338.26039640619649</v>
      </c>
      <c r="Q355" s="24">
        <f>SUM(Fronthaul!H38:H41)+Fronthaul!H45</f>
        <v>0</v>
      </c>
      <c r="R355" s="24">
        <f>SUM(Fronthaul!I38:I41)+Fronthaul!I45</f>
        <v>0</v>
      </c>
      <c r="S355" s="24">
        <f>SUM(Fronthaul!J38:J41)+Fronthaul!J45</f>
        <v>0</v>
      </c>
      <c r="T355" s="24">
        <f>SUM(Fronthaul!K38:K41)+Fronthaul!K45</f>
        <v>0</v>
      </c>
      <c r="U355" s="137">
        <f>SUM(Fronthaul!L38:L41)+Fronthaul!L45</f>
        <v>0</v>
      </c>
      <c r="V355" s="137">
        <f>SUM(Fronthaul!M38:M41)+Fronthaul!M45</f>
        <v>0</v>
      </c>
      <c r="W355" s="137">
        <f>SUM(Fronthaul!N38:N41)+Fronthaul!N45</f>
        <v>0</v>
      </c>
      <c r="X355" s="137">
        <f>SUM(Fronthaul!O38:O41)+Fronthaul!O45</f>
        <v>0</v>
      </c>
      <c r="Y355" s="137">
        <f>SUM(Fronthaul!P38:P41)+Fronthaul!P45</f>
        <v>0</v>
      </c>
      <c r="Z355" s="140" t="e">
        <f t="shared" si="32"/>
        <v>#DIV/0!</v>
      </c>
      <c r="AB355"/>
      <c r="AC355"/>
      <c r="AD355"/>
    </row>
    <row r="356" spans="2:30" s="151" customFormat="1" ht="13.8">
      <c r="B356" s="33" t="str">
        <f t="shared" si="31"/>
        <v>50 Gbps</v>
      </c>
      <c r="C356" s="23">
        <f>Fronthaul!F14</f>
        <v>0</v>
      </c>
      <c r="D356" s="23">
        <f>Fronthaul!G14</f>
        <v>0</v>
      </c>
      <c r="E356" s="23">
        <f>Fronthaul!H14</f>
        <v>0</v>
      </c>
      <c r="F356" s="23">
        <f>Fronthaul!I14</f>
        <v>0</v>
      </c>
      <c r="G356" s="23">
        <f>Fronthaul!J14</f>
        <v>0</v>
      </c>
      <c r="H356" s="23">
        <f>Fronthaul!K14</f>
        <v>0</v>
      </c>
      <c r="I356" s="23">
        <f>Fronthaul!L14</f>
        <v>0</v>
      </c>
      <c r="J356" s="23">
        <f>Fronthaul!M14</f>
        <v>0</v>
      </c>
      <c r="K356" s="23">
        <f>Fronthaul!N14</f>
        <v>0</v>
      </c>
      <c r="L356" s="23">
        <f>Fronthaul!O14</f>
        <v>0</v>
      </c>
      <c r="M356" s="23">
        <f>Fronthaul!P14</f>
        <v>0</v>
      </c>
      <c r="N356" s="33" t="s">
        <v>288</v>
      </c>
      <c r="O356" s="24">
        <f>Fronthaul!F42</f>
        <v>0</v>
      </c>
      <c r="P356" s="24">
        <f>Fronthaul!G42</f>
        <v>0</v>
      </c>
      <c r="Q356" s="24">
        <f>Fronthaul!H42</f>
        <v>0</v>
      </c>
      <c r="R356" s="24">
        <f>Fronthaul!I42</f>
        <v>0</v>
      </c>
      <c r="S356" s="24">
        <f>Fronthaul!J42</f>
        <v>0</v>
      </c>
      <c r="T356" s="24">
        <f>Fronthaul!K42</f>
        <v>0</v>
      </c>
      <c r="U356" s="24">
        <f>Fronthaul!L42</f>
        <v>0</v>
      </c>
      <c r="V356" s="24">
        <f>Fronthaul!M42</f>
        <v>0</v>
      </c>
      <c r="W356" s="24">
        <f>Fronthaul!N42</f>
        <v>0</v>
      </c>
      <c r="X356" s="24">
        <f>Fronthaul!O42</f>
        <v>0</v>
      </c>
      <c r="Y356" s="24">
        <f>Fronthaul!P42</f>
        <v>0</v>
      </c>
      <c r="Z356" s="140" t="e">
        <f t="shared" si="32"/>
        <v>#DIV/0!</v>
      </c>
      <c r="AB356"/>
      <c r="AC356"/>
      <c r="AD356"/>
    </row>
    <row r="357" spans="2:30" s="151" customFormat="1" ht="13.8">
      <c r="B357" s="33" t="str">
        <f t="shared" si="31"/>
        <v>100 Gbps</v>
      </c>
      <c r="C357" s="23">
        <f>Fronthaul!F15</f>
        <v>0</v>
      </c>
      <c r="D357" s="23">
        <f>Fronthaul!G15</f>
        <v>2200</v>
      </c>
      <c r="E357" s="23">
        <f>Fronthaul!H15</f>
        <v>0</v>
      </c>
      <c r="F357" s="23">
        <f>Fronthaul!I15</f>
        <v>0</v>
      </c>
      <c r="G357" s="23">
        <f>Fronthaul!J15</f>
        <v>0</v>
      </c>
      <c r="H357" s="23">
        <f>Fronthaul!K15</f>
        <v>0</v>
      </c>
      <c r="I357" s="23">
        <f>Fronthaul!L15</f>
        <v>0</v>
      </c>
      <c r="J357" s="23">
        <f>Fronthaul!M15</f>
        <v>0</v>
      </c>
      <c r="K357" s="23">
        <f>Fronthaul!N15</f>
        <v>0</v>
      </c>
      <c r="L357" s="23">
        <f>Fronthaul!O15</f>
        <v>0</v>
      </c>
      <c r="M357" s="23">
        <f>Fronthaul!P15</f>
        <v>0</v>
      </c>
      <c r="N357" s="33" t="s">
        <v>30</v>
      </c>
      <c r="O357" s="24">
        <f>Fronthaul!F43</f>
        <v>0</v>
      </c>
      <c r="P357" s="24">
        <f>Fronthaul!G43</f>
        <v>1.3859999999999999</v>
      </c>
      <c r="Q357" s="24">
        <f>Fronthaul!H43</f>
        <v>0</v>
      </c>
      <c r="R357" s="24">
        <f>Fronthaul!I43</f>
        <v>0</v>
      </c>
      <c r="S357" s="24">
        <f>Fronthaul!J43</f>
        <v>0</v>
      </c>
      <c r="T357" s="24">
        <f>Fronthaul!K43</f>
        <v>0</v>
      </c>
      <c r="U357" s="137">
        <f>Fronthaul!L43</f>
        <v>0</v>
      </c>
      <c r="V357" s="137">
        <f>Fronthaul!M43</f>
        <v>0</v>
      </c>
      <c r="W357" s="137">
        <f>Fronthaul!N43</f>
        <v>0</v>
      </c>
      <c r="X357" s="137">
        <f>Fronthaul!O43</f>
        <v>0</v>
      </c>
      <c r="Y357" s="137">
        <f>Fronthaul!P43</f>
        <v>0</v>
      </c>
      <c r="Z357" s="141" t="e">
        <f t="shared" si="32"/>
        <v>#DIV/0!</v>
      </c>
      <c r="AB357"/>
      <c r="AC357"/>
      <c r="AD357"/>
    </row>
    <row r="358" spans="2:30" s="151" customFormat="1" ht="13.8">
      <c r="B358" s="160" t="s">
        <v>9</v>
      </c>
      <c r="C358" s="388">
        <f t="shared" ref="C358:F358" si="33">SUM(C353:C357)</f>
        <v>16464669.061662231</v>
      </c>
      <c r="D358" s="388">
        <f t="shared" si="33"/>
        <v>32336900.96652998</v>
      </c>
      <c r="E358" s="388">
        <f t="shared" si="33"/>
        <v>0</v>
      </c>
      <c r="F358" s="388">
        <f t="shared" si="33"/>
        <v>0</v>
      </c>
      <c r="G358" s="388">
        <f>SUM(G353:G357)</f>
        <v>0</v>
      </c>
      <c r="H358" s="388">
        <f t="shared" ref="H358:M358" si="34">SUM(H353:H357)</f>
        <v>0</v>
      </c>
      <c r="I358" s="388">
        <f t="shared" si="34"/>
        <v>0</v>
      </c>
      <c r="J358" s="388">
        <f t="shared" si="34"/>
        <v>0</v>
      </c>
      <c r="K358" s="388">
        <f t="shared" si="34"/>
        <v>0</v>
      </c>
      <c r="L358" s="388">
        <f t="shared" si="34"/>
        <v>0</v>
      </c>
      <c r="M358" s="388">
        <f t="shared" si="34"/>
        <v>0</v>
      </c>
      <c r="N358" s="160" t="s">
        <v>9</v>
      </c>
      <c r="O358" s="120">
        <f t="shared" ref="O358:V358" si="35">SUM(O353:O357)</f>
        <v>365.7907095970217</v>
      </c>
      <c r="P358" s="120">
        <f t="shared" si="35"/>
        <v>918.08542910141603</v>
      </c>
      <c r="Q358" s="120">
        <f t="shared" si="35"/>
        <v>0</v>
      </c>
      <c r="R358" s="120">
        <f t="shared" si="35"/>
        <v>0</v>
      </c>
      <c r="S358" s="120">
        <f t="shared" si="35"/>
        <v>0</v>
      </c>
      <c r="T358" s="120">
        <f t="shared" si="35"/>
        <v>0</v>
      </c>
      <c r="U358" s="120">
        <f t="shared" si="35"/>
        <v>0</v>
      </c>
      <c r="V358" s="120">
        <f t="shared" si="35"/>
        <v>0</v>
      </c>
      <c r="W358" s="120">
        <f t="shared" ref="W358:Y358" si="36">SUM(W353:W357)</f>
        <v>0</v>
      </c>
      <c r="X358" s="120">
        <f t="shared" si="36"/>
        <v>0</v>
      </c>
      <c r="Y358" s="120">
        <f t="shared" si="36"/>
        <v>0</v>
      </c>
      <c r="Z358" s="141" t="e">
        <f t="shared" si="32"/>
        <v>#DIV/0!</v>
      </c>
      <c r="AB358"/>
      <c r="AC358"/>
      <c r="AD358"/>
    </row>
    <row r="359" spans="2:30" s="151" customFormat="1" ht="13.8">
      <c r="B359" s="16"/>
      <c r="AB359"/>
      <c r="AC359"/>
      <c r="AD359"/>
    </row>
    <row r="360" spans="2:30" s="151" customFormat="1" ht="13.8">
      <c r="B360" s="152" t="s">
        <v>349</v>
      </c>
      <c r="N360" s="152" t="s">
        <v>350</v>
      </c>
      <c r="AB360"/>
      <c r="AC360"/>
      <c r="AD360"/>
    </row>
    <row r="361" spans="2:30" s="151" customFormat="1" ht="13.8">
      <c r="AB361"/>
      <c r="AC361"/>
      <c r="AD361"/>
    </row>
    <row r="362" spans="2:30" s="151" customFormat="1" ht="13.8">
      <c r="AB362"/>
      <c r="AC362"/>
      <c r="AD362"/>
    </row>
    <row r="363" spans="2:30" s="151" customFormat="1" ht="13.8">
      <c r="AB363"/>
      <c r="AC363"/>
      <c r="AD363"/>
    </row>
    <row r="364" spans="2:30" s="151" customFormat="1" ht="13.8">
      <c r="AB364"/>
      <c r="AC364"/>
      <c r="AD364"/>
    </row>
    <row r="365" spans="2:30" s="151" customFormat="1" ht="13.8">
      <c r="AB365"/>
      <c r="AC365"/>
      <c r="AD365"/>
    </row>
    <row r="366" spans="2:30" s="151" customFormat="1" ht="13.8">
      <c r="AB366"/>
      <c r="AC366"/>
      <c r="AD366"/>
    </row>
    <row r="367" spans="2:30" s="151" customFormat="1" ht="13.8">
      <c r="AB367"/>
      <c r="AC367"/>
      <c r="AD367"/>
    </row>
    <row r="368" spans="2:30" s="151" customFormat="1" ht="13.8">
      <c r="AB368"/>
      <c r="AC368"/>
      <c r="AD368"/>
    </row>
    <row r="369" spans="2:30" s="151" customFormat="1" ht="13.8">
      <c r="AB369"/>
      <c r="AC369"/>
      <c r="AD369"/>
    </row>
    <row r="370" spans="2:30" s="151" customFormat="1" ht="13.8">
      <c r="AB370"/>
      <c r="AC370"/>
      <c r="AD370"/>
    </row>
    <row r="371" spans="2:30" s="151" customFormat="1" ht="13.8">
      <c r="AB371"/>
      <c r="AC371"/>
      <c r="AD371"/>
    </row>
    <row r="372" spans="2:30" s="151" customFormat="1" ht="13.8">
      <c r="AB372"/>
      <c r="AC372"/>
      <c r="AD372"/>
    </row>
    <row r="373" spans="2:30" s="151" customFormat="1" ht="13.8">
      <c r="AB373"/>
      <c r="AC373"/>
      <c r="AD373"/>
    </row>
    <row r="374" spans="2:30" s="151" customFormat="1" ht="13.8">
      <c r="AB374"/>
      <c r="AC374"/>
      <c r="AD374"/>
    </row>
    <row r="375" spans="2:30" s="151" customFormat="1" ht="13.8">
      <c r="AB375"/>
      <c r="AC375"/>
      <c r="AD375"/>
    </row>
    <row r="376" spans="2:30" s="151" customFormat="1" ht="13.8">
      <c r="AB376"/>
      <c r="AC376"/>
      <c r="AD376"/>
    </row>
    <row r="377" spans="2:30" s="151" customFormat="1" ht="13.8">
      <c r="AB377"/>
      <c r="AC377"/>
      <c r="AD377"/>
    </row>
    <row r="378" spans="2:30" s="151" customFormat="1" ht="13.8">
      <c r="AB378"/>
      <c r="AC378"/>
      <c r="AD378"/>
    </row>
    <row r="379" spans="2:30" s="151" customFormat="1" ht="13.8">
      <c r="AB379"/>
      <c r="AC379"/>
      <c r="AD379"/>
    </row>
    <row r="380" spans="2:30" s="151" customFormat="1" ht="13.8">
      <c r="AB380"/>
      <c r="AC380"/>
      <c r="AD380"/>
    </row>
    <row r="381" spans="2:30" s="151" customFormat="1" ht="15.6">
      <c r="B381" s="307"/>
      <c r="F381" s="307"/>
      <c r="AB381"/>
      <c r="AC381"/>
      <c r="AD381"/>
    </row>
    <row r="382" spans="2:30" s="151" customFormat="1" ht="13.8">
      <c r="Z382" s="118" t="s">
        <v>2</v>
      </c>
      <c r="AB382"/>
      <c r="AC382"/>
      <c r="AD382"/>
    </row>
    <row r="383" spans="2:30" s="151" customFormat="1" ht="13.8">
      <c r="B383" s="158" t="s">
        <v>360</v>
      </c>
      <c r="C383" s="103">
        <v>2018</v>
      </c>
      <c r="D383" s="103">
        <v>2019</v>
      </c>
      <c r="E383" s="103">
        <v>2020</v>
      </c>
      <c r="F383" s="103">
        <v>2021</v>
      </c>
      <c r="G383" s="103">
        <v>2022</v>
      </c>
      <c r="H383" s="103">
        <v>2023</v>
      </c>
      <c r="I383" s="103">
        <v>2024</v>
      </c>
      <c r="J383" s="103">
        <v>2025</v>
      </c>
      <c r="K383" s="103">
        <v>2026</v>
      </c>
      <c r="L383" s="103">
        <v>2027</v>
      </c>
      <c r="M383" s="103">
        <v>2028</v>
      </c>
      <c r="N383" s="158" t="str">
        <f t="shared" ref="N383:N390" si="37">B383</f>
        <v>Speed</v>
      </c>
      <c r="O383" s="103">
        <v>2018</v>
      </c>
      <c r="P383" s="103">
        <v>2019</v>
      </c>
      <c r="Q383" s="103">
        <v>2020</v>
      </c>
      <c r="R383" s="103">
        <v>2021</v>
      </c>
      <c r="S383" s="103">
        <v>2022</v>
      </c>
      <c r="T383" s="103">
        <v>2023</v>
      </c>
      <c r="U383" s="103">
        <v>2024</v>
      </c>
      <c r="V383" s="103">
        <v>2025</v>
      </c>
      <c r="W383" s="103">
        <v>2026</v>
      </c>
      <c r="X383" s="103">
        <v>2027</v>
      </c>
      <c r="Y383" s="103">
        <v>2028</v>
      </c>
      <c r="Z383" s="103" t="str">
        <f>$Z$139</f>
        <v>2022-2028</v>
      </c>
      <c r="AB383"/>
      <c r="AC383"/>
      <c r="AD383"/>
    </row>
    <row r="384" spans="2:30" s="151" customFormat="1" ht="13.8">
      <c r="B384" s="234" t="str">
        <f>Backhaul!C8&amp;" "&amp;Backhaul!E8</f>
        <v>1 Gbps SFP</v>
      </c>
      <c r="C384" s="378">
        <f>Backhaul!F8</f>
        <v>666557.69230769225</v>
      </c>
      <c r="D384" s="378">
        <f>Backhaul!G8</f>
        <v>533246.15384615387</v>
      </c>
      <c r="E384" s="378">
        <f>Backhaul!H8</f>
        <v>0</v>
      </c>
      <c r="F384" s="378">
        <f>Backhaul!I8</f>
        <v>0</v>
      </c>
      <c r="G384" s="378">
        <f>Backhaul!J8</f>
        <v>0</v>
      </c>
      <c r="H384" s="378">
        <f>Backhaul!K8</f>
        <v>0</v>
      </c>
      <c r="I384" s="378">
        <f>Backhaul!L8</f>
        <v>0</v>
      </c>
      <c r="J384" s="378">
        <f>Backhaul!M8</f>
        <v>0</v>
      </c>
      <c r="K384" s="378">
        <f>Backhaul!N8</f>
        <v>0</v>
      </c>
      <c r="L384" s="378">
        <f>Backhaul!O8</f>
        <v>0</v>
      </c>
      <c r="M384" s="378">
        <f>Backhaul!P8</f>
        <v>0</v>
      </c>
      <c r="N384" s="234" t="str">
        <f t="shared" si="37"/>
        <v>1 Gbps SFP</v>
      </c>
      <c r="O384" s="396">
        <f>Backhaul!F27</f>
        <v>8.2306948330175711</v>
      </c>
      <c r="P384" s="396">
        <f>Backhaul!G27</f>
        <v>4.4242065045895984</v>
      </c>
      <c r="Q384" s="396">
        <f>Backhaul!H27</f>
        <v>0</v>
      </c>
      <c r="R384" s="396">
        <f>Backhaul!I27</f>
        <v>0</v>
      </c>
      <c r="S384" s="396">
        <f>Backhaul!J27</f>
        <v>0</v>
      </c>
      <c r="T384" s="396">
        <f>Backhaul!K27</f>
        <v>0</v>
      </c>
      <c r="U384" s="396">
        <f>Backhaul!L27</f>
        <v>0</v>
      </c>
      <c r="V384" s="396">
        <f>Backhaul!M27</f>
        <v>0</v>
      </c>
      <c r="W384" s="396">
        <f>Backhaul!N27</f>
        <v>0</v>
      </c>
      <c r="X384" s="396">
        <f>Backhaul!O27</f>
        <v>0</v>
      </c>
      <c r="Y384" s="396">
        <f>Backhaul!P27</f>
        <v>0</v>
      </c>
      <c r="Z384" s="139" t="e">
        <f t="shared" ref="Z384:Z390" si="38">(Y384/S384)^(1/6)-1</f>
        <v>#DIV/0!</v>
      </c>
      <c r="AB384"/>
      <c r="AC384"/>
      <c r="AD384"/>
    </row>
    <row r="385" spans="1:30" s="151" customFormat="1" ht="13.8">
      <c r="B385" s="81" t="str">
        <f>Backhaul!C9&amp;" "&amp;Backhaul!E9</f>
        <v>10 Gbps SFP+</v>
      </c>
      <c r="C385" s="378">
        <f>Backhaul!F9</f>
        <v>705000</v>
      </c>
      <c r="D385" s="378">
        <f>Backhaul!G9</f>
        <v>1594858.577488</v>
      </c>
      <c r="E385" s="378">
        <f>Backhaul!H9</f>
        <v>0</v>
      </c>
      <c r="F385" s="378">
        <f>Backhaul!I9</f>
        <v>0</v>
      </c>
      <c r="G385" s="378">
        <f>Backhaul!J9</f>
        <v>0</v>
      </c>
      <c r="H385" s="378">
        <f>Backhaul!K9</f>
        <v>0</v>
      </c>
      <c r="I385" s="378">
        <f>Backhaul!L9</f>
        <v>0</v>
      </c>
      <c r="J385" s="378">
        <f>Backhaul!M9</f>
        <v>0</v>
      </c>
      <c r="K385" s="378">
        <f>Backhaul!N9</f>
        <v>0</v>
      </c>
      <c r="L385" s="378">
        <f>Backhaul!O9</f>
        <v>0</v>
      </c>
      <c r="M385" s="378">
        <f>Backhaul!P9</f>
        <v>0</v>
      </c>
      <c r="N385" s="81" t="str">
        <f t="shared" si="37"/>
        <v>10 Gbps SFP+</v>
      </c>
      <c r="O385" s="396">
        <f>Backhaul!F28</f>
        <v>70.529240304289061</v>
      </c>
      <c r="P385" s="396">
        <f>Backhaul!G28</f>
        <v>78.078966957356343</v>
      </c>
      <c r="Q385" s="396">
        <f>Backhaul!H28</f>
        <v>0</v>
      </c>
      <c r="R385" s="396">
        <f>Backhaul!I28</f>
        <v>0</v>
      </c>
      <c r="S385" s="396">
        <f>Backhaul!J28</f>
        <v>0</v>
      </c>
      <c r="T385" s="396">
        <f>Backhaul!K28</f>
        <v>0</v>
      </c>
      <c r="U385" s="396">
        <f>Backhaul!L28</f>
        <v>0</v>
      </c>
      <c r="V385" s="396">
        <f>Backhaul!M28</f>
        <v>0</v>
      </c>
      <c r="W385" s="396">
        <f>Backhaul!N28</f>
        <v>0</v>
      </c>
      <c r="X385" s="396">
        <f>Backhaul!O28</f>
        <v>0</v>
      </c>
      <c r="Y385" s="396">
        <f>Backhaul!P28</f>
        <v>0</v>
      </c>
      <c r="Z385" s="140" t="e">
        <f t="shared" si="38"/>
        <v>#DIV/0!</v>
      </c>
      <c r="AB385"/>
      <c r="AC385"/>
      <c r="AD385"/>
    </row>
    <row r="386" spans="1:30" s="151" customFormat="1" ht="13.8">
      <c r="B386" s="81" t="str">
        <f>Backhaul!C10&amp;" "&amp;Backhaul!E10</f>
        <v>25 Gbps SFP28</v>
      </c>
      <c r="C386" s="378">
        <f>Backhaul!F10</f>
        <v>18180</v>
      </c>
      <c r="D386" s="378">
        <f>Backhaul!G10</f>
        <v>37251.656393120014</v>
      </c>
      <c r="E386" s="378">
        <f>Backhaul!H10</f>
        <v>0</v>
      </c>
      <c r="F386" s="378">
        <f>Backhaul!I10</f>
        <v>0</v>
      </c>
      <c r="G386" s="378">
        <f>Backhaul!J10</f>
        <v>0</v>
      </c>
      <c r="H386" s="378">
        <f>Backhaul!K10</f>
        <v>0</v>
      </c>
      <c r="I386" s="378">
        <f>Backhaul!L10</f>
        <v>0</v>
      </c>
      <c r="J386" s="378">
        <f>Backhaul!M10</f>
        <v>0</v>
      </c>
      <c r="K386" s="378">
        <f>Backhaul!N10</f>
        <v>0</v>
      </c>
      <c r="L386" s="378">
        <f>Backhaul!O10</f>
        <v>0</v>
      </c>
      <c r="M386" s="378">
        <f>Backhaul!P10</f>
        <v>0</v>
      </c>
      <c r="N386" s="81" t="str">
        <f t="shared" si="37"/>
        <v>25 Gbps SFP28</v>
      </c>
      <c r="O386" s="396">
        <f>Backhaul!F29</f>
        <v>3.5437460053959682</v>
      </c>
      <c r="P386" s="396">
        <f>Backhaul!G29</f>
        <v>4.3987534672724831</v>
      </c>
      <c r="Q386" s="396">
        <f>Backhaul!H29</f>
        <v>0</v>
      </c>
      <c r="R386" s="396">
        <f>Backhaul!I29</f>
        <v>0</v>
      </c>
      <c r="S386" s="396">
        <f>Backhaul!J29</f>
        <v>0</v>
      </c>
      <c r="T386" s="396">
        <f>Backhaul!K29</f>
        <v>0</v>
      </c>
      <c r="U386" s="396">
        <f>Backhaul!L29</f>
        <v>0</v>
      </c>
      <c r="V386" s="396">
        <f>Backhaul!M29</f>
        <v>0</v>
      </c>
      <c r="W386" s="396">
        <f>Backhaul!N29</f>
        <v>0</v>
      </c>
      <c r="X386" s="396">
        <f>Backhaul!O29</f>
        <v>0</v>
      </c>
      <c r="Y386" s="396">
        <f>Backhaul!P29</f>
        <v>0</v>
      </c>
      <c r="Z386" s="140" t="e">
        <f t="shared" si="38"/>
        <v>#DIV/0!</v>
      </c>
      <c r="AB386"/>
      <c r="AC386"/>
      <c r="AD386"/>
    </row>
    <row r="387" spans="1:30" s="151" customFormat="1" ht="13.8">
      <c r="B387" s="81" t="str">
        <f>Backhaul!C11&amp;" "&amp;Backhaul!E11</f>
        <v>50 Gbps QSFP28</v>
      </c>
      <c r="C387" s="378">
        <f>Backhaul!F11</f>
        <v>0</v>
      </c>
      <c r="D387" s="378">
        <f>Backhaul!G11</f>
        <v>110894</v>
      </c>
      <c r="E387" s="378">
        <f>Backhaul!H11</f>
        <v>0</v>
      </c>
      <c r="F387" s="378">
        <f>Backhaul!I11</f>
        <v>0</v>
      </c>
      <c r="G387" s="378">
        <f>Backhaul!J11</f>
        <v>0</v>
      </c>
      <c r="H387" s="378">
        <f>Backhaul!K11</f>
        <v>0</v>
      </c>
      <c r="I387" s="378">
        <f>Backhaul!L11</f>
        <v>0</v>
      </c>
      <c r="J387" s="378">
        <f>Backhaul!M11</f>
        <v>0</v>
      </c>
      <c r="K387" s="378">
        <f>Backhaul!N11</f>
        <v>0</v>
      </c>
      <c r="L387" s="378">
        <f>Backhaul!O11</f>
        <v>0</v>
      </c>
      <c r="M387" s="378">
        <f>Backhaul!P11</f>
        <v>0</v>
      </c>
      <c r="N387" s="81" t="str">
        <f t="shared" si="37"/>
        <v>50 Gbps QSFP28</v>
      </c>
      <c r="O387" s="396">
        <f>Backhaul!F30</f>
        <v>0</v>
      </c>
      <c r="P387" s="396">
        <f>Backhaul!G30</f>
        <v>52.509632451955227</v>
      </c>
      <c r="Q387" s="396">
        <f>Backhaul!H30</f>
        <v>0</v>
      </c>
      <c r="R387" s="396">
        <f>Backhaul!I30</f>
        <v>0</v>
      </c>
      <c r="S387" s="396">
        <f>Backhaul!J30</f>
        <v>0</v>
      </c>
      <c r="T387" s="396">
        <f>Backhaul!K30</f>
        <v>0</v>
      </c>
      <c r="U387" s="396">
        <f>Backhaul!L30</f>
        <v>0</v>
      </c>
      <c r="V387" s="396">
        <f>Backhaul!M30</f>
        <v>0</v>
      </c>
      <c r="W387" s="396">
        <f>Backhaul!N30</f>
        <v>0</v>
      </c>
      <c r="X387" s="396">
        <f>Backhaul!O30</f>
        <v>0</v>
      </c>
      <c r="Y387" s="396">
        <f>Backhaul!P30</f>
        <v>0</v>
      </c>
      <c r="Z387" s="140" t="e">
        <f t="shared" si="38"/>
        <v>#DIV/0!</v>
      </c>
      <c r="AB387"/>
      <c r="AC387"/>
      <c r="AD387"/>
    </row>
    <row r="388" spans="1:30" s="151" customFormat="1" ht="13.8">
      <c r="B388" s="81" t="str">
        <f>Backhaul!C12&amp;" "&amp;Backhaul!E12</f>
        <v>100 Gbps QSFP28</v>
      </c>
      <c r="C388" s="378">
        <f>Backhaul!F12</f>
        <v>0</v>
      </c>
      <c r="D388" s="378">
        <f>Backhaul!G12</f>
        <v>10000</v>
      </c>
      <c r="E388" s="378">
        <f>Backhaul!H12</f>
        <v>0</v>
      </c>
      <c r="F388" s="378">
        <f>Backhaul!I12</f>
        <v>0</v>
      </c>
      <c r="G388" s="378">
        <f>Backhaul!J12</f>
        <v>0</v>
      </c>
      <c r="H388" s="378">
        <f>Backhaul!K12</f>
        <v>0</v>
      </c>
      <c r="I388" s="378">
        <f>Backhaul!L12</f>
        <v>0</v>
      </c>
      <c r="J388" s="378">
        <f>Backhaul!M12</f>
        <v>0</v>
      </c>
      <c r="K388" s="378">
        <f>Backhaul!N12</f>
        <v>0</v>
      </c>
      <c r="L388" s="378">
        <f>Backhaul!O12</f>
        <v>0</v>
      </c>
      <c r="M388" s="378">
        <f>Backhaul!P12</f>
        <v>0</v>
      </c>
      <c r="N388" s="81" t="str">
        <f t="shared" si="37"/>
        <v>100 Gbps QSFP28</v>
      </c>
      <c r="O388" s="396">
        <f>Backhaul!F31</f>
        <v>0</v>
      </c>
      <c r="P388" s="396">
        <f>Backhaul!G31</f>
        <v>5.2708718409117781</v>
      </c>
      <c r="Q388" s="396">
        <f>Backhaul!H31</f>
        <v>0</v>
      </c>
      <c r="R388" s="396">
        <f>Backhaul!I31</f>
        <v>0</v>
      </c>
      <c r="S388" s="396">
        <f>Backhaul!J31</f>
        <v>0</v>
      </c>
      <c r="T388" s="396">
        <f>Backhaul!K31</f>
        <v>0</v>
      </c>
      <c r="U388" s="396">
        <f>Backhaul!L31</f>
        <v>0</v>
      </c>
      <c r="V388" s="396">
        <f>Backhaul!M31</f>
        <v>0</v>
      </c>
      <c r="W388" s="396">
        <f>Backhaul!N31</f>
        <v>0</v>
      </c>
      <c r="X388" s="396">
        <f>Backhaul!O31</f>
        <v>0</v>
      </c>
      <c r="Y388" s="396">
        <f>Backhaul!P31</f>
        <v>0</v>
      </c>
      <c r="Z388" s="140" t="e">
        <f t="shared" si="38"/>
        <v>#DIV/0!</v>
      </c>
      <c r="AB388"/>
      <c r="AC388"/>
      <c r="AD388"/>
    </row>
    <row r="389" spans="1:30" s="151" customFormat="1" ht="13.8">
      <c r="B389" s="265" t="str">
        <f>Backhaul!C13&amp;" "&amp;Backhaul!E13</f>
        <v>200 Gbps All</v>
      </c>
      <c r="C389" s="397">
        <f>Backhaul!F13</f>
        <v>0</v>
      </c>
      <c r="D389" s="397">
        <f>Backhaul!G13</f>
        <v>0</v>
      </c>
      <c r="E389" s="397">
        <f>Backhaul!H13</f>
        <v>0</v>
      </c>
      <c r="F389" s="397">
        <f>Backhaul!I13</f>
        <v>0</v>
      </c>
      <c r="G389" s="397">
        <f>Backhaul!J13</f>
        <v>0</v>
      </c>
      <c r="H389" s="397">
        <f>Backhaul!K13</f>
        <v>0</v>
      </c>
      <c r="I389" s="397">
        <f>Backhaul!L13</f>
        <v>0</v>
      </c>
      <c r="J389" s="397">
        <f>Backhaul!M13</f>
        <v>0</v>
      </c>
      <c r="K389" s="397">
        <f>Backhaul!N13</f>
        <v>0</v>
      </c>
      <c r="L389" s="397">
        <f>Backhaul!O13</f>
        <v>0</v>
      </c>
      <c r="M389" s="397">
        <f>Backhaul!P13</f>
        <v>0</v>
      </c>
      <c r="N389" s="265" t="str">
        <f t="shared" si="37"/>
        <v>200 Gbps All</v>
      </c>
      <c r="O389" s="398">
        <f>Backhaul!F32</f>
        <v>0</v>
      </c>
      <c r="P389" s="398">
        <f>Backhaul!G32</f>
        <v>0</v>
      </c>
      <c r="Q389" s="398">
        <f>Backhaul!H32</f>
        <v>0</v>
      </c>
      <c r="R389" s="398">
        <f>Backhaul!I32</f>
        <v>0</v>
      </c>
      <c r="S389" s="398">
        <f>Backhaul!J32</f>
        <v>0</v>
      </c>
      <c r="T389" s="398">
        <f>Backhaul!K32</f>
        <v>0</v>
      </c>
      <c r="U389" s="398">
        <f>Backhaul!L32</f>
        <v>0</v>
      </c>
      <c r="V389" s="398">
        <f>Backhaul!M32</f>
        <v>0</v>
      </c>
      <c r="W389" s="398">
        <f>Backhaul!N32</f>
        <v>0</v>
      </c>
      <c r="X389" s="398">
        <f>Backhaul!O32</f>
        <v>0</v>
      </c>
      <c r="Y389" s="398">
        <f>Backhaul!P32</f>
        <v>0</v>
      </c>
      <c r="Z389" s="141" t="e">
        <f t="shared" si="38"/>
        <v>#DIV/0!</v>
      </c>
      <c r="AB389"/>
      <c r="AC389"/>
      <c r="AD389"/>
    </row>
    <row r="390" spans="1:30" s="151" customFormat="1" ht="13.8">
      <c r="B390" s="195" t="s">
        <v>93</v>
      </c>
      <c r="C390" s="379">
        <f t="shared" ref="C390:J390" si="39">SUM(C384:C389)</f>
        <v>1389737.6923076923</v>
      </c>
      <c r="D390" s="379">
        <f t="shared" si="39"/>
        <v>2286250.3877272741</v>
      </c>
      <c r="E390" s="379">
        <f t="shared" si="39"/>
        <v>0</v>
      </c>
      <c r="F390" s="379">
        <f t="shared" si="39"/>
        <v>0</v>
      </c>
      <c r="G390" s="379">
        <f t="shared" si="39"/>
        <v>0</v>
      </c>
      <c r="H390" s="379">
        <f t="shared" si="39"/>
        <v>0</v>
      </c>
      <c r="I390" s="379">
        <f t="shared" si="39"/>
        <v>0</v>
      </c>
      <c r="J390" s="379">
        <f t="shared" si="39"/>
        <v>0</v>
      </c>
      <c r="K390" s="379">
        <f t="shared" ref="K390:M390" si="40">SUM(K384:K389)</f>
        <v>0</v>
      </c>
      <c r="L390" s="379">
        <f t="shared" si="40"/>
        <v>0</v>
      </c>
      <c r="M390" s="379">
        <f t="shared" si="40"/>
        <v>0</v>
      </c>
      <c r="N390" s="195" t="str">
        <f t="shared" si="37"/>
        <v>Total</v>
      </c>
      <c r="O390" s="382">
        <f t="shared" ref="O390:V390" si="41">SUM(O384:O389)</f>
        <v>82.303681142702601</v>
      </c>
      <c r="P390" s="382">
        <f t="shared" si="41"/>
        <v>144.68243122208546</v>
      </c>
      <c r="Q390" s="382">
        <f t="shared" si="41"/>
        <v>0</v>
      </c>
      <c r="R390" s="382">
        <f t="shared" si="41"/>
        <v>0</v>
      </c>
      <c r="S390" s="382">
        <f t="shared" si="41"/>
        <v>0</v>
      </c>
      <c r="T390" s="382">
        <f t="shared" si="41"/>
        <v>0</v>
      </c>
      <c r="U390" s="382">
        <f t="shared" si="41"/>
        <v>0</v>
      </c>
      <c r="V390" s="382">
        <f t="shared" si="41"/>
        <v>0</v>
      </c>
      <c r="W390" s="382">
        <f t="shared" ref="W390:Y390" si="42">SUM(W384:W389)</f>
        <v>0</v>
      </c>
      <c r="X390" s="382">
        <f t="shared" si="42"/>
        <v>0</v>
      </c>
      <c r="Y390" s="382">
        <f t="shared" si="42"/>
        <v>0</v>
      </c>
      <c r="Z390" s="144" t="e">
        <f t="shared" si="38"/>
        <v>#DIV/0!</v>
      </c>
      <c r="AB390"/>
      <c r="AC390"/>
      <c r="AD390"/>
    </row>
    <row r="391" spans="1:30" s="151" customFormat="1" ht="13.8">
      <c r="B391" s="16"/>
      <c r="AB391"/>
      <c r="AC391"/>
      <c r="AD391"/>
    </row>
    <row r="392" spans="1:30">
      <c r="B392" s="16"/>
      <c r="C392" s="208"/>
      <c r="D392" s="208"/>
      <c r="E392" s="208"/>
      <c r="F392" s="208"/>
      <c r="G392" s="208"/>
      <c r="H392" s="208"/>
      <c r="I392" s="208"/>
      <c r="J392" s="208"/>
      <c r="K392" s="208"/>
      <c r="L392" s="208"/>
      <c r="M392" s="208"/>
      <c r="N392" s="32"/>
      <c r="O392" s="196"/>
      <c r="P392" s="196"/>
      <c r="Q392" s="196"/>
      <c r="R392" s="196"/>
      <c r="S392" s="196"/>
      <c r="T392" s="196"/>
      <c r="U392" s="196"/>
      <c r="V392" s="196"/>
      <c r="W392" s="196"/>
      <c r="X392" s="196"/>
      <c r="Y392" s="196"/>
      <c r="AA392" s="7"/>
    </row>
    <row r="393" spans="1:30" s="586" customFormat="1" ht="22.8">
      <c r="A393" s="394" t="s">
        <v>4</v>
      </c>
      <c r="B393" s="72"/>
      <c r="C393" s="73"/>
      <c r="D393" s="73"/>
      <c r="E393" s="73"/>
      <c r="F393" s="73"/>
      <c r="G393" s="73"/>
      <c r="H393" s="79"/>
      <c r="I393" s="79"/>
      <c r="J393" s="79"/>
      <c r="K393" s="79"/>
      <c r="L393" s="79"/>
      <c r="M393" s="79"/>
      <c r="N393" s="79"/>
      <c r="O393" s="72"/>
      <c r="P393" s="72"/>
      <c r="Q393" s="40"/>
      <c r="R393" s="40"/>
      <c r="S393" s="40"/>
      <c r="T393" s="394" t="str">
        <f>A393</f>
        <v xml:space="preserve">Ethernet </v>
      </c>
      <c r="U393" s="40"/>
      <c r="V393" s="40"/>
      <c r="W393" s="40"/>
      <c r="X393" s="40"/>
      <c r="Y393" s="40"/>
      <c r="Z393" s="40"/>
      <c r="AA393" s="80"/>
      <c r="AB393"/>
      <c r="AC393"/>
    </row>
    <row r="394" spans="1:30">
      <c r="B394" s="16"/>
      <c r="C394" s="31"/>
      <c r="D394" s="31"/>
      <c r="E394" s="31"/>
      <c r="F394" s="31"/>
      <c r="G394" s="31"/>
      <c r="H394" s="32"/>
      <c r="I394" s="32"/>
      <c r="J394" s="32"/>
      <c r="K394" s="32"/>
      <c r="L394" s="32"/>
      <c r="M394" s="32"/>
      <c r="N394" s="32"/>
      <c r="O394" s="16"/>
      <c r="P394" s="16"/>
      <c r="Q394" s="138"/>
      <c r="R394" s="138"/>
      <c r="S394" s="138"/>
      <c r="T394" s="138"/>
      <c r="U394" s="138"/>
      <c r="V394" s="138"/>
      <c r="W394" s="138"/>
      <c r="X394" s="138"/>
      <c r="Y394" s="138"/>
      <c r="AA394" s="138"/>
    </row>
    <row r="395" spans="1:30" ht="15.6">
      <c r="B395" s="78" t="s">
        <v>99</v>
      </c>
      <c r="C395" s="31"/>
      <c r="D395" s="31"/>
      <c r="E395" s="31"/>
      <c r="F395" s="31"/>
      <c r="G395" s="31"/>
      <c r="H395" s="32"/>
      <c r="I395" s="32"/>
      <c r="J395" s="32"/>
      <c r="K395" s="32"/>
      <c r="L395" s="32"/>
      <c r="M395" s="32"/>
      <c r="N395" s="78" t="s">
        <v>100</v>
      </c>
      <c r="O395" s="16"/>
      <c r="P395" s="16"/>
      <c r="Q395" s="138"/>
      <c r="R395" s="138"/>
      <c r="S395" s="138"/>
      <c r="T395" s="138"/>
      <c r="U395" s="138"/>
      <c r="V395" s="138"/>
      <c r="W395" s="138"/>
      <c r="X395" s="138"/>
      <c r="Y395" s="138"/>
      <c r="AA395" s="138"/>
    </row>
    <row r="396" spans="1:30">
      <c r="B396" s="16"/>
      <c r="C396" s="31"/>
      <c r="D396" s="31"/>
      <c r="E396" s="31"/>
      <c r="F396" s="31"/>
      <c r="G396" s="31"/>
      <c r="H396" s="32"/>
      <c r="I396" s="32"/>
      <c r="J396" s="32"/>
      <c r="K396" s="32"/>
      <c r="L396" s="32"/>
      <c r="M396" s="32"/>
      <c r="N396" s="32"/>
      <c r="O396" s="16"/>
      <c r="P396" s="16"/>
      <c r="Q396" s="138"/>
      <c r="R396" s="138"/>
      <c r="S396" s="138"/>
      <c r="T396" s="138"/>
      <c r="U396" s="138"/>
      <c r="V396" s="138"/>
      <c r="W396" s="138"/>
      <c r="X396" s="138"/>
      <c r="Y396" s="138"/>
      <c r="AA396" s="138"/>
    </row>
    <row r="397" spans="1:30">
      <c r="B397" s="16"/>
      <c r="C397" s="31"/>
      <c r="D397" s="31"/>
      <c r="E397" s="31"/>
      <c r="F397" s="31"/>
      <c r="G397" s="31"/>
      <c r="H397" s="32"/>
      <c r="I397" s="32"/>
      <c r="J397" s="32"/>
      <c r="K397" s="32"/>
      <c r="L397" s="32"/>
      <c r="M397" s="32"/>
      <c r="N397" s="32"/>
      <c r="O397" s="16"/>
      <c r="P397" s="16"/>
      <c r="Q397" s="138"/>
      <c r="R397" s="138"/>
      <c r="S397" s="138"/>
      <c r="T397" s="138"/>
      <c r="U397" s="138"/>
      <c r="V397" s="138"/>
      <c r="W397" s="138"/>
      <c r="X397" s="138"/>
      <c r="Y397" s="138"/>
      <c r="AA397" s="138"/>
    </row>
    <row r="398" spans="1:30">
      <c r="B398" s="16"/>
      <c r="C398" s="31"/>
      <c r="D398" s="31"/>
      <c r="E398" s="31"/>
      <c r="F398" s="31"/>
      <c r="G398" s="31"/>
      <c r="H398" s="32"/>
      <c r="I398" s="32"/>
      <c r="J398" s="32"/>
      <c r="K398" s="32"/>
      <c r="L398" s="32"/>
      <c r="M398" s="32"/>
      <c r="N398" s="32"/>
      <c r="O398" s="16"/>
      <c r="P398" s="16"/>
      <c r="Q398" s="138"/>
      <c r="R398" s="138"/>
      <c r="S398" s="138"/>
      <c r="T398" s="138"/>
      <c r="U398" s="138"/>
      <c r="V398" s="138"/>
      <c r="W398" s="138"/>
      <c r="X398" s="138"/>
      <c r="Y398" s="138"/>
      <c r="AA398" s="138"/>
    </row>
    <row r="399" spans="1:30">
      <c r="B399" s="16"/>
      <c r="C399" s="31"/>
      <c r="D399" s="31"/>
      <c r="E399" s="31"/>
      <c r="F399" s="31"/>
      <c r="G399" s="31"/>
      <c r="H399" s="32"/>
      <c r="I399" s="32"/>
      <c r="J399" s="32"/>
      <c r="K399" s="32"/>
      <c r="L399" s="32"/>
      <c r="M399" s="32"/>
      <c r="N399" s="32"/>
      <c r="O399" s="16"/>
      <c r="P399" s="16"/>
      <c r="Q399" s="138"/>
      <c r="R399" s="138"/>
      <c r="S399" s="138"/>
      <c r="T399" s="138"/>
      <c r="U399" s="138"/>
      <c r="V399" s="138"/>
      <c r="W399" s="138"/>
      <c r="X399" s="138"/>
      <c r="Y399" s="138"/>
      <c r="AA399" s="138"/>
    </row>
    <row r="400" spans="1:30">
      <c r="B400" s="16"/>
      <c r="C400" s="31"/>
      <c r="D400" s="31"/>
      <c r="E400" s="31"/>
      <c r="F400" s="31"/>
      <c r="G400" s="31"/>
      <c r="H400" s="32"/>
      <c r="I400" s="32"/>
      <c r="J400" s="32"/>
      <c r="K400" s="32"/>
      <c r="L400" s="32"/>
      <c r="M400" s="32"/>
      <c r="N400" s="32"/>
      <c r="O400" s="16"/>
      <c r="P400" s="16"/>
      <c r="Q400" s="138"/>
      <c r="R400" s="138"/>
      <c r="S400" s="138"/>
      <c r="T400" s="138"/>
      <c r="U400" s="138"/>
      <c r="V400" s="138"/>
      <c r="W400" s="138"/>
      <c r="X400" s="138"/>
      <c r="Y400" s="138"/>
      <c r="AA400" s="138"/>
    </row>
    <row r="401" spans="2:51">
      <c r="B401" s="16"/>
      <c r="C401" s="31"/>
      <c r="D401" s="31"/>
      <c r="E401" s="31"/>
      <c r="F401" s="31"/>
      <c r="G401" s="31"/>
      <c r="H401" s="32"/>
      <c r="I401" s="32"/>
      <c r="J401" s="32"/>
      <c r="K401" s="32"/>
      <c r="L401" s="32"/>
      <c r="M401" s="32"/>
      <c r="N401" s="32"/>
      <c r="O401" s="16"/>
      <c r="P401" s="16"/>
      <c r="Q401" s="138"/>
      <c r="R401" s="138"/>
      <c r="S401" s="138"/>
      <c r="T401" s="138"/>
      <c r="U401" s="138"/>
      <c r="V401" s="138"/>
      <c r="W401" s="138"/>
      <c r="X401" s="138"/>
      <c r="Y401" s="138"/>
      <c r="AA401" s="138"/>
    </row>
    <row r="402" spans="2:51">
      <c r="B402" s="16"/>
      <c r="C402" s="31"/>
      <c r="D402" s="31"/>
      <c r="E402" s="31"/>
      <c r="F402" s="31"/>
      <c r="G402" s="31"/>
      <c r="H402" s="32"/>
      <c r="I402" s="32"/>
      <c r="J402" s="32"/>
      <c r="K402" s="32"/>
      <c r="L402" s="32"/>
      <c r="M402" s="32"/>
      <c r="N402" s="32"/>
      <c r="O402" s="16"/>
      <c r="P402" s="16"/>
      <c r="Q402" s="138"/>
      <c r="R402" s="138"/>
      <c r="S402" s="138"/>
      <c r="T402" s="138"/>
      <c r="U402" s="138"/>
      <c r="V402" s="138"/>
      <c r="W402" s="138"/>
      <c r="X402" s="138"/>
      <c r="Y402" s="138"/>
      <c r="AA402" s="138"/>
    </row>
    <row r="403" spans="2:51">
      <c r="B403" s="16"/>
      <c r="C403" s="31"/>
      <c r="D403" s="31"/>
      <c r="E403" s="31"/>
      <c r="F403" s="31"/>
      <c r="G403" s="31"/>
      <c r="H403" s="32"/>
      <c r="I403" s="32"/>
      <c r="J403" s="32"/>
      <c r="K403" s="32"/>
      <c r="L403" s="32"/>
      <c r="M403" s="32"/>
      <c r="N403" s="32"/>
      <c r="O403" s="16"/>
      <c r="P403" s="16"/>
      <c r="Q403" s="138"/>
      <c r="R403" s="138"/>
      <c r="S403" s="138"/>
      <c r="T403" s="138"/>
      <c r="U403" s="138"/>
      <c r="V403" s="138"/>
      <c r="W403" s="138"/>
      <c r="X403" s="138"/>
      <c r="Y403" s="138"/>
      <c r="AA403" s="138"/>
    </row>
    <row r="404" spans="2:51">
      <c r="B404" s="16"/>
      <c r="C404" s="31"/>
      <c r="D404" s="31"/>
      <c r="E404" s="31"/>
      <c r="F404" s="31"/>
      <c r="G404" s="31"/>
      <c r="H404" s="32"/>
      <c r="I404" s="32"/>
      <c r="J404" s="32"/>
      <c r="K404" s="32"/>
      <c r="L404" s="32"/>
      <c r="M404" s="32"/>
      <c r="N404" s="32"/>
      <c r="O404" s="16"/>
      <c r="P404" s="16"/>
      <c r="Q404" s="138"/>
      <c r="R404" s="138"/>
      <c r="S404" s="138"/>
      <c r="T404" s="138"/>
      <c r="U404" s="138"/>
      <c r="V404" s="138"/>
      <c r="W404" s="138"/>
      <c r="X404" s="138"/>
      <c r="Y404" s="138"/>
      <c r="AA404" s="138"/>
    </row>
    <row r="405" spans="2:51">
      <c r="B405" s="16"/>
      <c r="C405" s="31"/>
      <c r="D405" s="31"/>
      <c r="E405" s="31"/>
      <c r="F405" s="31"/>
      <c r="G405" s="31"/>
      <c r="H405" s="32"/>
      <c r="I405" s="32"/>
      <c r="J405" s="32"/>
      <c r="K405" s="32"/>
      <c r="L405" s="32"/>
      <c r="M405" s="32"/>
      <c r="N405" s="32"/>
      <c r="O405" s="16"/>
      <c r="P405" s="16"/>
      <c r="Q405" s="138"/>
      <c r="R405" s="138"/>
      <c r="S405" s="138"/>
      <c r="T405" s="138"/>
      <c r="U405" s="138"/>
      <c r="V405" s="138"/>
      <c r="W405" s="138"/>
      <c r="X405" s="138"/>
      <c r="Y405" s="138"/>
      <c r="AA405" s="138"/>
    </row>
    <row r="406" spans="2:51">
      <c r="B406" s="16"/>
      <c r="C406" s="31"/>
      <c r="D406" s="31"/>
      <c r="E406" s="31"/>
      <c r="F406" s="31"/>
      <c r="G406" s="31"/>
      <c r="H406" s="32"/>
      <c r="I406" s="32"/>
      <c r="J406" s="32"/>
      <c r="K406" s="32"/>
      <c r="L406" s="32"/>
      <c r="M406" s="32"/>
      <c r="N406" s="32"/>
      <c r="O406" s="16"/>
      <c r="P406" s="16"/>
      <c r="Q406" s="138"/>
      <c r="R406" s="138"/>
      <c r="S406" s="138"/>
      <c r="T406" s="138"/>
      <c r="U406" s="138"/>
      <c r="V406" s="138"/>
      <c r="W406" s="138"/>
      <c r="X406" s="138"/>
      <c r="Y406" s="138"/>
      <c r="AA406" s="138"/>
    </row>
    <row r="407" spans="2:51">
      <c r="B407" s="16"/>
      <c r="C407" s="31"/>
      <c r="D407" s="31"/>
      <c r="E407" s="31"/>
      <c r="F407" s="31"/>
      <c r="G407" s="31"/>
      <c r="H407" s="32"/>
      <c r="I407" s="32"/>
      <c r="J407" s="32"/>
      <c r="K407" s="32"/>
      <c r="L407" s="32"/>
      <c r="M407" s="32"/>
      <c r="N407" s="32"/>
      <c r="O407" s="16"/>
      <c r="P407" s="16"/>
      <c r="Q407" s="138"/>
      <c r="R407" s="138"/>
      <c r="S407" s="138"/>
      <c r="T407" s="138"/>
      <c r="U407" s="138"/>
      <c r="V407" s="138"/>
      <c r="W407" s="138"/>
      <c r="X407" s="138"/>
      <c r="Y407" s="138"/>
      <c r="AA407" s="138"/>
    </row>
    <row r="408" spans="2:51">
      <c r="B408" s="16"/>
      <c r="C408" s="31"/>
      <c r="D408" s="31"/>
      <c r="E408" s="31"/>
      <c r="F408" s="31"/>
      <c r="G408" s="31"/>
      <c r="H408" s="32"/>
      <c r="I408" s="32"/>
      <c r="J408" s="32"/>
      <c r="K408" s="32"/>
      <c r="L408" s="32"/>
      <c r="M408" s="32"/>
      <c r="N408" s="32"/>
      <c r="O408" s="16"/>
      <c r="P408" s="16"/>
      <c r="Q408" s="138"/>
      <c r="R408" s="138"/>
      <c r="S408" s="138"/>
      <c r="T408" s="138"/>
      <c r="U408" s="138"/>
      <c r="V408" s="138"/>
      <c r="W408" s="138"/>
      <c r="X408" s="138"/>
      <c r="Y408" s="138"/>
      <c r="AA408" s="138"/>
    </row>
    <row r="409" spans="2:51">
      <c r="B409" s="16"/>
      <c r="C409" s="31"/>
      <c r="D409" s="31"/>
      <c r="E409" s="31"/>
      <c r="F409" s="31"/>
      <c r="G409" s="31"/>
      <c r="H409" s="32"/>
      <c r="I409" s="32"/>
      <c r="J409" s="32"/>
      <c r="K409" s="32"/>
      <c r="L409" s="32"/>
      <c r="M409" s="32"/>
      <c r="N409" s="32"/>
      <c r="O409" s="16"/>
      <c r="P409" s="16"/>
      <c r="Q409" s="138"/>
      <c r="R409" s="138"/>
      <c r="S409" s="138"/>
      <c r="T409" s="138"/>
      <c r="U409" s="138"/>
      <c r="V409" s="138"/>
      <c r="W409" s="138"/>
      <c r="X409" s="138"/>
      <c r="Y409" s="138"/>
      <c r="AA409" s="138"/>
    </row>
    <row r="410" spans="2:51">
      <c r="B410" s="16"/>
      <c r="C410" s="31"/>
      <c r="D410" s="31"/>
      <c r="E410" s="31"/>
      <c r="F410" s="31"/>
      <c r="G410" s="31"/>
      <c r="H410" s="32"/>
      <c r="I410" s="32"/>
      <c r="J410" s="32"/>
      <c r="K410" s="32"/>
      <c r="L410" s="32"/>
      <c r="M410" s="32"/>
      <c r="N410" s="32"/>
      <c r="O410" s="16"/>
      <c r="P410" s="16"/>
      <c r="Q410" s="138"/>
      <c r="R410" s="138"/>
      <c r="S410" s="138"/>
      <c r="T410" s="138"/>
      <c r="U410" s="138"/>
      <c r="V410" s="138"/>
      <c r="W410" s="138"/>
      <c r="X410" s="138"/>
      <c r="Y410" s="138"/>
      <c r="AA410" s="138"/>
    </row>
    <row r="411" spans="2:51">
      <c r="B411" s="16"/>
      <c r="C411" s="31"/>
      <c r="D411" s="31"/>
      <c r="E411" s="31"/>
      <c r="F411" s="31"/>
      <c r="G411" s="31"/>
      <c r="H411" s="32"/>
      <c r="I411" s="32"/>
      <c r="J411" s="32"/>
      <c r="K411" s="32"/>
      <c r="L411" s="32"/>
      <c r="M411" s="32"/>
      <c r="N411" s="32"/>
      <c r="O411" s="16"/>
      <c r="P411" s="16"/>
      <c r="Q411" s="138"/>
      <c r="R411" s="138"/>
      <c r="S411" s="138"/>
      <c r="T411" s="138"/>
      <c r="U411" s="138"/>
      <c r="V411" s="138"/>
      <c r="W411" s="138"/>
      <c r="X411" s="138"/>
      <c r="Y411" s="138"/>
      <c r="AA411" s="138"/>
    </row>
    <row r="412" spans="2:51">
      <c r="B412" s="16"/>
      <c r="C412" s="31"/>
      <c r="D412" s="31"/>
      <c r="E412" s="31"/>
      <c r="F412" s="31"/>
      <c r="G412" s="31"/>
      <c r="H412" s="32"/>
      <c r="I412" s="32"/>
      <c r="J412" s="32"/>
      <c r="K412" s="32"/>
      <c r="L412" s="32"/>
      <c r="M412" s="32"/>
      <c r="N412" s="32"/>
      <c r="O412" s="16"/>
      <c r="P412" s="16"/>
      <c r="Q412" s="138"/>
      <c r="R412" s="138"/>
      <c r="S412" s="138"/>
      <c r="T412" s="138"/>
      <c r="U412" s="138"/>
      <c r="V412" s="138"/>
      <c r="W412" s="138"/>
      <c r="X412" s="138"/>
      <c r="Y412" s="138"/>
      <c r="AA412" s="138"/>
    </row>
    <row r="413" spans="2:51">
      <c r="B413" s="16"/>
      <c r="C413" s="31"/>
      <c r="D413" s="31"/>
      <c r="E413" s="31"/>
      <c r="F413" s="31"/>
      <c r="G413" s="31"/>
      <c r="H413" s="32"/>
      <c r="I413" s="32"/>
      <c r="J413" s="32"/>
      <c r="K413" s="32"/>
      <c r="L413" s="32"/>
      <c r="M413" s="32"/>
      <c r="N413" s="32"/>
      <c r="O413" s="16"/>
      <c r="P413" s="16"/>
      <c r="Q413" s="138"/>
      <c r="R413" s="138"/>
      <c r="S413" s="138"/>
      <c r="T413" s="138"/>
      <c r="U413" s="138"/>
      <c r="V413" s="138"/>
      <c r="W413" s="138"/>
      <c r="X413" s="138"/>
      <c r="Y413" s="138"/>
      <c r="AA413" s="138"/>
    </row>
    <row r="414" spans="2:51">
      <c r="B414" s="16"/>
      <c r="C414" s="31"/>
      <c r="D414" s="31"/>
      <c r="E414" s="31"/>
      <c r="F414" s="31"/>
      <c r="G414" s="31"/>
      <c r="H414" s="32"/>
      <c r="I414" s="32"/>
      <c r="J414" s="32"/>
      <c r="K414" s="32"/>
      <c r="L414" s="32"/>
      <c r="M414" s="32"/>
      <c r="N414" s="32"/>
      <c r="O414" s="16"/>
      <c r="P414" s="16"/>
      <c r="Q414" s="138"/>
      <c r="R414" s="138"/>
      <c r="S414" s="138"/>
      <c r="T414" s="138"/>
      <c r="U414" s="138"/>
      <c r="V414" s="138"/>
      <c r="W414" s="138"/>
      <c r="X414" s="138"/>
      <c r="Y414" s="138"/>
      <c r="AA414" s="138"/>
    </row>
    <row r="415" spans="2:51" ht="15.6">
      <c r="B415" s="77"/>
      <c r="C415" s="54"/>
      <c r="D415" s="54"/>
      <c r="E415" s="54"/>
      <c r="F415" s="54"/>
      <c r="G415" s="54"/>
      <c r="H415" s="60"/>
      <c r="I415" s="60"/>
      <c r="J415" s="60"/>
      <c r="K415" s="60"/>
      <c r="L415" s="60"/>
      <c r="M415" s="60"/>
      <c r="N415" s="78"/>
      <c r="O415" s="16"/>
      <c r="P415" s="16"/>
      <c r="Q415" s="138"/>
      <c r="R415" s="138"/>
      <c r="S415" s="138"/>
      <c r="T415" s="138"/>
      <c r="U415" s="138"/>
      <c r="V415" s="138"/>
      <c r="W415" s="138"/>
      <c r="X415" s="138"/>
      <c r="Y415" s="138"/>
    </row>
    <row r="416" spans="2:51" ht="15.6">
      <c r="B416" s="77" t="s">
        <v>167</v>
      </c>
      <c r="C416" s="54"/>
      <c r="D416" s="54"/>
      <c r="E416" s="54"/>
      <c r="F416" s="54"/>
      <c r="G416" s="54"/>
      <c r="H416" s="60"/>
      <c r="I416" s="60"/>
      <c r="J416" s="60"/>
      <c r="K416" s="60"/>
      <c r="L416" s="60"/>
      <c r="M416" s="60"/>
      <c r="N416" s="78" t="s">
        <v>168</v>
      </c>
      <c r="O416" s="16"/>
      <c r="P416" s="16"/>
      <c r="Q416" s="138"/>
      <c r="R416" s="138"/>
      <c r="S416" s="138"/>
      <c r="T416" s="138"/>
      <c r="U416" s="138"/>
      <c r="V416" s="138"/>
      <c r="W416" s="138"/>
      <c r="X416" s="138"/>
      <c r="Y416" s="138"/>
      <c r="Z416" s="118" t="s">
        <v>2</v>
      </c>
      <c r="AE416" s="54"/>
      <c r="AF416" s="54"/>
      <c r="AG416" s="54"/>
      <c r="AH416" s="54"/>
      <c r="AI416" s="54"/>
      <c r="AJ416" s="54"/>
      <c r="AK416" s="54"/>
      <c r="AL416" s="60"/>
      <c r="AM416" s="78"/>
      <c r="AN416" s="60"/>
      <c r="AO416" s="60"/>
      <c r="AP416" s="60"/>
      <c r="AQ416" s="60"/>
      <c r="AR416" s="60"/>
      <c r="AS416" s="60"/>
      <c r="AT416" s="60"/>
      <c r="AU416" s="16"/>
      <c r="AV416" s="16"/>
      <c r="AW416" s="16"/>
      <c r="AX416" s="16"/>
      <c r="AY416" s="138"/>
    </row>
    <row r="417" spans="2:26">
      <c r="B417" s="158" t="s">
        <v>94</v>
      </c>
      <c r="C417" s="103">
        <v>2018</v>
      </c>
      <c r="D417" s="103">
        <v>2019</v>
      </c>
      <c r="E417" s="103">
        <v>2020</v>
      </c>
      <c r="F417" s="103">
        <v>2021</v>
      </c>
      <c r="G417" s="103">
        <v>2022</v>
      </c>
      <c r="H417" s="103">
        <v>2023</v>
      </c>
      <c r="I417" s="103">
        <v>2024</v>
      </c>
      <c r="J417" s="103">
        <v>2025</v>
      </c>
      <c r="K417" s="103">
        <v>2026</v>
      </c>
      <c r="L417" s="103">
        <v>2027</v>
      </c>
      <c r="M417" s="103">
        <v>2028</v>
      </c>
      <c r="N417" s="158" t="s">
        <v>11</v>
      </c>
      <c r="O417" s="117">
        <v>2018</v>
      </c>
      <c r="P417" s="117">
        <v>2019</v>
      </c>
      <c r="Q417" s="117">
        <v>2020</v>
      </c>
      <c r="R417" s="117">
        <v>2021</v>
      </c>
      <c r="S417" s="117">
        <v>2022</v>
      </c>
      <c r="T417" s="117">
        <v>2023</v>
      </c>
      <c r="U417" s="117">
        <v>2024</v>
      </c>
      <c r="V417" s="117">
        <v>2025</v>
      </c>
      <c r="W417" s="117">
        <v>2026</v>
      </c>
      <c r="X417" s="117">
        <v>2027</v>
      </c>
      <c r="Y417" s="117">
        <v>2028</v>
      </c>
      <c r="Z417" s="103" t="str">
        <f>$Z$139</f>
        <v>2022-2028</v>
      </c>
    </row>
    <row r="418" spans="2:26">
      <c r="B418" s="33" t="s">
        <v>373</v>
      </c>
      <c r="C418" s="131">
        <f>SUM(Ethernet!E8:E8)</f>
        <v>14338976</v>
      </c>
      <c r="D418" s="131">
        <f>SUM(Ethernet!F8:F8)</f>
        <v>12104234</v>
      </c>
      <c r="E418" s="131">
        <f>SUM(Ethernet!G8:G8)</f>
        <v>0</v>
      </c>
      <c r="F418" s="131">
        <f>SUM(Ethernet!H8:H8)</f>
        <v>0</v>
      </c>
      <c r="G418" s="131">
        <f>SUM(Ethernet!I8:I8)</f>
        <v>0</v>
      </c>
      <c r="H418" s="131">
        <f>SUM(Ethernet!J8:J8)</f>
        <v>0</v>
      </c>
      <c r="I418" s="131">
        <f>SUM(Ethernet!K8:K8)</f>
        <v>0</v>
      </c>
      <c r="J418" s="131">
        <f>SUM(Ethernet!L8:L8)</f>
        <v>0</v>
      </c>
      <c r="K418" s="131">
        <f>SUM(Ethernet!M8:M8)</f>
        <v>0</v>
      </c>
      <c r="L418" s="131">
        <f>SUM(Ethernet!N8:N8)</f>
        <v>0</v>
      </c>
      <c r="M418" s="131">
        <f>SUM(Ethernet!O8:O8)</f>
        <v>0</v>
      </c>
      <c r="N418" s="35" t="str">
        <f t="shared" ref="N418:N428" si="43">B418</f>
        <v>1G</v>
      </c>
      <c r="O418" s="104">
        <f>SUM(Ethernet!E105:E105)</f>
        <v>131.91376511999999</v>
      </c>
      <c r="P418" s="104">
        <f>SUM(Ethernet!F105:F105)</f>
        <v>92.76085693919849</v>
      </c>
      <c r="Q418" s="104">
        <f>SUM(Ethernet!G105:G105)</f>
        <v>0</v>
      </c>
      <c r="R418" s="104">
        <f>SUM(Ethernet!H105:H105)</f>
        <v>0</v>
      </c>
      <c r="S418" s="104">
        <f>SUM(Ethernet!I105:I105)</f>
        <v>0</v>
      </c>
      <c r="T418" s="104">
        <f>SUM(Ethernet!J105:J105)</f>
        <v>0</v>
      </c>
      <c r="U418" s="104">
        <f>SUM(Ethernet!K105:K105)</f>
        <v>0</v>
      </c>
      <c r="V418" s="104">
        <f>SUM(Ethernet!L105:L105)</f>
        <v>0</v>
      </c>
      <c r="W418" s="104">
        <f>SUM(Ethernet!M105:M105)</f>
        <v>0</v>
      </c>
      <c r="X418" s="104">
        <f>SUM(Ethernet!N105:N105)</f>
        <v>0</v>
      </c>
      <c r="Y418" s="104">
        <f>SUM(Ethernet!O105:O105)</f>
        <v>0</v>
      </c>
      <c r="Z418" s="139" t="e">
        <f t="shared" ref="Z418:Z426" si="44">(Y418/S418)^(1/6)-1</f>
        <v>#DIV/0!</v>
      </c>
    </row>
    <row r="419" spans="2:26">
      <c r="B419" s="33" t="s">
        <v>374</v>
      </c>
      <c r="C419" s="11">
        <f>SUM(Ethernet!E9:E13)</f>
        <v>22020505.100000001</v>
      </c>
      <c r="D419" s="11">
        <f>SUM(Ethernet!F9:F13)</f>
        <v>18620039</v>
      </c>
      <c r="E419" s="11">
        <f>SUM(Ethernet!G9:G13)</f>
        <v>0</v>
      </c>
      <c r="F419" s="11">
        <f>SUM(Ethernet!H9:H13)</f>
        <v>0</v>
      </c>
      <c r="G419" s="11">
        <f>SUM(Ethernet!I9:I13)</f>
        <v>0</v>
      </c>
      <c r="H419" s="11">
        <f>SUM(Ethernet!J9:J13)</f>
        <v>0</v>
      </c>
      <c r="I419" s="11">
        <f>SUM(Ethernet!K9:K13)</f>
        <v>0</v>
      </c>
      <c r="J419" s="11">
        <f>SUM(Ethernet!L9:L13)</f>
        <v>0</v>
      </c>
      <c r="K419" s="11">
        <f>SUM(Ethernet!M9:M13)</f>
        <v>0</v>
      </c>
      <c r="L419" s="11">
        <f>SUM(Ethernet!N9:N13)</f>
        <v>0</v>
      </c>
      <c r="M419" s="11">
        <f>SUM(Ethernet!O9:O13)</f>
        <v>0</v>
      </c>
      <c r="N419" s="33" t="str">
        <f t="shared" si="43"/>
        <v>10G</v>
      </c>
      <c r="O419" s="64">
        <f>SUM(Ethernet!E106:E110)</f>
        <v>471.81983653865217</v>
      </c>
      <c r="P419" s="64">
        <f>SUM(Ethernet!F106:F110)</f>
        <v>330.7911976801422</v>
      </c>
      <c r="Q419" s="64">
        <f>SUM(Ethernet!G106:G110)</f>
        <v>0</v>
      </c>
      <c r="R419" s="64">
        <f>SUM(Ethernet!H106:H110)</f>
        <v>0</v>
      </c>
      <c r="S419" s="64">
        <f>SUM(Ethernet!I106:I110)</f>
        <v>0</v>
      </c>
      <c r="T419" s="64">
        <f>SUM(Ethernet!J106:J110)</f>
        <v>0</v>
      </c>
      <c r="U419" s="64">
        <f>SUM(Ethernet!K106:K110)</f>
        <v>0</v>
      </c>
      <c r="V419" s="64">
        <f>SUM(Ethernet!L106:L110)</f>
        <v>0</v>
      </c>
      <c r="W419" s="64">
        <f>SUM(Ethernet!M106:M110)</f>
        <v>0</v>
      </c>
      <c r="X419" s="64">
        <f>SUM(Ethernet!N106:N110)</f>
        <v>0</v>
      </c>
      <c r="Y419" s="64">
        <f>SUM(Ethernet!O106:O110)</f>
        <v>0</v>
      </c>
      <c r="Z419" s="140" t="e">
        <f t="shared" si="44"/>
        <v>#DIV/0!</v>
      </c>
    </row>
    <row r="420" spans="2:26">
      <c r="B420" s="33" t="s">
        <v>366</v>
      </c>
      <c r="C420" s="11">
        <f>Ethernet!E14+Ethernet!E15+Ethernet!E16</f>
        <v>375687</v>
      </c>
      <c r="D420" s="11">
        <f>Ethernet!F14+Ethernet!F15+Ethernet!F16</f>
        <v>728184</v>
      </c>
      <c r="E420" s="11">
        <f>Ethernet!G14+Ethernet!G15+Ethernet!G16</f>
        <v>0</v>
      </c>
      <c r="F420" s="11">
        <f>Ethernet!H14+Ethernet!H15+Ethernet!H16</f>
        <v>0</v>
      </c>
      <c r="G420" s="11">
        <f>Ethernet!I14+Ethernet!I15+Ethernet!I16</f>
        <v>0</v>
      </c>
      <c r="H420" s="11">
        <f>Ethernet!J14+Ethernet!J15+Ethernet!J16</f>
        <v>0</v>
      </c>
      <c r="I420" s="11">
        <f>Ethernet!K14+Ethernet!K15+Ethernet!K16</f>
        <v>0</v>
      </c>
      <c r="J420" s="11">
        <f>Ethernet!L14+Ethernet!L15+Ethernet!L16</f>
        <v>0</v>
      </c>
      <c r="K420" s="11">
        <f>Ethernet!M14+Ethernet!M15+Ethernet!M16</f>
        <v>0</v>
      </c>
      <c r="L420" s="11">
        <f>Ethernet!N14+Ethernet!N15+Ethernet!N16</f>
        <v>0</v>
      </c>
      <c r="M420" s="11">
        <f>Ethernet!O14+Ethernet!O15+Ethernet!O16</f>
        <v>0</v>
      </c>
      <c r="N420" s="33" t="str">
        <f t="shared" si="43"/>
        <v>25G</v>
      </c>
      <c r="O420" s="64">
        <f>Ethernet!E111+Ethernet!E112+Ethernet!E113</f>
        <v>38.88271012000002</v>
      </c>
      <c r="P420" s="64">
        <f>Ethernet!F111+Ethernet!F112+Ethernet!F113</f>
        <v>50.329167999999989</v>
      </c>
      <c r="Q420" s="64">
        <f>Ethernet!G111+Ethernet!G112+Ethernet!G113</f>
        <v>0</v>
      </c>
      <c r="R420" s="64">
        <f>Ethernet!H111+Ethernet!H112+Ethernet!H113</f>
        <v>0</v>
      </c>
      <c r="S420" s="64">
        <f>Ethernet!I111+Ethernet!I112+Ethernet!I113</f>
        <v>0</v>
      </c>
      <c r="T420" s="64">
        <f>Ethernet!J111+Ethernet!J112+Ethernet!J113</f>
        <v>0</v>
      </c>
      <c r="U420" s="64">
        <f>Ethernet!K111+Ethernet!K112+Ethernet!K113</f>
        <v>0</v>
      </c>
      <c r="V420" s="64">
        <f>Ethernet!L111+Ethernet!L112+Ethernet!L113</f>
        <v>0</v>
      </c>
      <c r="W420" s="64">
        <f>Ethernet!M111+Ethernet!M112+Ethernet!M113</f>
        <v>0</v>
      </c>
      <c r="X420" s="64">
        <f>Ethernet!N111+Ethernet!N112+Ethernet!N113</f>
        <v>0</v>
      </c>
      <c r="Y420" s="64">
        <f>Ethernet!O111+Ethernet!O112+Ethernet!O113</f>
        <v>0</v>
      </c>
      <c r="Z420" s="140" t="e">
        <f t="shared" si="44"/>
        <v>#DIV/0!</v>
      </c>
    </row>
    <row r="421" spans="2:26">
      <c r="B421" s="33" t="s">
        <v>375</v>
      </c>
      <c r="C421" s="11">
        <f>SUM(Ethernet!E17:E22)</f>
        <v>3027900.7525500003</v>
      </c>
      <c r="D421" s="11">
        <f>SUM(Ethernet!F17:F22)</f>
        <v>2689780</v>
      </c>
      <c r="E421" s="11">
        <f>SUM(Ethernet!G17:G22)</f>
        <v>0</v>
      </c>
      <c r="F421" s="11">
        <f>SUM(Ethernet!H17:H22)</f>
        <v>0</v>
      </c>
      <c r="G421" s="11">
        <f>SUM(Ethernet!I17:I22)</f>
        <v>0</v>
      </c>
      <c r="H421" s="11">
        <f>SUM(Ethernet!J17:J22)</f>
        <v>0</v>
      </c>
      <c r="I421" s="11">
        <f>SUM(Ethernet!K17:K22)</f>
        <v>0</v>
      </c>
      <c r="J421" s="11">
        <f>SUM(Ethernet!L17:L22)</f>
        <v>0</v>
      </c>
      <c r="K421" s="11">
        <f>SUM(Ethernet!M17:M22)</f>
        <v>0</v>
      </c>
      <c r="L421" s="11">
        <f>SUM(Ethernet!N17:N22)</f>
        <v>0</v>
      </c>
      <c r="M421" s="11">
        <f>SUM(Ethernet!O17:O22)</f>
        <v>0</v>
      </c>
      <c r="N421" s="33" t="str">
        <f t="shared" si="43"/>
        <v>40G</v>
      </c>
      <c r="O421" s="64">
        <f>SUM(Ethernet!E114:E119)</f>
        <v>535.36466398751736</v>
      </c>
      <c r="P421" s="64">
        <f>SUM(Ethernet!F114:F119)</f>
        <v>460.23701138546988</v>
      </c>
      <c r="Q421" s="64">
        <f>SUM(Ethernet!G114:G119)</f>
        <v>0</v>
      </c>
      <c r="R421" s="64">
        <f>SUM(Ethernet!H114:H119)</f>
        <v>0</v>
      </c>
      <c r="S421" s="64">
        <f>SUM(Ethernet!I114:I119)</f>
        <v>0</v>
      </c>
      <c r="T421" s="64">
        <f>SUM(Ethernet!J114:J119)</f>
        <v>0</v>
      </c>
      <c r="U421" s="64">
        <f>SUM(Ethernet!K114:K119)</f>
        <v>0</v>
      </c>
      <c r="V421" s="64">
        <f>SUM(Ethernet!L114:L119)</f>
        <v>0</v>
      </c>
      <c r="W421" s="64">
        <f>SUM(Ethernet!M114:M119)</f>
        <v>0</v>
      </c>
      <c r="X421" s="64">
        <f>SUM(Ethernet!N114:N119)</f>
        <v>0</v>
      </c>
      <c r="Y421" s="64">
        <f>SUM(Ethernet!O114:O119)</f>
        <v>0</v>
      </c>
      <c r="Z421" s="140" t="e">
        <f t="shared" si="44"/>
        <v>#DIV/0!</v>
      </c>
    </row>
    <row r="422" spans="2:26">
      <c r="B422" s="33" t="s">
        <v>422</v>
      </c>
      <c r="C422" s="11">
        <f>Ethernet!E23+Ethernet!E24+Ethernet!E25</f>
        <v>0</v>
      </c>
      <c r="D422" s="11">
        <f>Ethernet!F23+Ethernet!F24+Ethernet!F25</f>
        <v>0</v>
      </c>
      <c r="E422" s="11">
        <f>Ethernet!G23+Ethernet!G24+Ethernet!G25</f>
        <v>0</v>
      </c>
      <c r="F422" s="11">
        <f>Ethernet!H23+Ethernet!H24+Ethernet!H25</f>
        <v>0</v>
      </c>
      <c r="G422" s="11">
        <f>Ethernet!I23+Ethernet!I24+Ethernet!I25</f>
        <v>0</v>
      </c>
      <c r="H422" s="11">
        <f>Ethernet!J23+Ethernet!J24+Ethernet!J25</f>
        <v>0</v>
      </c>
      <c r="I422" s="11">
        <f>Ethernet!K23+Ethernet!K24+Ethernet!K25</f>
        <v>0</v>
      </c>
      <c r="J422" s="11">
        <f>Ethernet!L23+Ethernet!L24+Ethernet!L25</f>
        <v>0</v>
      </c>
      <c r="K422" s="11">
        <f>Ethernet!M23+Ethernet!M24+Ethernet!M25</f>
        <v>0</v>
      </c>
      <c r="L422" s="11">
        <f>Ethernet!N23+Ethernet!N24+Ethernet!N25</f>
        <v>0</v>
      </c>
      <c r="M422" s="11">
        <f>Ethernet!O23+Ethernet!O24+Ethernet!O25</f>
        <v>0</v>
      </c>
      <c r="N422" s="33" t="str">
        <f t="shared" si="43"/>
        <v>50G</v>
      </c>
      <c r="O422" s="64">
        <f>Ethernet!E120+Ethernet!E121+Ethernet!E122</f>
        <v>0</v>
      </c>
      <c r="P422" s="64">
        <f>Ethernet!F120+Ethernet!F121+Ethernet!F122</f>
        <v>0</v>
      </c>
      <c r="Q422" s="64">
        <f>Ethernet!G120+Ethernet!G121+Ethernet!G122</f>
        <v>0</v>
      </c>
      <c r="R422" s="64">
        <f>Ethernet!H120+Ethernet!H121+Ethernet!H122</f>
        <v>0</v>
      </c>
      <c r="S422" s="64">
        <f>Ethernet!I120+Ethernet!I121+Ethernet!I122</f>
        <v>0</v>
      </c>
      <c r="T422" s="64">
        <f>Ethernet!J120+Ethernet!J121+Ethernet!J122</f>
        <v>0</v>
      </c>
      <c r="U422" s="64">
        <f>Ethernet!K120+Ethernet!K121+Ethernet!K122</f>
        <v>0</v>
      </c>
      <c r="V422" s="64">
        <f>Ethernet!L120+Ethernet!L121+Ethernet!L122</f>
        <v>0</v>
      </c>
      <c r="W422" s="64">
        <f>Ethernet!M120+Ethernet!M121+Ethernet!M122</f>
        <v>0</v>
      </c>
      <c r="X422" s="64">
        <f>Ethernet!N120+Ethernet!N121+Ethernet!N122</f>
        <v>0</v>
      </c>
      <c r="Y422" s="64">
        <f>Ethernet!O120+Ethernet!O121+Ethernet!O122</f>
        <v>0</v>
      </c>
      <c r="Z422" s="140" t="e">
        <f t="shared" si="44"/>
        <v>#DIV/0!</v>
      </c>
    </row>
    <row r="423" spans="2:26">
      <c r="B423" s="33" t="s">
        <v>256</v>
      </c>
      <c r="C423" s="11">
        <f>SUM(Ethernet!E26:E32)</f>
        <v>6187018.7366946787</v>
      </c>
      <c r="D423" s="11">
        <f>SUM(Ethernet!F26:F32)</f>
        <v>7908341.8911414724</v>
      </c>
      <c r="E423" s="11">
        <f>SUM(Ethernet!G26:G32)</f>
        <v>0</v>
      </c>
      <c r="F423" s="11">
        <f>SUM(Ethernet!H26:H32)</f>
        <v>0</v>
      </c>
      <c r="G423" s="11">
        <f>SUM(Ethernet!I26:I32)</f>
        <v>0</v>
      </c>
      <c r="H423" s="11">
        <f>SUM(Ethernet!J26:J32)</f>
        <v>0</v>
      </c>
      <c r="I423" s="11">
        <f>SUM(Ethernet!K26:K32)</f>
        <v>0</v>
      </c>
      <c r="J423" s="11">
        <f>SUM(Ethernet!L26:L32)</f>
        <v>0</v>
      </c>
      <c r="K423" s="11">
        <f>SUM(Ethernet!M26:M32)</f>
        <v>0</v>
      </c>
      <c r="L423" s="11">
        <f>SUM(Ethernet!N26:N32)</f>
        <v>0</v>
      </c>
      <c r="M423" s="11">
        <f>SUM(Ethernet!O26:O32)</f>
        <v>0</v>
      </c>
      <c r="N423" s="33" t="str">
        <f t="shared" si="43"/>
        <v>100G</v>
      </c>
      <c r="O423" s="64">
        <f>SUM(Ethernet!E123:E129)</f>
        <v>2155.6052671051734</v>
      </c>
      <c r="P423" s="64">
        <f>SUM(Ethernet!F123:F129)</f>
        <v>1718.2936951694032</v>
      </c>
      <c r="Q423" s="64">
        <f>SUM(Ethernet!G123:G129)</f>
        <v>0</v>
      </c>
      <c r="R423" s="64">
        <f>SUM(Ethernet!H123:H129)</f>
        <v>0</v>
      </c>
      <c r="S423" s="64">
        <f>SUM(Ethernet!I123:I129)</f>
        <v>0</v>
      </c>
      <c r="T423" s="64">
        <f>SUM(Ethernet!J123:J129)</f>
        <v>0</v>
      </c>
      <c r="U423" s="64">
        <f>SUM(Ethernet!K123:K129)</f>
        <v>0</v>
      </c>
      <c r="V423" s="64">
        <f>SUM(Ethernet!L123:L129)</f>
        <v>0</v>
      </c>
      <c r="W423" s="64">
        <f>SUM(Ethernet!M123:M129)</f>
        <v>0</v>
      </c>
      <c r="X423" s="64">
        <f>SUM(Ethernet!N123:N129)</f>
        <v>0</v>
      </c>
      <c r="Y423" s="64">
        <f>SUM(Ethernet!O123:O129)</f>
        <v>0</v>
      </c>
      <c r="Z423" s="140" t="e">
        <f t="shared" si="44"/>
        <v>#DIV/0!</v>
      </c>
    </row>
    <row r="424" spans="2:26">
      <c r="B424" s="33" t="s">
        <v>257</v>
      </c>
      <c r="C424" s="11">
        <f>SUM(Ethernet!E33:E37)</f>
        <v>1000</v>
      </c>
      <c r="D424" s="11">
        <f>SUM(Ethernet!F33:F37)</f>
        <v>11072</v>
      </c>
      <c r="E424" s="11">
        <f>SUM(Ethernet!G33:G37)</f>
        <v>0</v>
      </c>
      <c r="F424" s="11">
        <f>SUM(Ethernet!H33:H37)</f>
        <v>0</v>
      </c>
      <c r="G424" s="11">
        <f>SUM(Ethernet!I33:I37)</f>
        <v>0</v>
      </c>
      <c r="H424" s="11">
        <f>SUM(Ethernet!J33:J37)</f>
        <v>0</v>
      </c>
      <c r="I424" s="11">
        <f>SUM(Ethernet!K33:K37)</f>
        <v>0</v>
      </c>
      <c r="J424" s="11">
        <f>SUM(Ethernet!L33:L37)</f>
        <v>0</v>
      </c>
      <c r="K424" s="11">
        <f>SUM(Ethernet!M33:M37)</f>
        <v>0</v>
      </c>
      <c r="L424" s="11">
        <f>SUM(Ethernet!N33:N37)</f>
        <v>0</v>
      </c>
      <c r="M424" s="11">
        <f>SUM(Ethernet!O33:O37)</f>
        <v>0</v>
      </c>
      <c r="N424" s="33" t="str">
        <f t="shared" si="43"/>
        <v>200G</v>
      </c>
      <c r="O424" s="64">
        <f>SUM(Ethernet!E130:E134)</f>
        <v>1.1000000000000001</v>
      </c>
      <c r="P424" s="64">
        <f>SUM(Ethernet!F130:F134)</f>
        <v>6.0945</v>
      </c>
      <c r="Q424" s="64">
        <f>SUM(Ethernet!G130:G134)</f>
        <v>0</v>
      </c>
      <c r="R424" s="64">
        <f>SUM(Ethernet!H130:H134)</f>
        <v>0</v>
      </c>
      <c r="S424" s="64">
        <f>SUM(Ethernet!I130:I134)</f>
        <v>0</v>
      </c>
      <c r="T424" s="64">
        <f>SUM(Ethernet!J130:J134)</f>
        <v>0</v>
      </c>
      <c r="U424" s="64">
        <f>SUM(Ethernet!K130:K134)</f>
        <v>0</v>
      </c>
      <c r="V424" s="64">
        <f>SUM(Ethernet!L130:L134)</f>
        <v>0</v>
      </c>
      <c r="W424" s="64">
        <f>SUM(Ethernet!M130:M134)</f>
        <v>0</v>
      </c>
      <c r="X424" s="64">
        <f>SUM(Ethernet!N130:N134)</f>
        <v>0</v>
      </c>
      <c r="Y424" s="64">
        <f>SUM(Ethernet!O130:O134)</f>
        <v>0</v>
      </c>
      <c r="Z424" s="140" t="e">
        <f t="shared" si="44"/>
        <v>#DIV/0!</v>
      </c>
    </row>
    <row r="425" spans="2:26">
      <c r="B425" s="33" t="s">
        <v>258</v>
      </c>
      <c r="C425" s="11">
        <f>SUM(Ethernet!E38:E44)</f>
        <v>39000</v>
      </c>
      <c r="D425" s="11">
        <f>SUM(Ethernet!F38:F44)</f>
        <v>146655.62637362638</v>
      </c>
      <c r="E425" s="11">
        <f>SUM(Ethernet!G38:G44)</f>
        <v>0</v>
      </c>
      <c r="F425" s="11">
        <f>SUM(Ethernet!H38:H44)</f>
        <v>0</v>
      </c>
      <c r="G425" s="11">
        <f>SUM(Ethernet!I38:I44)</f>
        <v>0</v>
      </c>
      <c r="H425" s="11">
        <f>SUM(Ethernet!J38:J44)</f>
        <v>0</v>
      </c>
      <c r="I425" s="11">
        <f>SUM(Ethernet!K38:K44)</f>
        <v>0</v>
      </c>
      <c r="J425" s="11">
        <f>SUM(Ethernet!L38:L44)</f>
        <v>0</v>
      </c>
      <c r="K425" s="11">
        <f>SUM(Ethernet!M38:M44)</f>
        <v>0</v>
      </c>
      <c r="L425" s="11">
        <f>SUM(Ethernet!N38:N44)</f>
        <v>0</v>
      </c>
      <c r="M425" s="11">
        <f>SUM(Ethernet!O38:O44)</f>
        <v>0</v>
      </c>
      <c r="N425" s="33" t="str">
        <f t="shared" si="43"/>
        <v>400G</v>
      </c>
      <c r="O425" s="64">
        <f>SUM(Ethernet!E135:E141)</f>
        <v>49.212000000000003</v>
      </c>
      <c r="P425" s="64">
        <f>SUM(Ethernet!F135:F141)</f>
        <v>123.96396969718188</v>
      </c>
      <c r="Q425" s="64">
        <f>SUM(Ethernet!G135:G141)</f>
        <v>0</v>
      </c>
      <c r="R425" s="64">
        <f>SUM(Ethernet!H135:H141)</f>
        <v>0</v>
      </c>
      <c r="S425" s="64">
        <f>SUM(Ethernet!I135:I141)</f>
        <v>0</v>
      </c>
      <c r="T425" s="64">
        <f>SUM(Ethernet!J135:J141)</f>
        <v>0</v>
      </c>
      <c r="U425" s="64">
        <f>SUM(Ethernet!K135:K141)</f>
        <v>0</v>
      </c>
      <c r="V425" s="64">
        <f>SUM(Ethernet!L135:L141)</f>
        <v>0</v>
      </c>
      <c r="W425" s="64">
        <f>SUM(Ethernet!M135:M141)</f>
        <v>0</v>
      </c>
      <c r="X425" s="64">
        <f>SUM(Ethernet!N135:N141)</f>
        <v>0</v>
      </c>
      <c r="Y425" s="64">
        <f>SUM(Ethernet!O135:O141)</f>
        <v>0</v>
      </c>
      <c r="Z425" s="140" t="e">
        <f t="shared" si="44"/>
        <v>#DIV/0!</v>
      </c>
    </row>
    <row r="426" spans="2:26">
      <c r="B426" s="33" t="s">
        <v>412</v>
      </c>
      <c r="C426" s="48">
        <f>SUM(Ethernet!E45:'Ethernet'!E50)</f>
        <v>0</v>
      </c>
      <c r="D426" s="48">
        <f>SUM(Ethernet!F45:'Ethernet'!F50)</f>
        <v>0</v>
      </c>
      <c r="E426" s="48">
        <f>SUM(Ethernet!G45:'Ethernet'!G50)</f>
        <v>0</v>
      </c>
      <c r="F426" s="48">
        <f>SUM(Ethernet!H45:'Ethernet'!H50)</f>
        <v>0</v>
      </c>
      <c r="G426" s="48">
        <f>SUM(Ethernet!I45:'Ethernet'!I50)</f>
        <v>0</v>
      </c>
      <c r="H426" s="48">
        <f>SUM(Ethernet!J45:'Ethernet'!J50)</f>
        <v>0</v>
      </c>
      <c r="I426" s="48">
        <f>SUM(Ethernet!K45:'Ethernet'!K50)</f>
        <v>0</v>
      </c>
      <c r="J426" s="48">
        <f>SUM(Ethernet!L45:'Ethernet'!L50)</f>
        <v>0</v>
      </c>
      <c r="K426" s="48">
        <f>SUM(Ethernet!M45:'Ethernet'!M50)</f>
        <v>0</v>
      </c>
      <c r="L426" s="48">
        <f>SUM(Ethernet!N45:'Ethernet'!N50)</f>
        <v>0</v>
      </c>
      <c r="M426" s="48">
        <f>SUM(Ethernet!O45:'Ethernet'!O50)</f>
        <v>0</v>
      </c>
      <c r="N426" s="33" t="str">
        <f t="shared" si="43"/>
        <v>800G</v>
      </c>
      <c r="O426" s="64">
        <f>SUM(Ethernet!E142:'Ethernet'!E147)</f>
        <v>0</v>
      </c>
      <c r="P426" s="64">
        <f>SUM(Ethernet!F142:'Ethernet'!F147)</f>
        <v>0</v>
      </c>
      <c r="Q426" s="64">
        <f>SUM(Ethernet!G142:'Ethernet'!G147)</f>
        <v>0</v>
      </c>
      <c r="R426" s="64">
        <f>SUM(Ethernet!H142:'Ethernet'!H147)</f>
        <v>0</v>
      </c>
      <c r="S426" s="64">
        <f>SUM(Ethernet!I142:'Ethernet'!I147)</f>
        <v>0</v>
      </c>
      <c r="T426" s="64">
        <f>SUM(Ethernet!J142:'Ethernet'!J147)</f>
        <v>0</v>
      </c>
      <c r="U426" s="64">
        <f>SUM(Ethernet!K142:'Ethernet'!K147)</f>
        <v>0</v>
      </c>
      <c r="V426" s="64">
        <f>SUM(Ethernet!L142:'Ethernet'!L147)</f>
        <v>0</v>
      </c>
      <c r="W426" s="64">
        <f>SUM(Ethernet!M142:'Ethernet'!M147)</f>
        <v>0</v>
      </c>
      <c r="X426" s="64">
        <f>SUM(Ethernet!N142:'Ethernet'!N147)</f>
        <v>0</v>
      </c>
      <c r="Y426" s="64">
        <f>SUM(Ethernet!O142:'Ethernet'!O147)</f>
        <v>0</v>
      </c>
      <c r="Z426" s="140" t="e">
        <f t="shared" si="44"/>
        <v>#DIV/0!</v>
      </c>
    </row>
    <row r="427" spans="2:26">
      <c r="B427" s="33" t="s">
        <v>459</v>
      </c>
      <c r="C427" s="48">
        <f>Ethernet!E51</f>
        <v>0</v>
      </c>
      <c r="D427" s="48">
        <f>Ethernet!F51</f>
        <v>0</v>
      </c>
      <c r="E427" s="48">
        <f>Ethernet!G51</f>
        <v>0</v>
      </c>
      <c r="F427" s="48">
        <f>Ethernet!H51</f>
        <v>0</v>
      </c>
      <c r="G427" s="48">
        <f>Ethernet!I51</f>
        <v>0</v>
      </c>
      <c r="H427" s="48">
        <f>Ethernet!J51</f>
        <v>0</v>
      </c>
      <c r="I427" s="48">
        <f>Ethernet!K51</f>
        <v>0</v>
      </c>
      <c r="J427" s="48">
        <f>Ethernet!L51</f>
        <v>0</v>
      </c>
      <c r="K427" s="48">
        <f>Ethernet!M51</f>
        <v>0</v>
      </c>
      <c r="L427" s="48">
        <f>Ethernet!N51</f>
        <v>0</v>
      </c>
      <c r="M427" s="48">
        <f>Ethernet!O51</f>
        <v>0</v>
      </c>
      <c r="N427" s="33" t="str">
        <f t="shared" si="43"/>
        <v>1.6T</v>
      </c>
      <c r="O427" s="64">
        <f>Ethernet!E148</f>
        <v>0</v>
      </c>
      <c r="P427" s="64">
        <f>Ethernet!F148</f>
        <v>0</v>
      </c>
      <c r="Q427" s="64">
        <f>Ethernet!G148</f>
        <v>0</v>
      </c>
      <c r="R427" s="64">
        <f>Ethernet!H148</f>
        <v>0</v>
      </c>
      <c r="S427" s="64">
        <f>Ethernet!I148</f>
        <v>0</v>
      </c>
      <c r="T427" s="64">
        <f>Ethernet!J148</f>
        <v>0</v>
      </c>
      <c r="U427" s="64">
        <f>Ethernet!K148</f>
        <v>0</v>
      </c>
      <c r="V427" s="64">
        <f>Ethernet!L148</f>
        <v>0</v>
      </c>
      <c r="W427" s="64">
        <f>Ethernet!M148</f>
        <v>0</v>
      </c>
      <c r="X427" s="64">
        <f>Ethernet!N148</f>
        <v>0</v>
      </c>
      <c r="Y427" s="64">
        <f>Ethernet!O148</f>
        <v>0</v>
      </c>
      <c r="Z427" s="140"/>
    </row>
    <row r="428" spans="2:26">
      <c r="B428" s="33" t="s">
        <v>460</v>
      </c>
      <c r="C428" s="48">
        <f>Ethernet!E52</f>
        <v>0</v>
      </c>
      <c r="D428" s="48">
        <f>Ethernet!F52</f>
        <v>0</v>
      </c>
      <c r="E428" s="48">
        <f>Ethernet!G52</f>
        <v>0</v>
      </c>
      <c r="F428" s="48">
        <f>Ethernet!H52</f>
        <v>0</v>
      </c>
      <c r="G428" s="48">
        <f>Ethernet!I52</f>
        <v>0</v>
      </c>
      <c r="H428" s="48">
        <f>Ethernet!J52</f>
        <v>0</v>
      </c>
      <c r="I428" s="48">
        <f>Ethernet!K52</f>
        <v>0</v>
      </c>
      <c r="J428" s="48">
        <f>Ethernet!L52</f>
        <v>0</v>
      </c>
      <c r="K428" s="48">
        <f>Ethernet!M52</f>
        <v>0</v>
      </c>
      <c r="L428" s="48">
        <f>Ethernet!N52</f>
        <v>0</v>
      </c>
      <c r="M428" s="48">
        <f>Ethernet!O52</f>
        <v>0</v>
      </c>
      <c r="N428" s="33" t="str">
        <f t="shared" si="43"/>
        <v>3.2T</v>
      </c>
      <c r="O428" s="65">
        <f>Ethernet!E149</f>
        <v>0</v>
      </c>
      <c r="P428" s="65">
        <f>Ethernet!F149</f>
        <v>0</v>
      </c>
      <c r="Q428" s="65">
        <f>Ethernet!G149</f>
        <v>0</v>
      </c>
      <c r="R428" s="65">
        <f>Ethernet!H149</f>
        <v>0</v>
      </c>
      <c r="S428" s="65">
        <f>Ethernet!I149</f>
        <v>0</v>
      </c>
      <c r="T428" s="65">
        <f>Ethernet!J149</f>
        <v>0</v>
      </c>
      <c r="U428" s="65">
        <f>Ethernet!K149</f>
        <v>0</v>
      </c>
      <c r="V428" s="65">
        <f>Ethernet!L149</f>
        <v>0</v>
      </c>
      <c r="W428" s="65">
        <f>Ethernet!M149</f>
        <v>0</v>
      </c>
      <c r="X428" s="65">
        <f>Ethernet!N149</f>
        <v>0</v>
      </c>
      <c r="Y428" s="65">
        <f>Ethernet!O149</f>
        <v>0</v>
      </c>
      <c r="Z428" s="140"/>
    </row>
    <row r="429" spans="2:26">
      <c r="B429" s="160" t="s">
        <v>93</v>
      </c>
      <c r="C429" s="110">
        <f>SUM(C418:C428)</f>
        <v>45990087.589244679</v>
      </c>
      <c r="D429" s="110">
        <f t="shared" ref="D429:M429" si="45">SUM(D418:D428)</f>
        <v>42208306.517515101</v>
      </c>
      <c r="E429" s="110">
        <f t="shared" si="45"/>
        <v>0</v>
      </c>
      <c r="F429" s="110">
        <f t="shared" si="45"/>
        <v>0</v>
      </c>
      <c r="G429" s="110">
        <f t="shared" si="45"/>
        <v>0</v>
      </c>
      <c r="H429" s="110">
        <f t="shared" si="45"/>
        <v>0</v>
      </c>
      <c r="I429" s="110">
        <f t="shared" si="45"/>
        <v>0</v>
      </c>
      <c r="J429" s="110">
        <f t="shared" si="45"/>
        <v>0</v>
      </c>
      <c r="K429" s="110">
        <f t="shared" si="45"/>
        <v>0</v>
      </c>
      <c r="L429" s="110">
        <f t="shared" si="45"/>
        <v>0</v>
      </c>
      <c r="M429" s="110">
        <f t="shared" si="45"/>
        <v>0</v>
      </c>
      <c r="N429" s="160" t="s">
        <v>93</v>
      </c>
      <c r="O429" s="105">
        <f>SUM(O418:O428)</f>
        <v>3383.898242871343</v>
      </c>
      <c r="P429" s="105">
        <f t="shared" ref="P429:Y429" si="46">SUM(P418:P428)</f>
        <v>2782.4703988713954</v>
      </c>
      <c r="Q429" s="105">
        <f t="shared" si="46"/>
        <v>0</v>
      </c>
      <c r="R429" s="105">
        <f t="shared" si="46"/>
        <v>0</v>
      </c>
      <c r="S429" s="105">
        <f t="shared" si="46"/>
        <v>0</v>
      </c>
      <c r="T429" s="105">
        <f t="shared" si="46"/>
        <v>0</v>
      </c>
      <c r="U429" s="105">
        <f t="shared" si="46"/>
        <v>0</v>
      </c>
      <c r="V429" s="105">
        <f t="shared" si="46"/>
        <v>0</v>
      </c>
      <c r="W429" s="105">
        <f t="shared" si="46"/>
        <v>0</v>
      </c>
      <c r="X429" s="105">
        <f t="shared" si="46"/>
        <v>0</v>
      </c>
      <c r="Y429" s="105">
        <f t="shared" si="46"/>
        <v>0</v>
      </c>
      <c r="Z429" s="144" t="e">
        <f>(Y429/S429)^(1/6)-1</f>
        <v>#DIV/0!</v>
      </c>
    </row>
    <row r="430" spans="2:26">
      <c r="B430" s="16"/>
      <c r="C430" s="46"/>
      <c r="D430" s="46">
        <f t="shared" ref="D430:J430" si="47">D429/C429-1</f>
        <v>-8.2230351581543681E-2</v>
      </c>
      <c r="E430" s="46">
        <f t="shared" si="47"/>
        <v>-1</v>
      </c>
      <c r="F430" s="46" t="e">
        <f t="shared" si="47"/>
        <v>#DIV/0!</v>
      </c>
      <c r="G430" s="46" t="e">
        <f t="shared" si="47"/>
        <v>#DIV/0!</v>
      </c>
      <c r="H430" s="46" t="e">
        <f t="shared" si="47"/>
        <v>#DIV/0!</v>
      </c>
      <c r="I430" s="46" t="e">
        <f t="shared" si="47"/>
        <v>#DIV/0!</v>
      </c>
      <c r="J430" s="46" t="e">
        <f t="shared" si="47"/>
        <v>#DIV/0!</v>
      </c>
      <c r="K430" s="46" t="e">
        <f t="shared" ref="K430" si="48">K429/J429-1</f>
        <v>#DIV/0!</v>
      </c>
      <c r="L430" s="46" t="e">
        <f t="shared" ref="L430" si="49">L429/K429-1</f>
        <v>#DIV/0!</v>
      </c>
      <c r="M430" s="46" t="e">
        <f t="shared" ref="M430" si="50">M429/L429-1</f>
        <v>#DIV/0!</v>
      </c>
      <c r="N430" s="32"/>
      <c r="O430" s="51"/>
      <c r="P430" s="51">
        <f t="shared" ref="P430:V430" si="51">P429/O429-1</f>
        <v>-0.17773224867708115</v>
      </c>
      <c r="Q430" s="51">
        <f t="shared" si="51"/>
        <v>-1</v>
      </c>
      <c r="R430" s="51" t="e">
        <f t="shared" si="51"/>
        <v>#DIV/0!</v>
      </c>
      <c r="S430" s="51" t="e">
        <f t="shared" si="51"/>
        <v>#DIV/0!</v>
      </c>
      <c r="T430" s="51" t="e">
        <f t="shared" si="51"/>
        <v>#DIV/0!</v>
      </c>
      <c r="U430" s="51" t="e">
        <f t="shared" si="51"/>
        <v>#DIV/0!</v>
      </c>
      <c r="V430" s="51" t="e">
        <f t="shared" si="51"/>
        <v>#DIV/0!</v>
      </c>
      <c r="W430" s="51" t="e">
        <f t="shared" ref="W430" si="52">W429/V429-1</f>
        <v>#DIV/0!</v>
      </c>
      <c r="X430" s="51" t="e">
        <f t="shared" ref="X430" si="53">X429/W429-1</f>
        <v>#DIV/0!</v>
      </c>
      <c r="Y430" s="51" t="e">
        <f t="shared" ref="Y430" si="54">Y429/X429-1</f>
        <v>#DIV/0!</v>
      </c>
    </row>
    <row r="431" spans="2:26">
      <c r="B431" s="16"/>
      <c r="C431" s="16"/>
      <c r="D431" s="16"/>
      <c r="E431" s="16"/>
      <c r="F431" s="16"/>
      <c r="G431" s="16"/>
      <c r="H431" s="16"/>
      <c r="I431" s="16"/>
      <c r="J431" s="16"/>
      <c r="K431" s="16"/>
      <c r="L431" s="16"/>
      <c r="M431" s="16"/>
      <c r="N431" s="16"/>
      <c r="O431" s="16"/>
      <c r="P431" s="16"/>
      <c r="Q431" s="16"/>
      <c r="R431" s="51"/>
      <c r="S431" s="549"/>
      <c r="T431" s="549"/>
      <c r="U431" s="549"/>
      <c r="V431" s="549"/>
      <c r="W431" s="549"/>
      <c r="X431" s="549"/>
      <c r="Y431" s="549"/>
    </row>
    <row r="432" spans="2:26">
      <c r="B432" s="16" t="s">
        <v>356</v>
      </c>
      <c r="C432" s="389">
        <f t="shared" ref="C432:M432" si="55">O429*10^6/(C418+C419*10+C420*25+C421*40+C422*50+C423*100+C424*200+C425*400+C426*800)</f>
        <v>3.3854077766601836</v>
      </c>
      <c r="D432" s="389">
        <f t="shared" si="55"/>
        <v>2.3664260454537254</v>
      </c>
      <c r="E432" s="389" t="e">
        <f t="shared" si="55"/>
        <v>#DIV/0!</v>
      </c>
      <c r="F432" s="389" t="e">
        <f t="shared" si="55"/>
        <v>#DIV/0!</v>
      </c>
      <c r="G432" s="389" t="e">
        <f t="shared" si="55"/>
        <v>#DIV/0!</v>
      </c>
      <c r="H432" s="389" t="e">
        <f t="shared" si="55"/>
        <v>#DIV/0!</v>
      </c>
      <c r="I432" s="389" t="e">
        <f t="shared" si="55"/>
        <v>#DIV/0!</v>
      </c>
      <c r="J432" s="389" t="e">
        <f t="shared" si="55"/>
        <v>#DIV/0!</v>
      </c>
      <c r="K432" s="389" t="e">
        <f t="shared" si="55"/>
        <v>#DIV/0!</v>
      </c>
      <c r="L432" s="389" t="e">
        <f t="shared" si="55"/>
        <v>#DIV/0!</v>
      </c>
      <c r="M432" s="389" t="e">
        <f t="shared" si="55"/>
        <v>#DIV/0!</v>
      </c>
      <c r="N432" s="32"/>
      <c r="O432" s="51"/>
      <c r="P432" s="51"/>
      <c r="Q432" s="51"/>
      <c r="R432" s="51"/>
      <c r="S432" s="51"/>
      <c r="T432" s="51"/>
      <c r="U432" s="51"/>
      <c r="V432" s="51"/>
      <c r="W432" s="51"/>
      <c r="X432" s="51"/>
      <c r="Y432" s="51"/>
    </row>
    <row r="433" spans="2:27">
      <c r="B433" s="16"/>
      <c r="C433" s="46"/>
      <c r="D433" s="46">
        <f t="shared" ref="D433:J433" si="56">D432/C432-1</f>
        <v>-0.30099231715350916</v>
      </c>
      <c r="E433" s="46" t="e">
        <f t="shared" si="56"/>
        <v>#DIV/0!</v>
      </c>
      <c r="F433" s="46" t="e">
        <f t="shared" si="56"/>
        <v>#DIV/0!</v>
      </c>
      <c r="G433" s="46" t="e">
        <f t="shared" si="56"/>
        <v>#DIV/0!</v>
      </c>
      <c r="H433" s="46" t="e">
        <f t="shared" si="56"/>
        <v>#DIV/0!</v>
      </c>
      <c r="I433" s="46" t="e">
        <f t="shared" si="56"/>
        <v>#DIV/0!</v>
      </c>
      <c r="J433" s="46" t="e">
        <f t="shared" si="56"/>
        <v>#DIV/0!</v>
      </c>
      <c r="K433" s="46" t="e">
        <f t="shared" ref="K433" si="57">K432/J432-1</f>
        <v>#DIV/0!</v>
      </c>
      <c r="L433" s="46" t="e">
        <f t="shared" ref="L433" si="58">L432/K432-1</f>
        <v>#DIV/0!</v>
      </c>
      <c r="M433" s="46" t="e">
        <f t="shared" ref="M433" si="59">M432/L432-1</f>
        <v>#DIV/0!</v>
      </c>
      <c r="N433" s="32"/>
      <c r="O433" s="51"/>
      <c r="P433" s="51"/>
      <c r="Q433" s="51"/>
      <c r="R433" s="51"/>
      <c r="S433" s="51"/>
      <c r="T433" s="51"/>
      <c r="U433" s="51"/>
      <c r="V433" s="51"/>
      <c r="W433" s="51"/>
      <c r="X433" s="51"/>
      <c r="Y433" s="51"/>
    </row>
    <row r="434" spans="2:27">
      <c r="B434" s="16"/>
      <c r="I434" s="16"/>
      <c r="J434" s="16"/>
      <c r="K434" s="16"/>
      <c r="L434" s="16"/>
      <c r="M434" s="16"/>
      <c r="N434" s="32"/>
      <c r="O434" s="51"/>
      <c r="P434" s="51"/>
      <c r="Q434" s="51"/>
      <c r="R434" s="51"/>
      <c r="S434" s="51"/>
      <c r="T434" s="51"/>
      <c r="U434" s="51"/>
      <c r="V434" s="51"/>
      <c r="W434" s="51"/>
      <c r="X434" s="51"/>
      <c r="Y434" s="51"/>
    </row>
    <row r="435" spans="2:27" ht="15.6">
      <c r="B435" s="78" t="s">
        <v>208</v>
      </c>
      <c r="C435" s="31"/>
      <c r="D435" s="31"/>
      <c r="E435" s="31"/>
      <c r="F435" s="31"/>
      <c r="G435" s="31"/>
      <c r="H435" s="32"/>
      <c r="I435" s="32"/>
      <c r="J435" s="32"/>
      <c r="K435" s="32"/>
      <c r="L435" s="32"/>
      <c r="M435" s="32"/>
      <c r="N435" s="78" t="s">
        <v>209</v>
      </c>
      <c r="O435" s="29"/>
      <c r="P435" s="16"/>
      <c r="Q435" s="138"/>
      <c r="R435" s="138"/>
      <c r="S435" s="138"/>
      <c r="T435" s="138"/>
      <c r="U435" s="138"/>
      <c r="V435" s="138"/>
      <c r="W435" s="138"/>
      <c r="X435" s="138"/>
      <c r="Y435" s="138"/>
      <c r="AA435" s="138"/>
    </row>
    <row r="436" spans="2:27">
      <c r="B436" s="16"/>
      <c r="C436" s="31"/>
      <c r="D436" s="31"/>
      <c r="E436" s="31"/>
      <c r="F436" s="31"/>
      <c r="G436" s="31"/>
      <c r="H436" s="32"/>
      <c r="I436" s="32"/>
      <c r="J436" s="32"/>
      <c r="K436" s="32"/>
      <c r="L436" s="32"/>
      <c r="M436" s="32"/>
      <c r="N436" s="32"/>
      <c r="O436" s="29"/>
      <c r="P436" s="16"/>
      <c r="Q436" s="138"/>
      <c r="R436" s="138"/>
      <c r="S436" s="138"/>
      <c r="T436" s="138"/>
      <c r="U436" s="138"/>
      <c r="V436" s="138"/>
      <c r="W436" s="138"/>
      <c r="X436" s="138"/>
      <c r="Y436" s="138"/>
      <c r="AA436" s="138"/>
    </row>
    <row r="437" spans="2:27">
      <c r="B437" s="16"/>
      <c r="C437" s="31"/>
      <c r="D437" s="31"/>
      <c r="E437" s="31"/>
      <c r="F437" s="31"/>
      <c r="G437" s="31"/>
      <c r="H437" s="32"/>
      <c r="I437" s="32"/>
      <c r="J437" s="32"/>
      <c r="K437" s="32"/>
      <c r="L437" s="32"/>
      <c r="M437" s="32"/>
      <c r="N437" s="32"/>
      <c r="O437" s="29"/>
      <c r="P437" s="16"/>
      <c r="Q437" s="138"/>
      <c r="R437" s="138"/>
      <c r="S437" s="138"/>
      <c r="T437" s="138"/>
      <c r="U437" s="138"/>
      <c r="V437" s="138"/>
      <c r="W437" s="138"/>
      <c r="X437" s="138"/>
      <c r="Y437" s="138"/>
      <c r="AA437" s="138"/>
    </row>
    <row r="438" spans="2:27">
      <c r="B438" s="16"/>
      <c r="C438" s="31"/>
      <c r="D438" s="31"/>
      <c r="E438" s="31"/>
      <c r="F438" s="31"/>
      <c r="G438" s="31"/>
      <c r="H438" s="32"/>
      <c r="I438" s="32"/>
      <c r="J438" s="32"/>
      <c r="K438" s="32"/>
      <c r="L438" s="32"/>
      <c r="M438" s="32"/>
      <c r="N438" s="32"/>
      <c r="O438" s="29"/>
      <c r="P438" s="16"/>
      <c r="Q438" s="138"/>
      <c r="R438" s="138"/>
      <c r="S438" s="138"/>
      <c r="T438" s="138"/>
      <c r="U438" s="138"/>
      <c r="V438" s="138"/>
      <c r="W438" s="138"/>
      <c r="X438" s="138"/>
      <c r="Y438" s="138"/>
      <c r="AA438" s="138"/>
    </row>
    <row r="439" spans="2:27">
      <c r="B439" s="16"/>
      <c r="C439" s="31"/>
      <c r="D439" s="31"/>
      <c r="E439" s="31"/>
      <c r="F439" s="31"/>
      <c r="G439" s="31"/>
      <c r="H439" s="32"/>
      <c r="I439" s="32"/>
      <c r="J439" s="32"/>
      <c r="K439" s="32"/>
      <c r="L439" s="32"/>
      <c r="M439" s="32"/>
      <c r="N439" s="32"/>
      <c r="O439" s="29"/>
      <c r="P439" s="16"/>
      <c r="Q439" s="138"/>
      <c r="R439" s="138"/>
      <c r="S439" s="138"/>
      <c r="T439" s="138"/>
      <c r="U439" s="138"/>
      <c r="V439" s="138"/>
      <c r="W439" s="138"/>
      <c r="X439" s="138"/>
      <c r="Y439" s="138"/>
      <c r="AA439" s="138"/>
    </row>
    <row r="440" spans="2:27">
      <c r="B440" s="16"/>
      <c r="C440" s="31"/>
      <c r="D440" s="31"/>
      <c r="E440" s="31"/>
      <c r="F440" s="31"/>
      <c r="G440" s="31"/>
      <c r="H440" s="32"/>
      <c r="I440" s="32"/>
      <c r="J440" s="32"/>
      <c r="K440" s="32"/>
      <c r="L440" s="32"/>
      <c r="M440" s="32"/>
      <c r="N440" s="32"/>
      <c r="O440" s="29"/>
      <c r="P440" s="16"/>
      <c r="Q440" s="138"/>
      <c r="R440" s="138"/>
      <c r="S440" s="138"/>
      <c r="T440" s="138"/>
      <c r="U440" s="138"/>
      <c r="V440" s="138"/>
      <c r="W440" s="138"/>
      <c r="X440" s="138"/>
      <c r="Y440" s="138"/>
      <c r="AA440" s="138"/>
    </row>
    <row r="441" spans="2:27">
      <c r="B441" s="16"/>
      <c r="C441" s="31"/>
      <c r="D441" s="31"/>
      <c r="E441" s="31"/>
      <c r="F441" s="31"/>
      <c r="G441" s="31"/>
      <c r="H441" s="32"/>
      <c r="I441" s="32"/>
      <c r="J441" s="32"/>
      <c r="K441" s="32"/>
      <c r="L441" s="32"/>
      <c r="M441" s="32"/>
      <c r="N441" s="32"/>
      <c r="O441" s="29"/>
      <c r="P441" s="16"/>
      <c r="Q441" s="138"/>
      <c r="R441" s="138"/>
      <c r="S441" s="138"/>
      <c r="T441" s="138"/>
      <c r="U441" s="138"/>
      <c r="V441" s="138"/>
      <c r="W441" s="138"/>
      <c r="X441" s="138"/>
      <c r="Y441" s="138"/>
      <c r="AA441" s="138"/>
    </row>
    <row r="442" spans="2:27">
      <c r="B442" s="16"/>
      <c r="C442" s="31"/>
      <c r="D442" s="31"/>
      <c r="E442" s="31"/>
      <c r="F442" s="31"/>
      <c r="G442" s="31"/>
      <c r="H442" s="32"/>
      <c r="I442" s="32"/>
      <c r="J442" s="32"/>
      <c r="K442" s="32"/>
      <c r="L442" s="32"/>
      <c r="M442" s="32"/>
      <c r="N442" s="32"/>
      <c r="O442" s="29"/>
      <c r="P442" s="16"/>
      <c r="Q442" s="138"/>
      <c r="R442" s="138"/>
      <c r="S442" s="138"/>
      <c r="T442" s="138"/>
      <c r="U442" s="138"/>
      <c r="V442" s="138"/>
      <c r="W442" s="138"/>
      <c r="X442" s="138"/>
      <c r="Y442" s="138"/>
      <c r="AA442" s="138"/>
    </row>
    <row r="443" spans="2:27">
      <c r="B443" s="16"/>
      <c r="C443" s="31"/>
      <c r="D443" s="31"/>
      <c r="E443" s="31"/>
      <c r="F443" s="31"/>
      <c r="G443" s="31"/>
      <c r="H443" s="32"/>
      <c r="I443" s="32"/>
      <c r="J443" s="32"/>
      <c r="K443" s="32"/>
      <c r="L443" s="32"/>
      <c r="M443" s="32"/>
      <c r="N443" s="32"/>
      <c r="O443" s="29"/>
      <c r="P443" s="16"/>
      <c r="Q443" s="138"/>
      <c r="R443" s="138"/>
      <c r="S443" s="138"/>
      <c r="T443" s="138"/>
      <c r="U443" s="138"/>
      <c r="V443" s="138"/>
      <c r="W443" s="138"/>
      <c r="X443" s="138"/>
      <c r="Y443" s="138"/>
      <c r="AA443" s="138"/>
    </row>
    <row r="444" spans="2:27">
      <c r="B444" s="16"/>
      <c r="C444" s="31"/>
      <c r="D444" s="31"/>
      <c r="E444" s="31"/>
      <c r="F444" s="31"/>
      <c r="G444" s="31"/>
      <c r="H444" s="32"/>
      <c r="I444" s="32"/>
      <c r="J444" s="32"/>
      <c r="K444" s="32"/>
      <c r="L444" s="32"/>
      <c r="M444" s="32"/>
      <c r="N444" s="32"/>
      <c r="O444" s="29"/>
      <c r="P444" s="16"/>
      <c r="Q444" s="138"/>
      <c r="R444" s="138"/>
      <c r="S444" s="138"/>
      <c r="T444" s="138"/>
      <c r="U444" s="138"/>
      <c r="V444" s="138"/>
      <c r="W444" s="138"/>
      <c r="X444" s="138"/>
      <c r="Y444" s="138"/>
      <c r="AA444" s="138"/>
    </row>
    <row r="445" spans="2:27">
      <c r="B445" s="16"/>
      <c r="C445" s="31"/>
      <c r="D445" s="31"/>
      <c r="E445" s="31"/>
      <c r="F445" s="31"/>
      <c r="G445" s="31"/>
      <c r="H445" s="32"/>
      <c r="I445" s="32"/>
      <c r="J445" s="32"/>
      <c r="K445" s="32"/>
      <c r="L445" s="32"/>
      <c r="M445" s="32"/>
      <c r="N445" s="32"/>
      <c r="O445" s="29"/>
      <c r="P445" s="16"/>
      <c r="Q445" s="138"/>
      <c r="R445" s="138"/>
      <c r="S445" s="138"/>
      <c r="T445" s="138"/>
      <c r="U445" s="138"/>
      <c r="V445" s="138"/>
      <c r="W445" s="138"/>
      <c r="X445" s="138"/>
      <c r="Y445" s="138"/>
      <c r="AA445" s="138"/>
    </row>
    <row r="446" spans="2:27">
      <c r="B446" s="16"/>
      <c r="C446" s="31"/>
      <c r="D446" s="31"/>
      <c r="E446" s="31"/>
      <c r="F446" s="31"/>
      <c r="G446" s="31"/>
      <c r="H446" s="32"/>
      <c r="I446" s="32"/>
      <c r="J446" s="32"/>
      <c r="K446" s="32"/>
      <c r="L446" s="32"/>
      <c r="M446" s="32"/>
      <c r="N446" s="32"/>
      <c r="O446" s="29"/>
      <c r="P446" s="16"/>
      <c r="Q446" s="138"/>
      <c r="R446" s="138"/>
      <c r="S446" s="138"/>
      <c r="T446" s="138"/>
      <c r="U446" s="138"/>
      <c r="V446" s="138"/>
      <c r="W446" s="138"/>
      <c r="X446" s="138"/>
      <c r="Y446" s="138"/>
      <c r="AA446" s="138"/>
    </row>
    <row r="447" spans="2:27">
      <c r="B447" s="16"/>
      <c r="C447" s="31"/>
      <c r="D447" s="31"/>
      <c r="E447" s="31"/>
      <c r="F447" s="31"/>
      <c r="G447" s="31"/>
      <c r="H447" s="32"/>
      <c r="I447" s="32"/>
      <c r="J447" s="32"/>
      <c r="K447" s="32"/>
      <c r="L447" s="32"/>
      <c r="M447" s="32"/>
      <c r="N447" s="32"/>
      <c r="O447" s="29"/>
      <c r="P447" s="16"/>
      <c r="Q447" s="138"/>
      <c r="R447" s="138"/>
      <c r="S447" s="138"/>
      <c r="T447" s="138"/>
      <c r="U447" s="138"/>
      <c r="V447" s="138"/>
      <c r="W447" s="138"/>
      <c r="X447" s="138"/>
      <c r="Y447" s="138"/>
      <c r="AA447" s="138"/>
    </row>
    <row r="448" spans="2:27">
      <c r="B448" s="16"/>
      <c r="C448" s="31"/>
      <c r="D448" s="31"/>
      <c r="E448" s="31"/>
      <c r="F448" s="31"/>
      <c r="G448" s="31"/>
      <c r="H448" s="32"/>
      <c r="I448" s="32"/>
      <c r="J448" s="32"/>
      <c r="K448" s="32"/>
      <c r="L448" s="32"/>
      <c r="M448" s="32"/>
      <c r="N448" s="32"/>
      <c r="O448" s="29"/>
      <c r="P448" s="16"/>
      <c r="Q448" s="138"/>
      <c r="R448" s="138"/>
      <c r="S448" s="138"/>
      <c r="T448" s="138"/>
      <c r="U448" s="138"/>
      <c r="V448" s="138"/>
      <c r="W448" s="138"/>
      <c r="X448" s="138"/>
      <c r="Y448" s="138"/>
      <c r="AA448" s="138"/>
    </row>
    <row r="449" spans="2:27">
      <c r="B449" s="16"/>
      <c r="C449" s="31"/>
      <c r="D449" s="31"/>
      <c r="E449" s="31"/>
      <c r="F449" s="31"/>
      <c r="G449" s="31"/>
      <c r="H449" s="32"/>
      <c r="I449" s="32"/>
      <c r="J449" s="32"/>
      <c r="K449" s="32"/>
      <c r="L449" s="32"/>
      <c r="M449" s="32"/>
      <c r="N449" s="32"/>
      <c r="O449" s="29"/>
      <c r="P449" s="16"/>
      <c r="Q449" s="138"/>
      <c r="R449" s="138"/>
      <c r="S449" s="138"/>
      <c r="T449" s="138"/>
      <c r="U449" s="138"/>
      <c r="V449" s="138"/>
      <c r="W449" s="138"/>
      <c r="X449" s="138"/>
      <c r="Y449" s="138"/>
      <c r="AA449" s="138"/>
    </row>
    <row r="450" spans="2:27">
      <c r="B450" s="16"/>
      <c r="C450" s="31"/>
      <c r="D450" s="31"/>
      <c r="E450" s="31"/>
      <c r="F450" s="31"/>
      <c r="G450" s="31"/>
      <c r="H450" s="32"/>
      <c r="I450" s="32"/>
      <c r="J450" s="32"/>
      <c r="K450" s="32"/>
      <c r="L450" s="32"/>
      <c r="M450" s="32"/>
      <c r="N450" s="32"/>
      <c r="O450" s="29"/>
      <c r="P450" s="16"/>
      <c r="Q450" s="138"/>
      <c r="R450" s="138"/>
      <c r="S450" s="138"/>
      <c r="T450" s="138"/>
      <c r="U450" s="138"/>
      <c r="V450" s="138"/>
      <c r="W450" s="138"/>
      <c r="X450" s="138"/>
      <c r="Y450" s="138"/>
      <c r="AA450" s="138"/>
    </row>
    <row r="451" spans="2:27">
      <c r="B451" s="16"/>
      <c r="C451" s="31"/>
      <c r="D451" s="31"/>
      <c r="E451" s="31"/>
      <c r="F451" s="31"/>
      <c r="G451" s="31"/>
      <c r="H451" s="32"/>
      <c r="I451" s="32"/>
      <c r="J451" s="32"/>
      <c r="K451" s="32"/>
      <c r="L451" s="32"/>
      <c r="M451" s="32"/>
      <c r="N451" s="32"/>
      <c r="O451" s="29"/>
      <c r="P451" s="16"/>
      <c r="Q451" s="138"/>
      <c r="R451" s="138"/>
      <c r="S451" s="138"/>
      <c r="T451" s="138"/>
      <c r="U451" s="138"/>
      <c r="V451" s="138"/>
      <c r="W451" s="138"/>
      <c r="X451" s="138"/>
      <c r="Y451" s="138"/>
      <c r="AA451" s="138"/>
    </row>
    <row r="452" spans="2:27">
      <c r="B452" s="16"/>
      <c r="C452" s="31"/>
      <c r="D452" s="31"/>
      <c r="E452" s="31"/>
      <c r="F452" s="31"/>
      <c r="G452" s="31"/>
      <c r="H452" s="32"/>
      <c r="I452" s="32"/>
      <c r="J452" s="32"/>
      <c r="K452" s="32"/>
      <c r="L452" s="32"/>
      <c r="M452" s="32"/>
      <c r="N452" s="32"/>
      <c r="O452" s="29"/>
      <c r="P452" s="16"/>
      <c r="Q452" s="138"/>
      <c r="R452" s="138"/>
      <c r="S452" s="138"/>
      <c r="T452" s="138"/>
      <c r="U452" s="138"/>
      <c r="V452" s="138"/>
      <c r="W452" s="138"/>
      <c r="X452" s="138"/>
      <c r="Y452" s="138"/>
      <c r="AA452" s="138"/>
    </row>
    <row r="453" spans="2:27">
      <c r="B453" s="16"/>
      <c r="C453" s="31"/>
      <c r="D453" s="31"/>
      <c r="E453" s="31"/>
      <c r="F453" s="31"/>
      <c r="G453" s="31"/>
      <c r="H453" s="32"/>
      <c r="I453" s="32"/>
      <c r="J453" s="32"/>
      <c r="K453" s="32"/>
      <c r="L453" s="32"/>
      <c r="M453" s="32"/>
      <c r="N453" s="32"/>
      <c r="O453" s="29"/>
      <c r="P453" s="16"/>
      <c r="Q453" s="138"/>
      <c r="R453" s="138"/>
      <c r="S453" s="138"/>
      <c r="T453" s="138"/>
      <c r="U453" s="138"/>
      <c r="V453" s="138"/>
      <c r="W453" s="138"/>
      <c r="X453" s="138"/>
      <c r="Y453" s="138"/>
      <c r="AA453" s="138"/>
    </row>
    <row r="454" spans="2:27">
      <c r="B454" s="16"/>
      <c r="C454" s="31"/>
      <c r="D454" s="31"/>
      <c r="E454" s="31"/>
      <c r="F454" s="31"/>
      <c r="G454" s="31"/>
      <c r="H454" s="32"/>
      <c r="I454" s="32"/>
      <c r="J454" s="32"/>
      <c r="K454" s="32"/>
      <c r="L454" s="32"/>
      <c r="M454" s="32"/>
      <c r="N454" s="32"/>
      <c r="O454" s="29"/>
      <c r="P454" s="16"/>
      <c r="Q454" s="138"/>
      <c r="R454" s="138"/>
      <c r="S454" s="138"/>
      <c r="T454" s="138"/>
      <c r="U454" s="138"/>
      <c r="V454" s="138"/>
      <c r="W454" s="138"/>
      <c r="X454" s="138"/>
      <c r="Y454" s="138"/>
      <c r="AA454" s="138"/>
    </row>
    <row r="455" spans="2:27" ht="13.5" customHeight="1">
      <c r="B455" s="77"/>
      <c r="C455" s="54"/>
      <c r="D455" s="54"/>
      <c r="E455" s="54"/>
      <c r="F455" s="54"/>
      <c r="G455" s="54"/>
      <c r="H455" s="60"/>
      <c r="I455" s="60"/>
      <c r="J455" s="60"/>
      <c r="K455" s="60"/>
      <c r="L455" s="60"/>
      <c r="M455" s="60"/>
      <c r="N455" s="78"/>
      <c r="O455" s="16"/>
      <c r="P455" s="16"/>
      <c r="Q455" s="138"/>
      <c r="R455" s="138"/>
      <c r="S455" s="138"/>
      <c r="T455" s="138"/>
      <c r="U455" s="138"/>
      <c r="V455" s="138"/>
      <c r="W455" s="138"/>
      <c r="X455" s="138"/>
      <c r="Y455" s="138"/>
      <c r="AA455" s="138"/>
    </row>
    <row r="456" spans="2:27" ht="15.6">
      <c r="B456" s="77" t="s">
        <v>210</v>
      </c>
      <c r="C456" s="54"/>
      <c r="D456" s="54"/>
      <c r="E456" s="54"/>
      <c r="F456" s="54"/>
      <c r="G456" s="54"/>
      <c r="H456" s="60"/>
      <c r="I456" s="60"/>
      <c r="J456" s="60"/>
      <c r="K456" s="60"/>
      <c r="L456" s="60"/>
      <c r="M456" s="60"/>
      <c r="N456" s="78" t="s">
        <v>211</v>
      </c>
      <c r="O456" s="16"/>
      <c r="P456" s="16"/>
      <c r="Q456" s="138"/>
      <c r="R456" s="138"/>
      <c r="S456" s="138"/>
      <c r="T456" s="138"/>
      <c r="U456" s="138"/>
      <c r="V456" s="138"/>
      <c r="W456" s="138"/>
      <c r="X456" s="138"/>
      <c r="Y456" s="138"/>
      <c r="Z456" s="118" t="s">
        <v>2</v>
      </c>
    </row>
    <row r="457" spans="2:27">
      <c r="B457" s="158" t="s">
        <v>12</v>
      </c>
      <c r="C457" s="103">
        <v>2018</v>
      </c>
      <c r="D457" s="103">
        <v>2019</v>
      </c>
      <c r="E457" s="103">
        <v>2020</v>
      </c>
      <c r="F457" s="103">
        <v>2021</v>
      </c>
      <c r="G457" s="103">
        <v>2022</v>
      </c>
      <c r="H457" s="103">
        <v>2023</v>
      </c>
      <c r="I457" s="103">
        <v>2024</v>
      </c>
      <c r="J457" s="103">
        <v>2025</v>
      </c>
      <c r="K457" s="103">
        <v>2026</v>
      </c>
      <c r="L457" s="103">
        <v>2027</v>
      </c>
      <c r="M457" s="103">
        <v>2028</v>
      </c>
      <c r="N457" s="158" t="s">
        <v>12</v>
      </c>
      <c r="O457" s="117">
        <v>2018</v>
      </c>
      <c r="P457" s="117">
        <v>2019</v>
      </c>
      <c r="Q457" s="117">
        <v>2020</v>
      </c>
      <c r="R457" s="117">
        <v>2021</v>
      </c>
      <c r="S457" s="117">
        <v>2022</v>
      </c>
      <c r="T457" s="117">
        <v>2023</v>
      </c>
      <c r="U457" s="117">
        <v>2024</v>
      </c>
      <c r="V457" s="117">
        <v>2025</v>
      </c>
      <c r="W457" s="117">
        <v>2026</v>
      </c>
      <c r="X457" s="117">
        <v>2027</v>
      </c>
      <c r="Y457" s="117">
        <v>2028</v>
      </c>
      <c r="Z457" s="103" t="str">
        <f>$Z$139</f>
        <v>2022-2028</v>
      </c>
    </row>
    <row r="458" spans="2:27">
      <c r="B458" s="22" t="s">
        <v>203</v>
      </c>
      <c r="C458" s="48">
        <f>SUM(Ethernet!E9:E9)</f>
        <v>14084264</v>
      </c>
      <c r="D458" s="48">
        <f>SUM(Ethernet!F9:F9)</f>
        <v>12626905.000000002</v>
      </c>
      <c r="E458" s="48">
        <f>SUM(Ethernet!G9:G9)</f>
        <v>0</v>
      </c>
      <c r="F458" s="48">
        <f>SUM(Ethernet!H9:H9)</f>
        <v>0</v>
      </c>
      <c r="G458" s="48">
        <f>SUM(Ethernet!I9:I9)</f>
        <v>0</v>
      </c>
      <c r="H458" s="48">
        <f>SUM(Ethernet!J9:J9)</f>
        <v>0</v>
      </c>
      <c r="I458" s="48">
        <f>SUM(Ethernet!K9:K9)</f>
        <v>0</v>
      </c>
      <c r="J458" s="48">
        <f>SUM(Ethernet!L9:L9)</f>
        <v>0</v>
      </c>
      <c r="K458" s="48">
        <f>SUM(Ethernet!M9:M9)</f>
        <v>0</v>
      </c>
      <c r="L458" s="48">
        <f>SUM(Ethernet!N9:N9)</f>
        <v>0</v>
      </c>
      <c r="M458" s="48">
        <f>SUM(Ethernet!O9:O9)</f>
        <v>0</v>
      </c>
      <c r="N458" s="35" t="str">
        <f>B458</f>
        <v>Short Reach (100m/300m)</v>
      </c>
      <c r="O458" s="104">
        <f>SUM(Ethernet!E106:E106)</f>
        <v>188.42638884181611</v>
      </c>
      <c r="P458" s="104">
        <f>SUM(Ethernet!F106:F106)</f>
        <v>153.72384550000001</v>
      </c>
      <c r="Q458" s="104">
        <f>SUM(Ethernet!G106:G106)</f>
        <v>0</v>
      </c>
      <c r="R458" s="104">
        <f>SUM(Ethernet!H106:H106)</f>
        <v>0</v>
      </c>
      <c r="S458" s="104">
        <f>SUM(Ethernet!I106:I106)</f>
        <v>0</v>
      </c>
      <c r="T458" s="104">
        <f>SUM(Ethernet!J106:J106)</f>
        <v>0</v>
      </c>
      <c r="U458" s="104">
        <f>SUM(Ethernet!K106:K106)</f>
        <v>0</v>
      </c>
      <c r="V458" s="104">
        <f>SUM(Ethernet!L106:L106)</f>
        <v>0</v>
      </c>
      <c r="W458" s="104">
        <f>SUM(Ethernet!M106:M106)</f>
        <v>0</v>
      </c>
      <c r="X458" s="104">
        <f>SUM(Ethernet!N106:N106)</f>
        <v>0</v>
      </c>
      <c r="Y458" s="104">
        <f>SUM(Ethernet!O106:O106)</f>
        <v>0</v>
      </c>
      <c r="Z458" s="139" t="e">
        <f>(Y458/S458)^(1/6)-1</f>
        <v>#DIV/0!</v>
      </c>
    </row>
    <row r="459" spans="2:27">
      <c r="B459" s="22" t="s">
        <v>192</v>
      </c>
      <c r="C459" s="48">
        <f>SUM(Ethernet!E10:E10)</f>
        <v>7087259</v>
      </c>
      <c r="D459" s="48">
        <f>SUM(Ethernet!F10:F10)</f>
        <v>5481407</v>
      </c>
      <c r="E459" s="11">
        <f>SUM(Ethernet!G10:G10)</f>
        <v>0</v>
      </c>
      <c r="F459" s="11">
        <f>SUM(Ethernet!H10:H10)</f>
        <v>0</v>
      </c>
      <c r="G459" s="11">
        <f>SUM(Ethernet!I10:I10)</f>
        <v>0</v>
      </c>
      <c r="H459" s="11">
        <f>SUM(Ethernet!J10:J10)</f>
        <v>0</v>
      </c>
      <c r="I459" s="11">
        <f>SUM(Ethernet!K10:K10)</f>
        <v>0</v>
      </c>
      <c r="J459" s="11">
        <f>SUM(Ethernet!L10:L10)</f>
        <v>0</v>
      </c>
      <c r="K459" s="11">
        <f>SUM(Ethernet!M10:M10)</f>
        <v>0</v>
      </c>
      <c r="L459" s="11">
        <f>SUM(Ethernet!N10:N10)</f>
        <v>0</v>
      </c>
      <c r="M459" s="11">
        <f>SUM(Ethernet!O10:O10)</f>
        <v>0</v>
      </c>
      <c r="N459" s="33" t="str">
        <f>B459</f>
        <v>Long Reach (10 km)</v>
      </c>
      <c r="O459" s="64">
        <f>SUM(Ethernet!E107:E107)</f>
        <v>175.26710676970723</v>
      </c>
      <c r="P459" s="64">
        <f>SUM(Ethernet!F107:F107)</f>
        <v>122.24257185132863</v>
      </c>
      <c r="Q459" s="64">
        <f>SUM(Ethernet!G107:G107)</f>
        <v>0</v>
      </c>
      <c r="R459" s="64">
        <f>SUM(Ethernet!H107:H107)</f>
        <v>0</v>
      </c>
      <c r="S459" s="64">
        <f>SUM(Ethernet!I107:I107)</f>
        <v>0</v>
      </c>
      <c r="T459" s="64">
        <f>SUM(Ethernet!J107:J107)</f>
        <v>0</v>
      </c>
      <c r="U459" s="64">
        <f>SUM(Ethernet!K107:K107)</f>
        <v>0</v>
      </c>
      <c r="V459" s="64">
        <f>SUM(Ethernet!L107:L107)</f>
        <v>0</v>
      </c>
      <c r="W459" s="64">
        <f>SUM(Ethernet!M107:M107)</f>
        <v>0</v>
      </c>
      <c r="X459" s="64">
        <f>SUM(Ethernet!N107:N107)</f>
        <v>0</v>
      </c>
      <c r="Y459" s="64">
        <f>SUM(Ethernet!O107:O107)</f>
        <v>0</v>
      </c>
      <c r="Z459" s="140" t="e">
        <f>(Y459/S459)^(1/6)-1</f>
        <v>#DIV/0!</v>
      </c>
    </row>
    <row r="460" spans="2:27">
      <c r="B460" s="22" t="s">
        <v>194</v>
      </c>
      <c r="C460" s="48">
        <f>SUM(Ethernet!E11:E12)</f>
        <v>845482.1</v>
      </c>
      <c r="D460" s="48">
        <f>SUM(Ethernet!F11:F12)</f>
        <v>506727</v>
      </c>
      <c r="E460" s="206">
        <f>SUM(Ethernet!G11:G12)</f>
        <v>0</v>
      </c>
      <c r="F460" s="206">
        <f>SUM(Ethernet!H11:H12)</f>
        <v>0</v>
      </c>
      <c r="G460" s="206">
        <f>SUM(Ethernet!I11:I12)</f>
        <v>0</v>
      </c>
      <c r="H460" s="206">
        <f>SUM(Ethernet!J11:J12)</f>
        <v>0</v>
      </c>
      <c r="I460" s="206">
        <f>SUM(Ethernet!K11:K12)</f>
        <v>0</v>
      </c>
      <c r="J460" s="206">
        <f>SUM(Ethernet!L11:L12)</f>
        <v>0</v>
      </c>
      <c r="K460" s="206">
        <f>SUM(Ethernet!M11:M12)</f>
        <v>0</v>
      </c>
      <c r="L460" s="206">
        <f>SUM(Ethernet!N11:N12)</f>
        <v>0</v>
      </c>
      <c r="M460" s="206">
        <f>SUM(Ethernet!O11:O12)</f>
        <v>0</v>
      </c>
      <c r="N460" s="22" t="str">
        <f>B460</f>
        <v>Extended Reach (40 &amp; 80 Km)</v>
      </c>
      <c r="O460" s="64">
        <f>SUM(Ethernet!E108:E109)</f>
        <v>107.72634092712892</v>
      </c>
      <c r="P460" s="64">
        <f>SUM(Ethernet!F108:F109)</f>
        <v>54.224780328813537</v>
      </c>
      <c r="Q460" s="64">
        <f>SUM(Ethernet!G108:G109)</f>
        <v>0</v>
      </c>
      <c r="R460" s="64">
        <f>SUM(Ethernet!H108:H109)</f>
        <v>0</v>
      </c>
      <c r="S460" s="64">
        <f>SUM(Ethernet!I108:I109)</f>
        <v>0</v>
      </c>
      <c r="T460" s="64">
        <f>SUM(Ethernet!J108:J109)</f>
        <v>0</v>
      </c>
      <c r="U460" s="64">
        <f>SUM(Ethernet!K108:K109)</f>
        <v>0</v>
      </c>
      <c r="V460" s="64">
        <f>SUM(Ethernet!L108:L109)</f>
        <v>0</v>
      </c>
      <c r="W460" s="64">
        <f>SUM(Ethernet!M108:M109)</f>
        <v>0</v>
      </c>
      <c r="X460" s="64">
        <f>SUM(Ethernet!N108:N109)</f>
        <v>0</v>
      </c>
      <c r="Y460" s="64">
        <f>SUM(Ethernet!O108:O109)</f>
        <v>0</v>
      </c>
      <c r="Z460" s="140" t="e">
        <f>(Y460/S460)^(1/6)-1</f>
        <v>#DIV/0!</v>
      </c>
    </row>
    <row r="461" spans="2:27">
      <c r="B461" s="160" t="s">
        <v>93</v>
      </c>
      <c r="C461" s="110">
        <f>SUM(C458:C460)</f>
        <v>22017005.100000001</v>
      </c>
      <c r="D461" s="110">
        <f t="shared" ref="D461:I461" si="60">SUM(D458:D460)</f>
        <v>18615039</v>
      </c>
      <c r="E461" s="110">
        <f t="shared" si="60"/>
        <v>0</v>
      </c>
      <c r="F461" s="110">
        <f t="shared" si="60"/>
        <v>0</v>
      </c>
      <c r="G461" s="110">
        <f t="shared" si="60"/>
        <v>0</v>
      </c>
      <c r="H461" s="110">
        <f t="shared" si="60"/>
        <v>0</v>
      </c>
      <c r="I461" s="110">
        <f t="shared" si="60"/>
        <v>0</v>
      </c>
      <c r="J461" s="110">
        <f t="shared" ref="J461:M461" si="61">SUM(J458:J460)</f>
        <v>0</v>
      </c>
      <c r="K461" s="110">
        <f t="shared" si="61"/>
        <v>0</v>
      </c>
      <c r="L461" s="110">
        <f t="shared" si="61"/>
        <v>0</v>
      </c>
      <c r="M461" s="110">
        <f t="shared" si="61"/>
        <v>0</v>
      </c>
      <c r="N461" s="162" t="s">
        <v>93</v>
      </c>
      <c r="O461" s="105">
        <f>SUM(O458:O460)</f>
        <v>471.41983653865225</v>
      </c>
      <c r="P461" s="105">
        <f t="shared" ref="P461:U461" si="62">SUM(P458:P460)</f>
        <v>330.19119768014218</v>
      </c>
      <c r="Q461" s="105">
        <f t="shared" si="62"/>
        <v>0</v>
      </c>
      <c r="R461" s="105">
        <f t="shared" si="62"/>
        <v>0</v>
      </c>
      <c r="S461" s="105">
        <f t="shared" si="62"/>
        <v>0</v>
      </c>
      <c r="T461" s="105">
        <f t="shared" si="62"/>
        <v>0</v>
      </c>
      <c r="U461" s="105">
        <f t="shared" si="62"/>
        <v>0</v>
      </c>
      <c r="V461" s="105">
        <f t="shared" ref="V461:Y461" si="63">SUM(V458:V460)</f>
        <v>0</v>
      </c>
      <c r="W461" s="105">
        <f t="shared" si="63"/>
        <v>0</v>
      </c>
      <c r="X461" s="105">
        <f t="shared" si="63"/>
        <v>0</v>
      </c>
      <c r="Y461" s="105">
        <f t="shared" si="63"/>
        <v>0</v>
      </c>
      <c r="Z461" s="144" t="e">
        <f>(Y461/S461)^(1/6)-1</f>
        <v>#DIV/0!</v>
      </c>
    </row>
    <row r="462" spans="2:27">
      <c r="B462" s="16"/>
      <c r="C462" s="31"/>
      <c r="D462" s="31"/>
      <c r="E462" s="31"/>
      <c r="F462" s="31"/>
      <c r="G462" s="31"/>
      <c r="H462" s="32"/>
      <c r="I462" s="32"/>
      <c r="J462" s="32"/>
      <c r="K462" s="32"/>
      <c r="L462" s="32"/>
      <c r="M462" s="32"/>
      <c r="N462" s="32"/>
      <c r="O462" s="29"/>
      <c r="P462" s="16"/>
      <c r="Q462" s="138"/>
      <c r="R462" s="138"/>
      <c r="S462" s="138"/>
      <c r="T462" s="138"/>
      <c r="U462" s="138"/>
      <c r="V462" s="138"/>
      <c r="W462" s="138"/>
      <c r="X462" s="138"/>
      <c r="Y462" s="138"/>
      <c r="AA462" s="138"/>
    </row>
    <row r="463" spans="2:27" ht="15.6">
      <c r="B463" s="78" t="s">
        <v>212</v>
      </c>
      <c r="C463" s="31"/>
      <c r="D463" s="31"/>
      <c r="E463" s="31"/>
      <c r="F463" s="31"/>
      <c r="G463" s="31"/>
      <c r="H463" s="32"/>
      <c r="I463" s="32"/>
      <c r="J463" s="32"/>
      <c r="K463" s="32"/>
      <c r="L463" s="32"/>
      <c r="M463" s="32"/>
      <c r="N463" s="78" t="s">
        <v>213</v>
      </c>
      <c r="O463" s="16"/>
      <c r="P463" s="16"/>
      <c r="Q463" s="138"/>
      <c r="R463" s="138"/>
      <c r="S463" s="138"/>
      <c r="T463" s="138"/>
      <c r="U463" s="138"/>
      <c r="V463" s="138"/>
      <c r="W463" s="138"/>
      <c r="X463" s="138"/>
      <c r="Y463" s="138"/>
      <c r="AA463" s="138"/>
    </row>
    <row r="464" spans="2:27">
      <c r="B464" s="16"/>
      <c r="C464" s="31"/>
      <c r="D464" s="31"/>
      <c r="E464" s="31"/>
      <c r="F464" s="31"/>
      <c r="G464" s="31"/>
      <c r="H464" s="32"/>
      <c r="I464" s="32"/>
      <c r="J464" s="32"/>
      <c r="K464" s="32"/>
      <c r="L464" s="32"/>
      <c r="M464" s="32"/>
      <c r="N464" s="32"/>
      <c r="O464" s="16"/>
      <c r="P464" s="16"/>
      <c r="Q464" s="138"/>
      <c r="R464" s="138"/>
      <c r="S464" s="138"/>
      <c r="T464" s="138"/>
      <c r="U464" s="138"/>
      <c r="V464" s="138"/>
      <c r="W464" s="138"/>
      <c r="X464" s="138"/>
      <c r="Y464" s="138"/>
      <c r="AA464" s="138"/>
    </row>
    <row r="465" spans="2:27">
      <c r="B465" s="16"/>
      <c r="C465" s="31"/>
      <c r="D465" s="31"/>
      <c r="E465" s="31"/>
      <c r="F465" s="31"/>
      <c r="G465" s="31"/>
      <c r="H465" s="32"/>
      <c r="I465" s="32"/>
      <c r="J465" s="32"/>
      <c r="K465" s="32"/>
      <c r="L465" s="32"/>
      <c r="M465" s="32"/>
      <c r="N465" s="32"/>
      <c r="O465" s="16"/>
      <c r="P465" s="16"/>
      <c r="Q465" s="138"/>
      <c r="R465" s="138"/>
      <c r="S465" s="138"/>
      <c r="T465" s="138"/>
      <c r="U465" s="138"/>
      <c r="V465" s="138"/>
      <c r="W465" s="138"/>
      <c r="X465" s="138"/>
      <c r="Y465" s="138"/>
      <c r="AA465" s="138"/>
    </row>
    <row r="466" spans="2:27">
      <c r="B466" s="16"/>
      <c r="C466" s="31"/>
      <c r="D466" s="31"/>
      <c r="E466" s="31"/>
      <c r="F466" s="31"/>
      <c r="G466" s="31"/>
      <c r="H466" s="32"/>
      <c r="I466" s="32"/>
      <c r="J466" s="32"/>
      <c r="K466" s="32"/>
      <c r="L466" s="32"/>
      <c r="M466" s="32"/>
      <c r="N466" s="32"/>
      <c r="O466" s="16"/>
      <c r="P466" s="16"/>
      <c r="Q466" s="138"/>
      <c r="R466" s="138"/>
      <c r="S466" s="138"/>
      <c r="T466" s="138"/>
      <c r="U466" s="138"/>
      <c r="V466" s="138"/>
      <c r="W466" s="138"/>
      <c r="X466" s="138"/>
      <c r="Y466" s="138"/>
      <c r="AA466" s="138"/>
    </row>
    <row r="467" spans="2:27">
      <c r="B467" s="16"/>
      <c r="C467" s="31"/>
      <c r="D467" s="31"/>
      <c r="E467" s="31"/>
      <c r="F467" s="31"/>
      <c r="G467" s="31"/>
      <c r="H467" s="32"/>
      <c r="I467" s="32"/>
      <c r="J467" s="32"/>
      <c r="K467" s="32"/>
      <c r="L467" s="32"/>
      <c r="M467" s="32"/>
      <c r="N467" s="32"/>
      <c r="O467" s="16"/>
      <c r="P467" s="16"/>
      <c r="Q467" s="138"/>
      <c r="R467" s="138"/>
      <c r="S467" s="138"/>
      <c r="T467" s="138"/>
      <c r="U467" s="138"/>
      <c r="V467" s="138"/>
      <c r="W467" s="138"/>
      <c r="X467" s="138"/>
      <c r="Y467" s="138"/>
      <c r="AA467" s="138"/>
    </row>
    <row r="468" spans="2:27">
      <c r="B468" s="16"/>
      <c r="C468" s="31"/>
      <c r="D468" s="31"/>
      <c r="E468" s="31"/>
      <c r="F468" s="31"/>
      <c r="G468" s="31"/>
      <c r="H468" s="32"/>
      <c r="I468" s="32"/>
      <c r="J468" s="32"/>
      <c r="K468" s="32"/>
      <c r="L468" s="32"/>
      <c r="M468" s="32"/>
      <c r="N468" s="32"/>
      <c r="O468" s="16"/>
      <c r="P468" s="16"/>
      <c r="Q468" s="138"/>
      <c r="R468" s="138"/>
      <c r="S468" s="138"/>
      <c r="T468" s="138"/>
      <c r="U468" s="138"/>
      <c r="V468" s="138"/>
      <c r="W468" s="138"/>
      <c r="X468" s="138"/>
      <c r="Y468" s="138"/>
      <c r="AA468" s="138"/>
    </row>
    <row r="469" spans="2:27">
      <c r="B469" s="16"/>
      <c r="C469" s="31"/>
      <c r="D469" s="31"/>
      <c r="E469" s="31"/>
      <c r="F469" s="31"/>
      <c r="G469" s="31"/>
      <c r="H469" s="32"/>
      <c r="I469" s="32"/>
      <c r="J469" s="32"/>
      <c r="K469" s="32"/>
      <c r="L469" s="32"/>
      <c r="M469" s="32"/>
      <c r="N469" s="32"/>
      <c r="O469" s="16"/>
      <c r="P469" s="16"/>
      <c r="Q469" s="138"/>
      <c r="R469" s="138"/>
      <c r="S469" s="138"/>
      <c r="T469" s="138"/>
      <c r="U469" s="138"/>
      <c r="V469" s="138"/>
      <c r="W469" s="138"/>
      <c r="X469" s="138"/>
      <c r="Y469" s="138"/>
      <c r="AA469" s="138"/>
    </row>
    <row r="470" spans="2:27">
      <c r="B470" s="16"/>
      <c r="C470" s="31"/>
      <c r="D470" s="31"/>
      <c r="E470" s="31"/>
      <c r="F470" s="31"/>
      <c r="G470" s="31"/>
      <c r="H470" s="32"/>
      <c r="I470" s="32"/>
      <c r="J470" s="32"/>
      <c r="K470" s="32"/>
      <c r="L470" s="32"/>
      <c r="M470" s="32"/>
      <c r="N470" s="32"/>
      <c r="O470" s="16"/>
      <c r="P470" s="16"/>
      <c r="Q470" s="138"/>
      <c r="R470" s="138"/>
      <c r="S470" s="138"/>
      <c r="T470" s="138"/>
      <c r="U470" s="138"/>
      <c r="V470" s="138"/>
      <c r="W470" s="138"/>
      <c r="X470" s="138"/>
      <c r="Y470" s="138"/>
      <c r="AA470" s="138"/>
    </row>
    <row r="471" spans="2:27">
      <c r="B471" s="16"/>
      <c r="C471" s="31"/>
      <c r="D471" s="31"/>
      <c r="E471" s="31"/>
      <c r="F471" s="31"/>
      <c r="G471" s="31"/>
      <c r="H471" s="32"/>
      <c r="I471" s="32"/>
      <c r="J471" s="32"/>
      <c r="K471" s="32"/>
      <c r="L471" s="32"/>
      <c r="M471" s="32"/>
      <c r="N471" s="32"/>
      <c r="O471" s="16"/>
      <c r="P471" s="16"/>
      <c r="Q471" s="138"/>
      <c r="R471" s="138"/>
      <c r="S471" s="138"/>
      <c r="T471" s="138"/>
      <c r="U471" s="138"/>
      <c r="V471" s="138"/>
      <c r="W471" s="138"/>
      <c r="X471" s="138"/>
      <c r="Y471" s="138"/>
      <c r="AA471" s="138"/>
    </row>
    <row r="472" spans="2:27">
      <c r="B472" s="16"/>
      <c r="C472" s="31"/>
      <c r="D472" s="31"/>
      <c r="E472" s="31"/>
      <c r="F472" s="31"/>
      <c r="G472" s="31"/>
      <c r="H472" s="32"/>
      <c r="I472" s="32"/>
      <c r="J472" s="32"/>
      <c r="K472" s="32"/>
      <c r="L472" s="32"/>
      <c r="M472" s="32"/>
      <c r="N472" s="32"/>
      <c r="O472" s="16"/>
      <c r="P472" s="16"/>
      <c r="Q472" s="138"/>
      <c r="R472" s="138"/>
      <c r="S472" s="138"/>
      <c r="T472" s="138"/>
      <c r="U472" s="138"/>
      <c r="V472" s="138"/>
      <c r="W472" s="138"/>
      <c r="X472" s="138"/>
      <c r="Y472" s="138"/>
      <c r="AA472" s="138"/>
    </row>
    <row r="473" spans="2:27">
      <c r="B473" s="16"/>
      <c r="C473" s="31"/>
      <c r="D473" s="31"/>
      <c r="E473" s="31"/>
      <c r="F473" s="31"/>
      <c r="G473" s="31"/>
      <c r="H473" s="32"/>
      <c r="I473" s="32"/>
      <c r="J473" s="32"/>
      <c r="K473" s="32"/>
      <c r="L473" s="32"/>
      <c r="M473" s="32"/>
      <c r="N473" s="32"/>
      <c r="O473" s="16"/>
      <c r="P473" s="16"/>
      <c r="Q473" s="138"/>
      <c r="R473" s="138"/>
      <c r="S473" s="138"/>
      <c r="T473" s="138"/>
      <c r="U473" s="138"/>
      <c r="V473" s="138"/>
      <c r="W473" s="138"/>
      <c r="X473" s="138"/>
      <c r="Y473" s="138"/>
      <c r="AA473" s="138"/>
    </row>
    <row r="474" spans="2:27">
      <c r="B474" s="16"/>
      <c r="C474" s="31"/>
      <c r="D474" s="31"/>
      <c r="E474" s="31"/>
      <c r="F474" s="31"/>
      <c r="G474" s="31"/>
      <c r="H474" s="32"/>
      <c r="I474" s="32"/>
      <c r="J474" s="32"/>
      <c r="K474" s="32"/>
      <c r="L474" s="32"/>
      <c r="M474" s="32"/>
      <c r="N474" s="32"/>
      <c r="O474" s="16"/>
      <c r="P474" s="16"/>
      <c r="Q474" s="138"/>
      <c r="R474" s="138"/>
      <c r="S474" s="138"/>
      <c r="T474" s="138"/>
      <c r="U474" s="138"/>
      <c r="V474" s="138"/>
      <c r="W474" s="138"/>
      <c r="X474" s="138"/>
      <c r="Y474" s="138"/>
      <c r="AA474" s="138"/>
    </row>
    <row r="475" spans="2:27">
      <c r="B475" s="16"/>
      <c r="C475" s="31"/>
      <c r="D475" s="31"/>
      <c r="E475" s="31"/>
      <c r="F475" s="31"/>
      <c r="G475" s="31"/>
      <c r="H475" s="32"/>
      <c r="I475" s="32"/>
      <c r="J475" s="32"/>
      <c r="K475" s="32"/>
      <c r="L475" s="32"/>
      <c r="M475" s="32"/>
      <c r="N475" s="32"/>
      <c r="O475" s="16"/>
      <c r="P475" s="16"/>
      <c r="Q475" s="138"/>
      <c r="R475" s="138"/>
      <c r="S475" s="138"/>
      <c r="T475" s="138"/>
      <c r="U475" s="138"/>
      <c r="V475" s="138"/>
      <c r="W475" s="138"/>
      <c r="X475" s="138"/>
      <c r="Y475" s="138"/>
      <c r="AA475" s="138"/>
    </row>
    <row r="476" spans="2:27">
      <c r="B476" s="16"/>
      <c r="C476" s="31"/>
      <c r="D476" s="31"/>
      <c r="E476" s="31"/>
      <c r="F476" s="31"/>
      <c r="G476" s="31"/>
      <c r="H476" s="32"/>
      <c r="I476" s="32"/>
      <c r="J476" s="32"/>
      <c r="K476" s="32"/>
      <c r="L476" s="32"/>
      <c r="M476" s="32"/>
      <c r="N476" s="32"/>
      <c r="O476" s="16"/>
      <c r="P476" s="16"/>
      <c r="Q476" s="138"/>
      <c r="R476" s="138"/>
      <c r="S476" s="138"/>
      <c r="T476" s="138"/>
      <c r="U476" s="138"/>
      <c r="V476" s="138"/>
      <c r="W476" s="138"/>
      <c r="X476" s="138"/>
      <c r="Y476" s="138"/>
      <c r="AA476" s="138"/>
    </row>
    <row r="477" spans="2:27">
      <c r="B477" s="16"/>
      <c r="C477" s="31"/>
      <c r="D477" s="31"/>
      <c r="E477" s="31"/>
      <c r="F477" s="31"/>
      <c r="G477" s="31"/>
      <c r="H477" s="32"/>
      <c r="I477" s="32"/>
      <c r="J477" s="32"/>
      <c r="K477" s="32"/>
      <c r="L477" s="32"/>
      <c r="M477" s="32"/>
      <c r="N477" s="32"/>
      <c r="O477" s="16"/>
      <c r="P477" s="16"/>
      <c r="Q477" s="138"/>
      <c r="R477" s="138"/>
      <c r="S477" s="138"/>
      <c r="T477" s="138"/>
      <c r="U477" s="138"/>
      <c r="V477" s="138"/>
      <c r="W477" s="138"/>
      <c r="X477" s="138"/>
      <c r="Y477" s="138"/>
      <c r="AA477" s="138"/>
    </row>
    <row r="478" spans="2:27">
      <c r="B478" s="16"/>
      <c r="C478" s="31"/>
      <c r="D478" s="31"/>
      <c r="E478" s="31"/>
      <c r="F478" s="31"/>
      <c r="G478" s="31"/>
      <c r="H478" s="32"/>
      <c r="I478" s="32"/>
      <c r="J478" s="32"/>
      <c r="K478" s="32"/>
      <c r="L478" s="32"/>
      <c r="M478" s="32"/>
      <c r="N478" s="32"/>
      <c r="O478" s="16"/>
      <c r="P478" s="16"/>
      <c r="Q478" s="138"/>
      <c r="R478" s="138"/>
      <c r="S478" s="138"/>
      <c r="T478" s="138"/>
      <c r="U478" s="138"/>
      <c r="V478" s="138"/>
      <c r="W478" s="138"/>
      <c r="X478" s="138"/>
      <c r="Y478" s="138"/>
      <c r="AA478" s="138"/>
    </row>
    <row r="479" spans="2:27" ht="15.6">
      <c r="B479" s="50"/>
      <c r="C479" s="31"/>
      <c r="D479" s="31"/>
      <c r="E479" s="31"/>
      <c r="F479" s="31"/>
      <c r="G479" s="31"/>
      <c r="H479" s="32"/>
      <c r="I479" s="32"/>
      <c r="J479" s="32"/>
      <c r="K479" s="32"/>
      <c r="L479" s="32"/>
      <c r="M479" s="32"/>
      <c r="N479" s="32"/>
      <c r="O479" s="16"/>
      <c r="P479" s="16"/>
      <c r="Q479" s="138"/>
      <c r="R479" s="138"/>
      <c r="S479" s="138"/>
      <c r="T479" s="138"/>
      <c r="U479" s="138"/>
      <c r="V479" s="138"/>
      <c r="W479" s="138"/>
      <c r="X479" s="138"/>
      <c r="Y479" s="138"/>
      <c r="AA479" s="138"/>
    </row>
    <row r="480" spans="2:27">
      <c r="B480" s="16"/>
      <c r="C480" s="31"/>
      <c r="D480" s="31"/>
      <c r="E480" s="31"/>
      <c r="F480" s="31"/>
      <c r="G480" s="31"/>
      <c r="H480" s="32"/>
      <c r="I480" s="32"/>
      <c r="J480" s="32"/>
      <c r="K480" s="32"/>
      <c r="L480" s="32"/>
      <c r="M480" s="32"/>
      <c r="N480" s="32"/>
      <c r="O480" s="16"/>
      <c r="P480" s="16"/>
      <c r="Q480" s="138"/>
      <c r="R480" s="138"/>
      <c r="S480" s="138"/>
      <c r="T480" s="138"/>
      <c r="U480" s="138"/>
      <c r="V480" s="138"/>
      <c r="W480" s="138"/>
      <c r="X480" s="138"/>
      <c r="Y480" s="138"/>
      <c r="AA480" s="138"/>
    </row>
    <row r="481" spans="2:27">
      <c r="B481" s="16"/>
      <c r="C481" s="31"/>
      <c r="D481" s="31"/>
      <c r="E481" s="31"/>
      <c r="F481" s="31"/>
      <c r="G481" s="31"/>
      <c r="H481" s="32"/>
      <c r="I481" s="32"/>
      <c r="J481" s="32"/>
      <c r="K481" s="32"/>
      <c r="L481" s="32"/>
      <c r="M481" s="32"/>
      <c r="N481" s="32"/>
      <c r="O481" s="16"/>
      <c r="P481" s="16"/>
      <c r="Q481" s="138"/>
      <c r="R481" s="138"/>
      <c r="S481" s="138"/>
      <c r="T481" s="138"/>
      <c r="U481" s="138"/>
      <c r="V481" s="138"/>
      <c r="W481" s="138"/>
      <c r="X481" s="138"/>
      <c r="Y481" s="138"/>
      <c r="AA481" s="138"/>
    </row>
    <row r="482" spans="2:27">
      <c r="B482" s="16"/>
      <c r="C482" s="31"/>
      <c r="D482" s="31"/>
      <c r="E482" s="31"/>
      <c r="F482" s="31"/>
      <c r="G482" s="31"/>
      <c r="H482" s="32"/>
      <c r="I482" s="32"/>
      <c r="J482" s="32"/>
      <c r="K482" s="32"/>
      <c r="L482" s="32"/>
      <c r="M482" s="32"/>
      <c r="N482" s="32"/>
      <c r="O482" s="16"/>
      <c r="P482" s="16"/>
      <c r="Q482" s="138"/>
      <c r="R482" s="138"/>
      <c r="S482" s="138"/>
      <c r="T482" s="138"/>
      <c r="U482" s="138"/>
      <c r="V482" s="138"/>
      <c r="W482" s="138"/>
      <c r="X482" s="138"/>
      <c r="Y482" s="138"/>
      <c r="AA482" s="138"/>
    </row>
    <row r="483" spans="2:27" ht="15.6">
      <c r="B483" s="77"/>
      <c r="C483" s="54"/>
      <c r="D483" s="54"/>
      <c r="E483" s="54"/>
      <c r="F483" s="54"/>
      <c r="G483" s="54"/>
      <c r="H483" s="60"/>
      <c r="I483" s="60"/>
      <c r="J483" s="60"/>
      <c r="K483" s="60"/>
      <c r="L483" s="60"/>
      <c r="M483" s="60"/>
      <c r="N483" s="78"/>
      <c r="O483" s="16"/>
      <c r="P483" s="16"/>
      <c r="Q483" s="138"/>
      <c r="R483" s="138"/>
      <c r="S483" s="138"/>
      <c r="T483" s="138"/>
      <c r="U483" s="138"/>
      <c r="V483" s="138"/>
      <c r="W483" s="138"/>
      <c r="X483" s="138"/>
      <c r="Y483" s="138"/>
      <c r="AA483" s="138"/>
    </row>
    <row r="484" spans="2:27" ht="15.6">
      <c r="B484" s="77" t="s">
        <v>214</v>
      </c>
      <c r="C484" s="54"/>
      <c r="D484" s="54"/>
      <c r="E484" s="54"/>
      <c r="F484" s="54"/>
      <c r="G484" s="54"/>
      <c r="H484" s="60"/>
      <c r="I484" s="60"/>
      <c r="J484" s="60"/>
      <c r="K484" s="60"/>
      <c r="L484" s="60"/>
      <c r="M484" s="60"/>
      <c r="N484" s="78" t="s">
        <v>215</v>
      </c>
      <c r="O484" s="16"/>
      <c r="P484" s="16"/>
      <c r="Q484" s="138"/>
      <c r="R484" s="138"/>
      <c r="S484" s="138"/>
      <c r="T484" s="138"/>
      <c r="U484" s="138"/>
      <c r="V484" s="138"/>
      <c r="W484" s="138"/>
      <c r="X484" s="138"/>
      <c r="Y484" s="138"/>
      <c r="Z484" s="118" t="s">
        <v>2</v>
      </c>
    </row>
    <row r="485" spans="2:27">
      <c r="B485" s="158" t="s">
        <v>12</v>
      </c>
      <c r="C485" s="103">
        <v>2018</v>
      </c>
      <c r="D485" s="103">
        <v>2019</v>
      </c>
      <c r="E485" s="103">
        <v>2020</v>
      </c>
      <c r="F485" s="103">
        <v>2021</v>
      </c>
      <c r="G485" s="103">
        <v>2022</v>
      </c>
      <c r="H485" s="103">
        <v>2023</v>
      </c>
      <c r="I485" s="103">
        <v>2024</v>
      </c>
      <c r="J485" s="103">
        <v>2025</v>
      </c>
      <c r="K485" s="103">
        <v>2026</v>
      </c>
      <c r="L485" s="103">
        <v>2027</v>
      </c>
      <c r="M485" s="103">
        <v>2028</v>
      </c>
      <c r="N485" s="164" t="s">
        <v>12</v>
      </c>
      <c r="O485" s="117">
        <v>2018</v>
      </c>
      <c r="P485" s="117">
        <v>2019</v>
      </c>
      <c r="Q485" s="117">
        <v>2020</v>
      </c>
      <c r="R485" s="117">
        <v>2021</v>
      </c>
      <c r="S485" s="117">
        <v>2022</v>
      </c>
      <c r="T485" s="117">
        <v>2023</v>
      </c>
      <c r="U485" s="117">
        <v>2024</v>
      </c>
      <c r="V485" s="117">
        <v>2025</v>
      </c>
      <c r="W485" s="117">
        <v>2026</v>
      </c>
      <c r="X485" s="117">
        <v>2027</v>
      </c>
      <c r="Y485" s="117">
        <v>2028</v>
      </c>
      <c r="Z485" s="103" t="str">
        <f>$Z$139</f>
        <v>2022-2028</v>
      </c>
    </row>
    <row r="486" spans="2:27">
      <c r="B486" s="22" t="s">
        <v>203</v>
      </c>
      <c r="C486" s="131">
        <f>SUM(Ethernet!E17:E17)</f>
        <v>1975810.7525500001</v>
      </c>
      <c r="D486" s="131">
        <f>SUM(Ethernet!F17:F17)</f>
        <v>1412949</v>
      </c>
      <c r="E486" s="131">
        <f>SUM(Ethernet!G17:G17)</f>
        <v>0</v>
      </c>
      <c r="F486" s="131">
        <f>SUM(Ethernet!H17:H17)</f>
        <v>0</v>
      </c>
      <c r="G486" s="131">
        <f>SUM(Ethernet!I17:I17)</f>
        <v>0</v>
      </c>
      <c r="H486" s="131">
        <f>SUM(Ethernet!J17:J17)</f>
        <v>0</v>
      </c>
      <c r="I486" s="131">
        <f>SUM(Ethernet!K17:K17)</f>
        <v>0</v>
      </c>
      <c r="J486" s="131">
        <f>SUM(Ethernet!L17:L17)</f>
        <v>0</v>
      </c>
      <c r="K486" s="131">
        <f>SUM(Ethernet!M17:M17)</f>
        <v>0</v>
      </c>
      <c r="L486" s="131">
        <f>SUM(Ethernet!N17:N17)</f>
        <v>0</v>
      </c>
      <c r="M486" s="131">
        <f>SUM(Ethernet!O17:O17)</f>
        <v>0</v>
      </c>
      <c r="N486" s="165" t="str">
        <f>B486</f>
        <v>Short Reach (100m/300m)</v>
      </c>
      <c r="O486" s="104">
        <f>SUM(Ethernet!E114:E114)</f>
        <v>218.49939124751745</v>
      </c>
      <c r="P486" s="104">
        <f>SUM(Ethernet!F114:F114)</f>
        <v>147.62932721428569</v>
      </c>
      <c r="Q486" s="104">
        <f>SUM(Ethernet!G114:G114)</f>
        <v>0</v>
      </c>
      <c r="R486" s="104">
        <f>SUM(Ethernet!H114:H114)</f>
        <v>0</v>
      </c>
      <c r="S486" s="104">
        <f>SUM(Ethernet!I114:I114)</f>
        <v>0</v>
      </c>
      <c r="T486" s="104">
        <f>SUM(Ethernet!J114:J114)</f>
        <v>0</v>
      </c>
      <c r="U486" s="104">
        <f>SUM(Ethernet!K114:K114)</f>
        <v>0</v>
      </c>
      <c r="V486" s="104">
        <f>SUM(Ethernet!L114:L114)</f>
        <v>0</v>
      </c>
      <c r="W486" s="104">
        <f>SUM(Ethernet!M114:M114)</f>
        <v>0</v>
      </c>
      <c r="X486" s="104">
        <f>SUM(Ethernet!N114:N114)</f>
        <v>0</v>
      </c>
      <c r="Y486" s="104">
        <f>SUM(Ethernet!O114:O114)</f>
        <v>0</v>
      </c>
      <c r="Z486" s="139" t="e">
        <f>(Y486/S486)^(1/6)-1</f>
        <v>#DIV/0!</v>
      </c>
    </row>
    <row r="487" spans="2:27">
      <c r="B487" s="22" t="s">
        <v>204</v>
      </c>
      <c r="C487" s="11">
        <f>SUM(Ethernet!E18:E20)</f>
        <v>774529</v>
      </c>
      <c r="D487" s="11">
        <f>SUM(Ethernet!F18:F20)</f>
        <v>927290</v>
      </c>
      <c r="E487" s="11">
        <f>SUM(Ethernet!G18:G20)</f>
        <v>0</v>
      </c>
      <c r="F487" s="11">
        <f>SUM(Ethernet!H18:H20)</f>
        <v>0</v>
      </c>
      <c r="G487" s="11">
        <f>SUM(Ethernet!I18:I20)</f>
        <v>0</v>
      </c>
      <c r="H487" s="11">
        <f>SUM(Ethernet!J18:J20)</f>
        <v>0</v>
      </c>
      <c r="I487" s="11">
        <f>SUM(Ethernet!K18:K20)</f>
        <v>0</v>
      </c>
      <c r="J487" s="11">
        <f>SUM(Ethernet!L18:L20)</f>
        <v>0</v>
      </c>
      <c r="K487" s="11">
        <f>SUM(Ethernet!M18:M20)</f>
        <v>0</v>
      </c>
      <c r="L487" s="11">
        <f>SUM(Ethernet!N18:N20)</f>
        <v>0</v>
      </c>
      <c r="M487" s="11">
        <f>SUM(Ethernet!O18:O20)</f>
        <v>0</v>
      </c>
      <c r="N487" s="22" t="str">
        <f>B487</f>
        <v>Intermediate Reach (0.5-2 km)</v>
      </c>
      <c r="O487" s="64">
        <f>SUM(Ethernet!E115:E117)</f>
        <v>209.10543025999999</v>
      </c>
      <c r="P487" s="64">
        <f>SUM(Ethernet!F115:F117)</f>
        <v>222.92360288588327</v>
      </c>
      <c r="Q487" s="64">
        <f>SUM(Ethernet!G115:G117)</f>
        <v>0</v>
      </c>
      <c r="R487" s="64">
        <f>SUM(Ethernet!H115:H117)</f>
        <v>0</v>
      </c>
      <c r="S487" s="64">
        <f>SUM(Ethernet!I115:I117)</f>
        <v>0</v>
      </c>
      <c r="T487" s="64">
        <f>SUM(Ethernet!J115:J117)</f>
        <v>0</v>
      </c>
      <c r="U487" s="64">
        <f>SUM(Ethernet!K115:K117)</f>
        <v>0</v>
      </c>
      <c r="V487" s="64">
        <f>SUM(Ethernet!L115:L117)</f>
        <v>0</v>
      </c>
      <c r="W487" s="64">
        <f>SUM(Ethernet!M115:M117)</f>
        <v>0</v>
      </c>
      <c r="X487" s="64">
        <f>SUM(Ethernet!N115:N117)</f>
        <v>0</v>
      </c>
      <c r="Y487" s="64">
        <f>SUM(Ethernet!O115:O117)</f>
        <v>0</v>
      </c>
      <c r="Z487" s="140" t="e">
        <f>(Y487/S487)^(1/6)-1</f>
        <v>#DIV/0!</v>
      </c>
    </row>
    <row r="488" spans="2:27">
      <c r="B488" s="22" t="s">
        <v>192</v>
      </c>
      <c r="C488" s="11">
        <f>SUM(Ethernet!E21:E21)</f>
        <v>269337</v>
      </c>
      <c r="D488" s="11">
        <f>SUM(Ethernet!F21:F21)</f>
        <v>345066</v>
      </c>
      <c r="E488" s="11">
        <f>SUM(Ethernet!G21:G21)</f>
        <v>0</v>
      </c>
      <c r="F488" s="11">
        <f>SUM(Ethernet!H21:H21)</f>
        <v>0</v>
      </c>
      <c r="G488" s="11">
        <f>SUM(Ethernet!I21:I21)</f>
        <v>0</v>
      </c>
      <c r="H488" s="11">
        <f>SUM(Ethernet!J21:J21)</f>
        <v>0</v>
      </c>
      <c r="I488" s="11">
        <f>SUM(Ethernet!K21:K21)</f>
        <v>0</v>
      </c>
      <c r="J488" s="11">
        <f>SUM(Ethernet!L21:L21)</f>
        <v>0</v>
      </c>
      <c r="K488" s="11">
        <f>SUM(Ethernet!M21:M21)</f>
        <v>0</v>
      </c>
      <c r="L488" s="11">
        <f>SUM(Ethernet!N21:N21)</f>
        <v>0</v>
      </c>
      <c r="M488" s="11">
        <f>SUM(Ethernet!O21:O21)</f>
        <v>0</v>
      </c>
      <c r="N488" s="22" t="s">
        <v>95</v>
      </c>
      <c r="O488" s="64">
        <f>SUM(Ethernet!E118:E118)</f>
        <v>97.438304479999957</v>
      </c>
      <c r="P488" s="64">
        <f>SUM(Ethernet!F118:F118)</f>
        <v>85.682108285300913</v>
      </c>
      <c r="Q488" s="64">
        <f>SUM(Ethernet!G118:G118)</f>
        <v>0</v>
      </c>
      <c r="R488" s="64">
        <f>SUM(Ethernet!H118:H118)</f>
        <v>0</v>
      </c>
      <c r="S488" s="64">
        <f>SUM(Ethernet!I118:I118)</f>
        <v>0</v>
      </c>
      <c r="T488" s="64">
        <f>SUM(Ethernet!J118:J118)</f>
        <v>0</v>
      </c>
      <c r="U488" s="64">
        <f>SUM(Ethernet!K118:K118)</f>
        <v>0</v>
      </c>
      <c r="V488" s="64">
        <f>SUM(Ethernet!L118:L118)</f>
        <v>0</v>
      </c>
      <c r="W488" s="64">
        <f>SUM(Ethernet!M118:M118)</f>
        <v>0</v>
      </c>
      <c r="X488" s="64">
        <f>SUM(Ethernet!N118:N118)</f>
        <v>0</v>
      </c>
      <c r="Y488" s="64">
        <f>SUM(Ethernet!O118:O118)</f>
        <v>0</v>
      </c>
      <c r="Z488" s="140" t="e">
        <f>(Y488/S488)^(1/6)-1</f>
        <v>#DIV/0!</v>
      </c>
    </row>
    <row r="489" spans="2:27">
      <c r="B489" s="22" t="s">
        <v>193</v>
      </c>
      <c r="C489" s="206">
        <f>Ethernet!E22</f>
        <v>8224</v>
      </c>
      <c r="D489" s="206">
        <f>Ethernet!F22</f>
        <v>4475</v>
      </c>
      <c r="E489" s="206">
        <f>Ethernet!G22</f>
        <v>0</v>
      </c>
      <c r="F489" s="206">
        <f>Ethernet!H22</f>
        <v>0</v>
      </c>
      <c r="G489" s="206">
        <f>Ethernet!I22</f>
        <v>0</v>
      </c>
      <c r="H489" s="206">
        <f>Ethernet!J22</f>
        <v>0</v>
      </c>
      <c r="I489" s="206">
        <f>Ethernet!K22</f>
        <v>0</v>
      </c>
      <c r="J489" s="206">
        <f>Ethernet!L22</f>
        <v>0</v>
      </c>
      <c r="K489" s="206">
        <f>Ethernet!M22</f>
        <v>0</v>
      </c>
      <c r="L489" s="206">
        <f>Ethernet!N22</f>
        <v>0</v>
      </c>
      <c r="M489" s="206">
        <f>Ethernet!O22</f>
        <v>0</v>
      </c>
      <c r="N489" s="25" t="s">
        <v>113</v>
      </c>
      <c r="O489" s="64">
        <f>Ethernet!E119</f>
        <v>10.321537999999995</v>
      </c>
      <c r="P489" s="64">
        <f>Ethernet!F119</f>
        <v>4.001973000000004</v>
      </c>
      <c r="Q489" s="64">
        <f>Ethernet!G119</f>
        <v>0</v>
      </c>
      <c r="R489" s="64">
        <f>Ethernet!H119</f>
        <v>0</v>
      </c>
      <c r="S489" s="64">
        <f>Ethernet!I119</f>
        <v>0</v>
      </c>
      <c r="T489" s="64">
        <f>Ethernet!J119</f>
        <v>0</v>
      </c>
      <c r="U489" s="64">
        <f>Ethernet!K119</f>
        <v>0</v>
      </c>
      <c r="V489" s="64">
        <f>Ethernet!L119</f>
        <v>0</v>
      </c>
      <c r="W489" s="64">
        <f>Ethernet!M119</f>
        <v>0</v>
      </c>
      <c r="X489" s="64">
        <f>Ethernet!N119</f>
        <v>0</v>
      </c>
      <c r="Y489" s="64">
        <f>Ethernet!O119</f>
        <v>0</v>
      </c>
      <c r="Z489" s="140"/>
    </row>
    <row r="490" spans="2:27">
      <c r="B490" s="160" t="s">
        <v>93</v>
      </c>
      <c r="C490" s="167">
        <f t="shared" ref="C490:I490" si="64">SUM(C486:C489)</f>
        <v>3027900.7525500003</v>
      </c>
      <c r="D490" s="167">
        <f t="shared" si="64"/>
        <v>2689780</v>
      </c>
      <c r="E490" s="110">
        <f t="shared" si="64"/>
        <v>0</v>
      </c>
      <c r="F490" s="110">
        <f t="shared" si="64"/>
        <v>0</v>
      </c>
      <c r="G490" s="110">
        <f t="shared" si="64"/>
        <v>0</v>
      </c>
      <c r="H490" s="110">
        <f t="shared" si="64"/>
        <v>0</v>
      </c>
      <c r="I490" s="110">
        <f t="shared" si="64"/>
        <v>0</v>
      </c>
      <c r="J490" s="110">
        <f t="shared" ref="J490:M490" si="65">SUM(J486:J489)</f>
        <v>0</v>
      </c>
      <c r="K490" s="110">
        <f t="shared" si="65"/>
        <v>0</v>
      </c>
      <c r="L490" s="110">
        <f t="shared" si="65"/>
        <v>0</v>
      </c>
      <c r="M490" s="110">
        <f t="shared" si="65"/>
        <v>0</v>
      </c>
      <c r="N490" s="25" t="s">
        <v>93</v>
      </c>
      <c r="O490" s="166">
        <f t="shared" ref="O490:U490" si="66">SUM(O486:O489)</f>
        <v>535.36466398751747</v>
      </c>
      <c r="P490" s="166">
        <f t="shared" si="66"/>
        <v>460.23701138546988</v>
      </c>
      <c r="Q490" s="166">
        <f t="shared" si="66"/>
        <v>0</v>
      </c>
      <c r="R490" s="166">
        <f t="shared" si="66"/>
        <v>0</v>
      </c>
      <c r="S490" s="166">
        <f t="shared" si="66"/>
        <v>0</v>
      </c>
      <c r="T490" s="166">
        <f t="shared" si="66"/>
        <v>0</v>
      </c>
      <c r="U490" s="166">
        <f t="shared" si="66"/>
        <v>0</v>
      </c>
      <c r="V490" s="166">
        <f t="shared" ref="V490:Y490" si="67">SUM(V486:V489)</f>
        <v>0</v>
      </c>
      <c r="W490" s="166">
        <f t="shared" si="67"/>
        <v>0</v>
      </c>
      <c r="X490" s="166">
        <f t="shared" si="67"/>
        <v>0</v>
      </c>
      <c r="Y490" s="166">
        <f t="shared" si="67"/>
        <v>0</v>
      </c>
      <c r="Z490" s="144" t="e">
        <f>(Y490/S490)^(1/6)-1</f>
        <v>#DIV/0!</v>
      </c>
    </row>
    <row r="491" spans="2:27">
      <c r="B491" s="16"/>
      <c r="C491" s="31"/>
      <c r="D491" s="31"/>
      <c r="E491" s="31"/>
      <c r="F491" s="31"/>
      <c r="G491" s="31"/>
      <c r="H491" s="31"/>
      <c r="I491" s="31"/>
      <c r="J491" s="31"/>
      <c r="K491" s="31"/>
      <c r="L491" s="31"/>
      <c r="M491" s="31"/>
      <c r="N491" s="32"/>
      <c r="O491" s="16"/>
      <c r="P491" s="16"/>
      <c r="Q491" s="138"/>
      <c r="R491" s="138"/>
      <c r="S491" s="138"/>
      <c r="T491" s="138"/>
      <c r="U491" s="138"/>
      <c r="V491" s="138"/>
      <c r="W491" s="138"/>
      <c r="X491" s="138"/>
      <c r="Y491" s="138"/>
      <c r="AA491" s="138"/>
    </row>
    <row r="492" spans="2:27">
      <c r="B492" s="16"/>
      <c r="C492" s="31"/>
      <c r="D492" s="31"/>
      <c r="E492" s="31"/>
      <c r="F492" s="31"/>
      <c r="G492" s="31"/>
      <c r="H492" s="32"/>
      <c r="I492" s="32"/>
      <c r="J492" s="32"/>
      <c r="K492" s="32"/>
      <c r="L492" s="32"/>
      <c r="M492" s="32"/>
      <c r="N492" s="32"/>
      <c r="O492" s="16"/>
      <c r="P492" s="16"/>
      <c r="Q492" s="138"/>
      <c r="R492" s="138"/>
      <c r="S492" s="138"/>
      <c r="T492" s="138"/>
      <c r="U492" s="138"/>
      <c r="V492" s="138"/>
      <c r="W492" s="138"/>
      <c r="X492" s="138"/>
      <c r="Y492" s="138"/>
      <c r="AA492" s="138"/>
    </row>
    <row r="493" spans="2:27" ht="15.6">
      <c r="B493" s="78" t="s">
        <v>216</v>
      </c>
      <c r="C493" s="31"/>
      <c r="D493" s="31"/>
      <c r="E493" s="31"/>
      <c r="F493" s="31"/>
      <c r="G493" s="31"/>
      <c r="H493" s="32"/>
      <c r="I493" s="32"/>
      <c r="J493" s="32"/>
      <c r="K493" s="32"/>
      <c r="L493" s="32"/>
      <c r="M493" s="32"/>
      <c r="N493" s="78" t="s">
        <v>217</v>
      </c>
      <c r="O493" s="16"/>
      <c r="P493" s="16"/>
      <c r="Q493" s="138"/>
      <c r="R493" s="138"/>
      <c r="S493" s="138"/>
      <c r="T493" s="138"/>
      <c r="U493" s="138"/>
      <c r="V493" s="138"/>
      <c r="W493" s="138"/>
      <c r="X493" s="138"/>
      <c r="Y493" s="138"/>
      <c r="AA493" s="138"/>
    </row>
    <row r="494" spans="2:27">
      <c r="B494" s="16"/>
      <c r="C494" s="31"/>
      <c r="D494" s="31"/>
      <c r="E494" s="31"/>
      <c r="F494" s="31"/>
      <c r="G494" s="31"/>
      <c r="H494" s="32"/>
      <c r="I494" s="32"/>
      <c r="J494" s="32"/>
      <c r="K494" s="32"/>
      <c r="L494" s="32"/>
      <c r="M494" s="32"/>
      <c r="N494" s="32"/>
      <c r="O494" s="16"/>
      <c r="P494" s="16"/>
      <c r="Q494" s="138"/>
      <c r="R494" s="138"/>
      <c r="S494" s="138"/>
      <c r="T494" s="138"/>
      <c r="U494" s="138"/>
      <c r="V494" s="138"/>
      <c r="W494" s="138"/>
      <c r="X494" s="138"/>
      <c r="Y494" s="138"/>
      <c r="AA494" s="138"/>
    </row>
    <row r="495" spans="2:27">
      <c r="B495" s="16"/>
      <c r="C495" s="31"/>
      <c r="D495" s="31"/>
      <c r="E495" s="31"/>
      <c r="F495" s="31"/>
      <c r="G495" s="31"/>
      <c r="H495" s="32"/>
      <c r="I495" s="32"/>
      <c r="J495" s="32"/>
      <c r="K495" s="32"/>
      <c r="L495" s="32"/>
      <c r="M495" s="32"/>
      <c r="N495" s="32"/>
      <c r="O495" s="16"/>
      <c r="P495" s="16"/>
      <c r="Q495" s="138"/>
      <c r="R495" s="138"/>
      <c r="S495" s="138"/>
      <c r="T495" s="138"/>
      <c r="U495" s="138"/>
      <c r="V495" s="138"/>
      <c r="W495" s="138"/>
      <c r="X495" s="138"/>
      <c r="Y495" s="138"/>
      <c r="AA495" s="138"/>
    </row>
    <row r="496" spans="2:27">
      <c r="B496" s="16"/>
      <c r="C496" s="31"/>
      <c r="D496" s="31"/>
      <c r="E496" s="31"/>
      <c r="F496" s="31"/>
      <c r="G496" s="31"/>
      <c r="H496" s="32"/>
      <c r="I496" s="32"/>
      <c r="J496" s="32"/>
      <c r="K496" s="32"/>
      <c r="L496" s="32"/>
      <c r="M496" s="32"/>
      <c r="N496" s="32"/>
      <c r="O496" s="16"/>
      <c r="P496" s="16"/>
      <c r="Q496" s="138"/>
      <c r="R496" s="138"/>
      <c r="S496" s="138"/>
      <c r="T496" s="138"/>
      <c r="U496" s="138"/>
      <c r="V496" s="138"/>
      <c r="W496" s="138"/>
      <c r="X496" s="138"/>
      <c r="Y496" s="138"/>
      <c r="AA496" s="138"/>
    </row>
    <row r="497" spans="2:27">
      <c r="B497" s="16"/>
      <c r="C497" s="31"/>
      <c r="D497" s="31"/>
      <c r="E497" s="31"/>
      <c r="F497" s="31"/>
      <c r="G497" s="31"/>
      <c r="H497" s="32"/>
      <c r="I497" s="32"/>
      <c r="J497" s="32"/>
      <c r="K497" s="32"/>
      <c r="L497" s="32"/>
      <c r="M497" s="32"/>
      <c r="N497" s="32"/>
      <c r="O497" s="16"/>
      <c r="P497" s="16"/>
      <c r="Q497" s="138"/>
      <c r="R497" s="138"/>
      <c r="S497" s="138"/>
      <c r="T497" s="138"/>
      <c r="U497" s="138"/>
      <c r="V497" s="138"/>
      <c r="W497" s="138"/>
      <c r="X497" s="138"/>
      <c r="Y497" s="138"/>
      <c r="AA497" s="138"/>
    </row>
    <row r="498" spans="2:27">
      <c r="B498" s="16"/>
      <c r="C498" s="31"/>
      <c r="D498" s="31"/>
      <c r="E498" s="31"/>
      <c r="F498" s="31"/>
      <c r="G498" s="31"/>
      <c r="H498" s="32"/>
      <c r="I498" s="32"/>
      <c r="J498" s="32"/>
      <c r="K498" s="32"/>
      <c r="L498" s="32"/>
      <c r="M498" s="32"/>
      <c r="N498" s="32"/>
      <c r="O498" s="16"/>
      <c r="P498" s="16"/>
      <c r="Q498" s="138"/>
      <c r="R498" s="138"/>
      <c r="S498" s="138"/>
      <c r="T498" s="138"/>
      <c r="U498" s="138"/>
      <c r="V498" s="138"/>
      <c r="W498" s="138"/>
      <c r="X498" s="138"/>
      <c r="Y498" s="138"/>
      <c r="AA498" s="138"/>
    </row>
    <row r="499" spans="2:27">
      <c r="B499" s="16"/>
      <c r="C499" s="31"/>
      <c r="D499" s="31"/>
      <c r="E499" s="31"/>
      <c r="F499" s="31"/>
      <c r="G499" s="31"/>
      <c r="H499" s="32"/>
      <c r="I499" s="32"/>
      <c r="J499" s="32"/>
      <c r="K499" s="32"/>
      <c r="L499" s="32"/>
      <c r="M499" s="32"/>
      <c r="N499" s="32"/>
      <c r="O499" s="16"/>
      <c r="P499" s="16"/>
      <c r="Q499" s="138"/>
      <c r="R499" s="138"/>
      <c r="S499" s="138"/>
      <c r="T499" s="138"/>
      <c r="U499" s="138"/>
      <c r="V499" s="138"/>
      <c r="W499" s="138"/>
      <c r="X499" s="138"/>
      <c r="Y499" s="138"/>
      <c r="AA499" s="138"/>
    </row>
    <row r="500" spans="2:27">
      <c r="B500" s="16"/>
      <c r="C500" s="31"/>
      <c r="D500" s="31"/>
      <c r="E500" s="31"/>
      <c r="F500" s="31"/>
      <c r="G500" s="31"/>
      <c r="H500" s="32"/>
      <c r="I500" s="32"/>
      <c r="J500" s="32"/>
      <c r="K500" s="32"/>
      <c r="L500" s="32"/>
      <c r="M500" s="32"/>
      <c r="N500" s="32"/>
      <c r="O500" s="16"/>
      <c r="P500" s="16"/>
      <c r="Q500" s="138"/>
      <c r="R500" s="138"/>
      <c r="S500" s="138"/>
      <c r="T500" s="138"/>
      <c r="U500" s="138"/>
      <c r="V500" s="138"/>
      <c r="W500" s="138"/>
      <c r="X500" s="138"/>
      <c r="Y500" s="138"/>
      <c r="AA500" s="138"/>
    </row>
    <row r="501" spans="2:27">
      <c r="B501" s="16"/>
      <c r="C501" s="31"/>
      <c r="D501" s="31"/>
      <c r="E501" s="31"/>
      <c r="F501" s="31"/>
      <c r="G501" s="31"/>
      <c r="H501" s="32"/>
      <c r="I501" s="32"/>
      <c r="J501" s="32"/>
      <c r="K501" s="32"/>
      <c r="L501" s="32"/>
      <c r="M501" s="32"/>
      <c r="N501" s="32"/>
      <c r="O501" s="16"/>
      <c r="P501" s="16"/>
      <c r="Q501" s="138"/>
      <c r="R501" s="138"/>
      <c r="S501" s="138"/>
      <c r="T501" s="138"/>
      <c r="U501" s="138"/>
      <c r="V501" s="138"/>
      <c r="W501" s="138"/>
      <c r="X501" s="138"/>
      <c r="Y501" s="138"/>
      <c r="AA501" s="138"/>
    </row>
    <row r="502" spans="2:27">
      <c r="B502" s="16"/>
      <c r="C502" s="31"/>
      <c r="D502" s="31"/>
      <c r="E502" s="31"/>
      <c r="F502" s="31"/>
      <c r="G502" s="31"/>
      <c r="H502" s="32"/>
      <c r="I502" s="32"/>
      <c r="J502" s="32"/>
      <c r="K502" s="32"/>
      <c r="L502" s="32"/>
      <c r="M502" s="32"/>
      <c r="N502" s="32"/>
      <c r="O502" s="16"/>
      <c r="P502" s="16"/>
      <c r="Q502" s="138"/>
      <c r="R502" s="138"/>
      <c r="S502" s="138"/>
      <c r="T502" s="138"/>
      <c r="U502" s="138"/>
      <c r="V502" s="138"/>
      <c r="W502" s="138"/>
      <c r="X502" s="138"/>
      <c r="Y502" s="138"/>
      <c r="AA502" s="138"/>
    </row>
    <row r="503" spans="2:27">
      <c r="B503" s="16"/>
      <c r="C503" s="31"/>
      <c r="D503" s="31"/>
      <c r="E503" s="31"/>
      <c r="F503" s="31"/>
      <c r="G503" s="31"/>
      <c r="H503" s="32"/>
      <c r="I503" s="32"/>
      <c r="J503" s="32"/>
      <c r="K503" s="32"/>
      <c r="L503" s="32"/>
      <c r="M503" s="32"/>
      <c r="N503" s="32"/>
      <c r="O503" s="16"/>
      <c r="P503" s="16"/>
      <c r="Q503" s="138"/>
      <c r="R503" s="138"/>
      <c r="S503" s="138"/>
      <c r="T503" s="138"/>
      <c r="U503" s="138"/>
      <c r="V503" s="138"/>
      <c r="W503" s="138"/>
      <c r="X503" s="138"/>
      <c r="Y503" s="138"/>
      <c r="AA503" s="138"/>
    </row>
    <row r="504" spans="2:27">
      <c r="B504" s="16"/>
      <c r="C504" s="31"/>
      <c r="D504" s="31"/>
      <c r="E504" s="31"/>
      <c r="F504" s="31"/>
      <c r="G504" s="31"/>
      <c r="H504" s="32"/>
      <c r="I504" s="32"/>
      <c r="J504" s="32"/>
      <c r="K504" s="32"/>
      <c r="L504" s="32"/>
      <c r="M504" s="32"/>
      <c r="N504" s="32"/>
      <c r="O504" s="16"/>
      <c r="P504" s="16"/>
      <c r="Q504" s="138"/>
      <c r="R504" s="138"/>
      <c r="S504" s="138"/>
      <c r="T504" s="138"/>
      <c r="U504" s="138"/>
      <c r="V504" s="138"/>
      <c r="W504" s="138"/>
      <c r="X504" s="138"/>
      <c r="Y504" s="138"/>
      <c r="AA504" s="138"/>
    </row>
    <row r="505" spans="2:27">
      <c r="B505" s="16"/>
      <c r="C505" s="31"/>
      <c r="D505" s="31"/>
      <c r="E505" s="31"/>
      <c r="F505" s="31"/>
      <c r="G505" s="31"/>
      <c r="H505" s="32"/>
      <c r="I505" s="32"/>
      <c r="J505" s="32"/>
      <c r="K505" s="32"/>
      <c r="L505" s="32"/>
      <c r="M505" s="32"/>
      <c r="N505" s="32"/>
      <c r="O505" s="16"/>
      <c r="P505" s="16"/>
      <c r="Q505" s="138"/>
      <c r="R505" s="138"/>
      <c r="S505" s="138"/>
      <c r="T505" s="138"/>
      <c r="U505" s="138"/>
      <c r="V505" s="138"/>
      <c r="W505" s="138"/>
      <c r="X505" s="138"/>
      <c r="Y505" s="138"/>
      <c r="AA505" s="138"/>
    </row>
    <row r="506" spans="2:27">
      <c r="B506" s="16"/>
      <c r="C506" s="31"/>
      <c r="D506" s="31"/>
      <c r="E506" s="31"/>
      <c r="F506" s="31"/>
      <c r="G506" s="31"/>
      <c r="H506" s="32"/>
      <c r="I506" s="32"/>
      <c r="J506" s="32"/>
      <c r="K506" s="32"/>
      <c r="L506" s="32"/>
      <c r="M506" s="32"/>
      <c r="N506" s="32"/>
      <c r="O506" s="16"/>
      <c r="P506" s="16"/>
      <c r="Q506" s="138"/>
      <c r="R506" s="138"/>
      <c r="S506" s="138"/>
      <c r="T506" s="138"/>
      <c r="U506" s="138"/>
      <c r="V506" s="138"/>
      <c r="W506" s="138"/>
      <c r="X506" s="138"/>
      <c r="Y506" s="138"/>
      <c r="AA506" s="138"/>
    </row>
    <row r="507" spans="2:27">
      <c r="B507" s="16"/>
      <c r="C507" s="31"/>
      <c r="D507" s="31"/>
      <c r="E507" s="31"/>
      <c r="F507" s="31"/>
      <c r="G507" s="31"/>
      <c r="H507" s="32"/>
      <c r="I507" s="32"/>
      <c r="J507" s="32"/>
      <c r="K507" s="32"/>
      <c r="L507" s="32"/>
      <c r="M507" s="32"/>
      <c r="N507" s="32"/>
      <c r="O507" s="16"/>
      <c r="P507" s="16"/>
      <c r="Q507" s="138"/>
      <c r="R507" s="138"/>
      <c r="S507" s="138"/>
      <c r="T507" s="138"/>
      <c r="U507" s="138"/>
      <c r="V507" s="138"/>
      <c r="W507" s="138"/>
      <c r="X507" s="138"/>
      <c r="Y507" s="138"/>
      <c r="AA507" s="138"/>
    </row>
    <row r="508" spans="2:27">
      <c r="B508" s="16"/>
      <c r="C508" s="31"/>
      <c r="D508" s="31"/>
      <c r="E508" s="31"/>
      <c r="F508" s="31"/>
      <c r="G508" s="31"/>
      <c r="H508" s="32"/>
      <c r="I508" s="32"/>
      <c r="J508" s="32"/>
      <c r="K508" s="32"/>
      <c r="L508" s="32"/>
      <c r="M508" s="32"/>
      <c r="N508" s="32"/>
      <c r="O508" s="16"/>
      <c r="P508" s="16"/>
      <c r="Q508" s="138"/>
      <c r="R508" s="138"/>
      <c r="S508" s="138"/>
      <c r="T508" s="138"/>
      <c r="U508" s="138"/>
      <c r="V508" s="138"/>
      <c r="W508" s="138"/>
      <c r="X508" s="138"/>
      <c r="Y508" s="138"/>
      <c r="AA508" s="138"/>
    </row>
    <row r="509" spans="2:27" ht="15.6">
      <c r="B509" s="50"/>
      <c r="C509" s="31"/>
      <c r="D509" s="31"/>
      <c r="E509" s="31"/>
      <c r="F509" s="31"/>
      <c r="G509" s="31"/>
      <c r="H509" s="32"/>
      <c r="I509" s="32"/>
      <c r="J509" s="32"/>
      <c r="K509" s="32"/>
      <c r="L509" s="32"/>
      <c r="M509" s="32"/>
      <c r="N509" s="32"/>
      <c r="O509" s="16"/>
      <c r="P509" s="16"/>
      <c r="Q509" s="138"/>
      <c r="R509" s="138"/>
      <c r="S509" s="138"/>
      <c r="T509" s="138"/>
      <c r="U509" s="138"/>
      <c r="V509" s="138"/>
      <c r="W509" s="138"/>
      <c r="X509" s="138"/>
      <c r="Y509" s="138"/>
      <c r="AA509" s="138"/>
    </row>
    <row r="510" spans="2:27">
      <c r="B510" s="16"/>
      <c r="C510" s="31"/>
      <c r="D510" s="31"/>
      <c r="E510" s="31"/>
      <c r="F510" s="31"/>
      <c r="G510" s="31"/>
      <c r="H510" s="32"/>
      <c r="I510" s="32"/>
      <c r="J510" s="32"/>
      <c r="K510" s="32"/>
      <c r="L510" s="32"/>
      <c r="M510" s="32"/>
      <c r="N510" s="32"/>
      <c r="O510" s="16"/>
      <c r="P510" s="16"/>
      <c r="Q510" s="138"/>
      <c r="R510" s="138"/>
      <c r="S510" s="138"/>
      <c r="T510" s="138"/>
      <c r="U510" s="138"/>
      <c r="V510" s="138"/>
      <c r="W510" s="138"/>
      <c r="X510" s="138"/>
      <c r="Y510" s="138"/>
      <c r="AA510" s="138"/>
    </row>
    <row r="511" spans="2:27">
      <c r="B511" s="16"/>
      <c r="C511" s="31"/>
      <c r="D511" s="31"/>
      <c r="E511" s="31"/>
      <c r="F511" s="31"/>
      <c r="G511" s="31"/>
      <c r="H511" s="32"/>
      <c r="I511" s="32"/>
      <c r="J511" s="32"/>
      <c r="K511" s="32"/>
      <c r="L511" s="32"/>
      <c r="M511" s="32"/>
      <c r="N511" s="32"/>
      <c r="O511" s="16"/>
      <c r="P511" s="16"/>
      <c r="Q511" s="138"/>
      <c r="R511" s="138"/>
      <c r="S511" s="138"/>
      <c r="T511" s="138"/>
      <c r="U511" s="138"/>
      <c r="V511" s="138"/>
      <c r="W511" s="138"/>
      <c r="X511" s="138"/>
      <c r="Y511" s="138"/>
      <c r="AA511" s="138"/>
    </row>
    <row r="512" spans="2:27">
      <c r="B512" s="16"/>
      <c r="C512" s="31"/>
      <c r="D512" s="31"/>
      <c r="E512" s="31"/>
      <c r="F512" s="31"/>
      <c r="G512" s="31"/>
      <c r="H512" s="32"/>
      <c r="I512" s="32"/>
      <c r="J512" s="32"/>
      <c r="K512" s="32"/>
      <c r="L512" s="32"/>
      <c r="M512" s="32"/>
      <c r="N512" s="32"/>
      <c r="O512" s="16"/>
      <c r="P512" s="16"/>
      <c r="Q512" s="138"/>
      <c r="R512" s="138"/>
      <c r="S512" s="138"/>
      <c r="T512" s="138"/>
      <c r="U512" s="138"/>
      <c r="V512" s="138"/>
      <c r="W512" s="138"/>
      <c r="X512" s="138"/>
      <c r="Y512" s="138"/>
      <c r="AA512" s="138"/>
    </row>
    <row r="513" spans="1:29" ht="15.6">
      <c r="B513" s="77" t="s">
        <v>218</v>
      </c>
      <c r="C513" s="54"/>
      <c r="D513" s="54"/>
      <c r="E513" s="54"/>
      <c r="F513" s="54"/>
      <c r="G513" s="54"/>
      <c r="H513" s="60"/>
      <c r="I513" s="60"/>
      <c r="J513" s="60"/>
      <c r="K513" s="60"/>
      <c r="L513" s="60"/>
      <c r="M513" s="60"/>
      <c r="N513" s="78" t="s">
        <v>219</v>
      </c>
      <c r="O513" s="16"/>
      <c r="P513" s="138"/>
      <c r="Z513" s="118" t="s">
        <v>2</v>
      </c>
    </row>
    <row r="514" spans="1:29">
      <c r="B514" s="158" t="s">
        <v>12</v>
      </c>
      <c r="C514" s="117">
        <v>2018</v>
      </c>
      <c r="D514" s="103">
        <v>2019</v>
      </c>
      <c r="E514" s="103">
        <v>2020</v>
      </c>
      <c r="F514" s="103">
        <v>2021</v>
      </c>
      <c r="G514" s="103">
        <v>2022</v>
      </c>
      <c r="H514" s="103">
        <v>2023</v>
      </c>
      <c r="I514" s="103">
        <v>2024</v>
      </c>
      <c r="J514" s="103">
        <v>2025</v>
      </c>
      <c r="K514" s="103">
        <v>2026</v>
      </c>
      <c r="L514" s="103">
        <v>2027</v>
      </c>
      <c r="M514" s="103">
        <v>2028</v>
      </c>
      <c r="N514" s="158" t="s">
        <v>12</v>
      </c>
      <c r="O514" s="117">
        <v>2018</v>
      </c>
      <c r="P514" s="117">
        <v>2019</v>
      </c>
      <c r="Q514" s="117">
        <v>2020</v>
      </c>
      <c r="R514" s="117">
        <v>2021</v>
      </c>
      <c r="S514" s="117">
        <v>2022</v>
      </c>
      <c r="T514" s="117">
        <v>2023</v>
      </c>
      <c r="U514" s="117">
        <v>2024</v>
      </c>
      <c r="V514" s="117">
        <v>2025</v>
      </c>
      <c r="W514" s="117">
        <v>2026</v>
      </c>
      <c r="X514" s="117">
        <v>2027</v>
      </c>
      <c r="Y514" s="117">
        <v>2028</v>
      </c>
      <c r="Z514" s="103" t="str">
        <f>$Z$139</f>
        <v>2022-2028</v>
      </c>
    </row>
    <row r="515" spans="1:29">
      <c r="B515" s="22" t="s">
        <v>205</v>
      </c>
      <c r="C515" s="107">
        <f>Ethernet!E26</f>
        <v>2082911</v>
      </c>
      <c r="D515" s="107">
        <f>Ethernet!F26</f>
        <v>2208207.8911414719</v>
      </c>
      <c r="E515" s="107">
        <f>Ethernet!G26</f>
        <v>0</v>
      </c>
      <c r="F515" s="107">
        <f>Ethernet!H26</f>
        <v>0</v>
      </c>
      <c r="G515" s="107">
        <f>Ethernet!I26</f>
        <v>0</v>
      </c>
      <c r="H515" s="107">
        <f>Ethernet!J26</f>
        <v>0</v>
      </c>
      <c r="I515" s="107">
        <f>Ethernet!K26</f>
        <v>0</v>
      </c>
      <c r="J515" s="107">
        <f>Ethernet!L26</f>
        <v>0</v>
      </c>
      <c r="K515" s="107">
        <f>Ethernet!M26</f>
        <v>0</v>
      </c>
      <c r="L515" s="107">
        <f>Ethernet!N26</f>
        <v>0</v>
      </c>
      <c r="M515" s="107">
        <f>Ethernet!O26</f>
        <v>0</v>
      </c>
      <c r="N515" s="35" t="str">
        <f>B515</f>
        <v>Short Reach (100m)</v>
      </c>
      <c r="O515" s="104">
        <f>Ethernet!E123</f>
        <v>251.93335254689399</v>
      </c>
      <c r="P515" s="104">
        <f>Ethernet!F123</f>
        <v>221.36042718562368</v>
      </c>
      <c r="Q515" s="104">
        <f>Ethernet!G123</f>
        <v>0</v>
      </c>
      <c r="R515" s="104">
        <f>Ethernet!H123</f>
        <v>0</v>
      </c>
      <c r="S515" s="104">
        <f>Ethernet!I123</f>
        <v>0</v>
      </c>
      <c r="T515" s="104">
        <f>Ethernet!J123</f>
        <v>0</v>
      </c>
      <c r="U515" s="104">
        <f>Ethernet!K123</f>
        <v>0</v>
      </c>
      <c r="V515" s="104">
        <f>Ethernet!L123</f>
        <v>0</v>
      </c>
      <c r="W515" s="104">
        <f>Ethernet!M123</f>
        <v>0</v>
      </c>
      <c r="X515" s="104">
        <f>Ethernet!N123</f>
        <v>0</v>
      </c>
      <c r="Y515" s="104">
        <f>Ethernet!O123</f>
        <v>0</v>
      </c>
      <c r="Z515" s="139" t="e">
        <f>(Y515/S515)^(1/6)-1</f>
        <v>#DIV/0!</v>
      </c>
    </row>
    <row r="516" spans="1:29">
      <c r="B516" s="22" t="s">
        <v>204</v>
      </c>
      <c r="C516" s="69">
        <f>SUM(Ethernet!E27:E30)</f>
        <v>3483603.6190476189</v>
      </c>
      <c r="D516" s="69">
        <f>SUM(Ethernet!F27:F30)</f>
        <v>4947342</v>
      </c>
      <c r="E516" s="69">
        <f>SUM(Ethernet!G27:G30)</f>
        <v>0</v>
      </c>
      <c r="F516" s="69">
        <f>SUM(Ethernet!H27:H30)</f>
        <v>0</v>
      </c>
      <c r="G516" s="69">
        <f>SUM(Ethernet!I27:I30)</f>
        <v>0</v>
      </c>
      <c r="H516" s="69">
        <f>SUM(Ethernet!J27:J30)</f>
        <v>0</v>
      </c>
      <c r="I516" s="69">
        <f>SUM(Ethernet!K27:K30)</f>
        <v>0</v>
      </c>
      <c r="J516" s="69">
        <f>SUM(Ethernet!L27:L30)</f>
        <v>0</v>
      </c>
      <c r="K516" s="69">
        <f>SUM(Ethernet!M27:M30)</f>
        <v>0</v>
      </c>
      <c r="L516" s="69">
        <f>SUM(Ethernet!N27:N30)</f>
        <v>0</v>
      </c>
      <c r="M516" s="69">
        <f>SUM(Ethernet!O27:O30)</f>
        <v>0</v>
      </c>
      <c r="N516" s="33" t="str">
        <f>B487</f>
        <v>Intermediate Reach (0.5-2 km)</v>
      </c>
      <c r="O516" s="64">
        <f>SUM(Ethernet!E124:E127)</f>
        <v>1320.3843113333332</v>
      </c>
      <c r="P516" s="64">
        <f>SUM(Ethernet!F124:F127)</f>
        <v>1018.1696307919852</v>
      </c>
      <c r="Q516" s="64">
        <f>SUM(Ethernet!G124:G127)</f>
        <v>0</v>
      </c>
      <c r="R516" s="64">
        <f>SUM(Ethernet!H124:H127)</f>
        <v>0</v>
      </c>
      <c r="S516" s="64">
        <f>SUM(Ethernet!I124:I127)</f>
        <v>0</v>
      </c>
      <c r="T516" s="64">
        <f>SUM(Ethernet!J124:J127)</f>
        <v>0</v>
      </c>
      <c r="U516" s="64">
        <f>SUM(Ethernet!K124:K127)</f>
        <v>0</v>
      </c>
      <c r="V516" s="64">
        <f>SUM(Ethernet!L124:L127)</f>
        <v>0</v>
      </c>
      <c r="W516" s="64">
        <f>SUM(Ethernet!M124:M127)</f>
        <v>0</v>
      </c>
      <c r="X516" s="64">
        <f>SUM(Ethernet!N124:N127)</f>
        <v>0</v>
      </c>
      <c r="Y516" s="64">
        <f>SUM(Ethernet!O124:O127)</f>
        <v>0</v>
      </c>
      <c r="Z516" s="140" t="e">
        <f>(Y516/S516)^(1/6)-1</f>
        <v>#DIV/0!</v>
      </c>
    </row>
    <row r="517" spans="1:29">
      <c r="B517" s="22" t="str">
        <f>B488</f>
        <v>Long Reach (10 km)</v>
      </c>
      <c r="C517" s="69">
        <f>Ethernet!E31</f>
        <v>610404.1176470588</v>
      </c>
      <c r="D517" s="69">
        <f>Ethernet!F31</f>
        <v>726058</v>
      </c>
      <c r="E517" s="69">
        <f>Ethernet!G31</f>
        <v>0</v>
      </c>
      <c r="F517" s="69">
        <f>Ethernet!H31</f>
        <v>0</v>
      </c>
      <c r="G517" s="69">
        <f>Ethernet!I31</f>
        <v>0</v>
      </c>
      <c r="H517" s="69">
        <f>Ethernet!J31</f>
        <v>0</v>
      </c>
      <c r="I517" s="69">
        <f>Ethernet!K31</f>
        <v>0</v>
      </c>
      <c r="J517" s="69">
        <f>Ethernet!L31</f>
        <v>0</v>
      </c>
      <c r="K517" s="69">
        <f>Ethernet!M31</f>
        <v>0</v>
      </c>
      <c r="L517" s="69">
        <f>Ethernet!N31</f>
        <v>0</v>
      </c>
      <c r="M517" s="69">
        <f>Ethernet!O31</f>
        <v>0</v>
      </c>
      <c r="N517" s="33" t="str">
        <f>B488</f>
        <v>Long Reach (10 km)</v>
      </c>
      <c r="O517" s="64">
        <f>Ethernet!E128</f>
        <v>544.44552501424255</v>
      </c>
      <c r="P517" s="64">
        <f>Ethernet!F128</f>
        <v>409.4246331506863</v>
      </c>
      <c r="Q517" s="64">
        <f>Ethernet!G128</f>
        <v>0</v>
      </c>
      <c r="R517" s="64">
        <f>Ethernet!H128</f>
        <v>0</v>
      </c>
      <c r="S517" s="64">
        <f>Ethernet!I128</f>
        <v>0</v>
      </c>
      <c r="T517" s="64">
        <f>Ethernet!J128</f>
        <v>0</v>
      </c>
      <c r="U517" s="64">
        <f>Ethernet!K128</f>
        <v>0</v>
      </c>
      <c r="V517" s="64">
        <f>Ethernet!L128</f>
        <v>0</v>
      </c>
      <c r="W517" s="64">
        <f>Ethernet!M128</f>
        <v>0</v>
      </c>
      <c r="X517" s="64">
        <f>Ethernet!N128</f>
        <v>0</v>
      </c>
      <c r="Y517" s="64">
        <f>Ethernet!O128</f>
        <v>0</v>
      </c>
      <c r="Z517" s="140" t="e">
        <f>(Y517/S517)^(1/6)-1</f>
        <v>#DIV/0!</v>
      </c>
    </row>
    <row r="518" spans="1:29">
      <c r="B518" s="22" t="str">
        <f>B489</f>
        <v>Extended Reach (40 km)</v>
      </c>
      <c r="C518" s="68">
        <f>Ethernet!E32</f>
        <v>10100</v>
      </c>
      <c r="D518" s="68">
        <f>Ethernet!F32</f>
        <v>26734</v>
      </c>
      <c r="E518" s="68">
        <f>Ethernet!G32</f>
        <v>0</v>
      </c>
      <c r="F518" s="68">
        <f>Ethernet!H32</f>
        <v>0</v>
      </c>
      <c r="G518" s="68">
        <f>Ethernet!I32</f>
        <v>0</v>
      </c>
      <c r="H518" s="68">
        <f>Ethernet!J32</f>
        <v>0</v>
      </c>
      <c r="I518" s="68">
        <f>Ethernet!K32</f>
        <v>0</v>
      </c>
      <c r="J518" s="68">
        <f>Ethernet!L32</f>
        <v>0</v>
      </c>
      <c r="K518" s="68">
        <f>Ethernet!M32</f>
        <v>0</v>
      </c>
      <c r="L518" s="68">
        <f>Ethernet!N32</f>
        <v>0</v>
      </c>
      <c r="M518" s="68">
        <f>Ethernet!O32</f>
        <v>0</v>
      </c>
      <c r="N518" s="22" t="str">
        <f>B489</f>
        <v>Extended Reach (40 km)</v>
      </c>
      <c r="O518" s="65">
        <f>Ethernet!E129</f>
        <v>38.842078210703875</v>
      </c>
      <c r="P518" s="65">
        <f>Ethernet!F129</f>
        <v>69.339004041108097</v>
      </c>
      <c r="Q518" s="65">
        <f>Ethernet!G129</f>
        <v>0</v>
      </c>
      <c r="R518" s="65">
        <f>Ethernet!H129</f>
        <v>0</v>
      </c>
      <c r="S518" s="65">
        <f>Ethernet!I129</f>
        <v>0</v>
      </c>
      <c r="T518" s="65">
        <f>Ethernet!J129</f>
        <v>0</v>
      </c>
      <c r="U518" s="65">
        <f>Ethernet!K129</f>
        <v>0</v>
      </c>
      <c r="V518" s="65">
        <f>Ethernet!L129</f>
        <v>0</v>
      </c>
      <c r="W518" s="65">
        <f>Ethernet!M129</f>
        <v>0</v>
      </c>
      <c r="X518" s="65">
        <f>Ethernet!N129</f>
        <v>0</v>
      </c>
      <c r="Y518" s="65">
        <f>Ethernet!O129</f>
        <v>0</v>
      </c>
      <c r="Z518" s="140" t="e">
        <f>(Y518/S518)^(1/6)-1</f>
        <v>#DIV/0!</v>
      </c>
    </row>
    <row r="519" spans="1:29">
      <c r="B519" s="160" t="s">
        <v>93</v>
      </c>
      <c r="C519" s="106">
        <f>SUM(C515:C518)</f>
        <v>6187018.7366946787</v>
      </c>
      <c r="D519" s="106">
        <f t="shared" ref="D519:I519" si="68">SUM(D515:D518)</f>
        <v>7908341.8911414724</v>
      </c>
      <c r="E519" s="106">
        <f t="shared" si="68"/>
        <v>0</v>
      </c>
      <c r="F519" s="106">
        <f t="shared" si="68"/>
        <v>0</v>
      </c>
      <c r="G519" s="106">
        <f t="shared" si="68"/>
        <v>0</v>
      </c>
      <c r="H519" s="106">
        <f t="shared" si="68"/>
        <v>0</v>
      </c>
      <c r="I519" s="106">
        <f t="shared" si="68"/>
        <v>0</v>
      </c>
      <c r="J519" s="106">
        <f t="shared" ref="J519:M519" si="69">SUM(J515:J518)</f>
        <v>0</v>
      </c>
      <c r="K519" s="106">
        <f t="shared" si="69"/>
        <v>0</v>
      </c>
      <c r="L519" s="106">
        <f t="shared" si="69"/>
        <v>0</v>
      </c>
      <c r="M519" s="106">
        <f t="shared" si="69"/>
        <v>0</v>
      </c>
      <c r="N519" s="160" t="s">
        <v>93</v>
      </c>
      <c r="O519" s="166">
        <f>SUM(O515:O518)</f>
        <v>2155.6052671051734</v>
      </c>
      <c r="P519" s="166">
        <f t="shared" ref="P519:U519" si="70">SUM(P515:P518)</f>
        <v>1718.2936951694035</v>
      </c>
      <c r="Q519" s="166">
        <f t="shared" si="70"/>
        <v>0</v>
      </c>
      <c r="R519" s="166">
        <f t="shared" si="70"/>
        <v>0</v>
      </c>
      <c r="S519" s="166">
        <f t="shared" si="70"/>
        <v>0</v>
      </c>
      <c r="T519" s="166">
        <f t="shared" si="70"/>
        <v>0</v>
      </c>
      <c r="U519" s="166">
        <f t="shared" si="70"/>
        <v>0</v>
      </c>
      <c r="V519" s="166">
        <f t="shared" ref="V519:Y519" si="71">SUM(V515:V518)</f>
        <v>0</v>
      </c>
      <c r="W519" s="166">
        <f t="shared" si="71"/>
        <v>0</v>
      </c>
      <c r="X519" s="166">
        <f t="shared" si="71"/>
        <v>0</v>
      </c>
      <c r="Y519" s="166">
        <f t="shared" si="71"/>
        <v>0</v>
      </c>
      <c r="Z519" s="144" t="e">
        <f>(Y519/S519)^(1/6)-1</f>
        <v>#DIV/0!</v>
      </c>
    </row>
    <row r="520" spans="1:29">
      <c r="B520" s="16"/>
      <c r="C520" s="208"/>
      <c r="D520" s="208"/>
      <c r="E520" s="208"/>
      <c r="F520" s="208"/>
      <c r="G520" s="208"/>
      <c r="H520" s="208"/>
      <c r="I520" s="208"/>
      <c r="J520" s="208"/>
      <c r="K520" s="208"/>
      <c r="L520" s="208"/>
      <c r="M520" s="208"/>
      <c r="N520" s="16"/>
      <c r="O520" s="208"/>
      <c r="P520" s="208"/>
      <c r="Q520" s="208"/>
      <c r="R520" s="208"/>
      <c r="S520" s="208"/>
      <c r="T520" s="208"/>
      <c r="U520" s="208"/>
      <c r="V520" s="208"/>
      <c r="W520" s="208"/>
      <c r="X520" s="208"/>
      <c r="Y520" s="208"/>
      <c r="AA520" s="45"/>
    </row>
    <row r="521" spans="1:29">
      <c r="B521" s="16"/>
      <c r="C521" s="32"/>
      <c r="D521" s="32"/>
      <c r="E521" s="32"/>
      <c r="F521" s="32"/>
      <c r="G521" s="32"/>
      <c r="H521" s="32"/>
      <c r="I521" s="32"/>
      <c r="J521" s="32"/>
      <c r="K521" s="32"/>
      <c r="L521" s="32"/>
      <c r="M521" s="32"/>
      <c r="N521" s="32"/>
      <c r="O521" s="16"/>
      <c r="P521" s="16"/>
      <c r="Q521" s="138"/>
      <c r="R521" s="138"/>
      <c r="S521" s="138"/>
      <c r="T521" s="138"/>
      <c r="U521" s="138"/>
      <c r="V521" s="138"/>
      <c r="W521" s="138"/>
      <c r="X521" s="138"/>
      <c r="Y521" s="138"/>
      <c r="AA521" s="138"/>
    </row>
    <row r="522" spans="1:29" s="586" customFormat="1" ht="22.8">
      <c r="A522" s="394" t="s">
        <v>5</v>
      </c>
      <c r="B522" s="72"/>
      <c r="C522" s="126"/>
      <c r="D522" s="126"/>
      <c r="E522" s="126"/>
      <c r="F522" s="126"/>
      <c r="G522" s="126"/>
      <c r="H522" s="72"/>
      <c r="I522" s="72"/>
      <c r="J522" s="72"/>
      <c r="K522" s="72"/>
      <c r="L522" s="72"/>
      <c r="M522" s="72"/>
      <c r="N522" s="72"/>
      <c r="O522" s="72"/>
      <c r="P522" s="72"/>
      <c r="Q522" s="72"/>
      <c r="R522" s="72"/>
      <c r="S522" s="72"/>
      <c r="T522" s="394" t="str">
        <f>A522</f>
        <v>Fibre Channel</v>
      </c>
      <c r="U522" s="72"/>
      <c r="V522" s="72"/>
      <c r="W522" s="72"/>
      <c r="X522" s="72"/>
      <c r="Y522" s="72"/>
      <c r="Z522" s="40"/>
      <c r="AA522" s="80"/>
      <c r="AB522"/>
      <c r="AC522"/>
    </row>
    <row r="523" spans="1:29">
      <c r="B523" s="16"/>
      <c r="C523" s="16"/>
      <c r="D523" s="16"/>
      <c r="E523" s="16"/>
      <c r="F523" s="16"/>
      <c r="G523" s="16"/>
      <c r="H523" s="16"/>
      <c r="I523" s="16"/>
      <c r="J523" s="16"/>
      <c r="K523" s="16"/>
      <c r="L523" s="16"/>
      <c r="M523" s="16"/>
      <c r="N523" s="16"/>
      <c r="O523" s="16"/>
      <c r="P523" s="16"/>
      <c r="Q523" s="138"/>
      <c r="R523" s="138"/>
      <c r="S523" s="138"/>
      <c r="T523" s="138"/>
      <c r="U523" s="138"/>
      <c r="V523" s="138"/>
      <c r="W523" s="138"/>
      <c r="X523" s="138"/>
      <c r="Y523" s="138"/>
      <c r="AA523" s="138"/>
    </row>
    <row r="524" spans="1:29" ht="15.6">
      <c r="B524" s="78" t="s">
        <v>101</v>
      </c>
      <c r="C524" s="16"/>
      <c r="D524" s="16"/>
      <c r="E524" s="16"/>
      <c r="F524" s="16"/>
      <c r="G524" s="16"/>
      <c r="H524" s="16"/>
      <c r="I524" s="16"/>
      <c r="J524" s="16"/>
      <c r="K524" s="16"/>
      <c r="L524" s="16"/>
      <c r="M524" s="16"/>
      <c r="N524" s="78" t="s">
        <v>102</v>
      </c>
      <c r="O524" s="16"/>
      <c r="P524" s="16"/>
      <c r="Q524" s="138"/>
      <c r="R524" s="138"/>
      <c r="S524" s="138"/>
      <c r="T524" s="138"/>
      <c r="U524" s="138"/>
      <c r="V524" s="138"/>
      <c r="W524" s="138"/>
      <c r="X524" s="138"/>
      <c r="Y524" s="138"/>
      <c r="AA524" s="138"/>
    </row>
    <row r="525" spans="1:29">
      <c r="Q525" s="138"/>
      <c r="R525" s="138"/>
      <c r="S525" s="138"/>
      <c r="T525" s="138"/>
      <c r="U525" s="138"/>
      <c r="V525" s="138"/>
      <c r="W525" s="138"/>
      <c r="X525" s="138"/>
      <c r="Y525" s="138"/>
      <c r="AA525" s="7"/>
    </row>
    <row r="526" spans="1:29">
      <c r="Q526" s="138"/>
      <c r="R526" s="138"/>
      <c r="S526" s="138"/>
      <c r="T526" s="138"/>
      <c r="U526" s="138"/>
      <c r="V526" s="138"/>
      <c r="W526" s="138"/>
      <c r="X526" s="138"/>
      <c r="Y526" s="138"/>
      <c r="AA526" s="7"/>
    </row>
    <row r="527" spans="1:29">
      <c r="Q527" s="138"/>
      <c r="R527" s="138"/>
      <c r="S527" s="138"/>
      <c r="T527" s="138"/>
      <c r="U527" s="138"/>
      <c r="V527" s="138"/>
      <c r="W527" s="138"/>
      <c r="X527" s="138"/>
      <c r="Y527" s="138"/>
      <c r="AA527" s="7"/>
    </row>
    <row r="528" spans="1:29">
      <c r="Q528" s="138"/>
      <c r="R528" s="138"/>
      <c r="S528" s="138"/>
      <c r="T528" s="138"/>
      <c r="U528" s="138"/>
      <c r="V528" s="138"/>
      <c r="W528" s="138"/>
      <c r="X528" s="138"/>
      <c r="Y528" s="138"/>
      <c r="AA528" s="7"/>
    </row>
    <row r="529" spans="2:27">
      <c r="Q529" s="138"/>
      <c r="R529" s="138"/>
      <c r="S529" s="138"/>
      <c r="T529" s="138"/>
      <c r="U529" s="138"/>
      <c r="V529" s="138"/>
      <c r="W529" s="138"/>
      <c r="X529" s="138"/>
      <c r="Y529" s="138"/>
      <c r="AA529" s="7"/>
    </row>
    <row r="530" spans="2:27">
      <c r="Q530" s="138"/>
      <c r="R530" s="138"/>
      <c r="S530" s="138"/>
      <c r="T530" s="138"/>
      <c r="U530" s="138"/>
      <c r="V530" s="138"/>
      <c r="W530" s="138"/>
      <c r="X530" s="138"/>
      <c r="Y530" s="138"/>
      <c r="AA530" s="7"/>
    </row>
    <row r="531" spans="2:27">
      <c r="Q531" s="138"/>
      <c r="R531" s="138"/>
      <c r="S531" s="138"/>
      <c r="T531" s="138"/>
      <c r="U531" s="138"/>
      <c r="V531" s="138"/>
      <c r="W531" s="138"/>
      <c r="X531" s="138"/>
      <c r="Y531" s="138"/>
      <c r="AA531" s="7"/>
    </row>
    <row r="532" spans="2:27">
      <c r="Q532" s="138"/>
      <c r="R532" s="138"/>
      <c r="S532" s="138"/>
      <c r="T532" s="138"/>
      <c r="U532" s="138"/>
      <c r="V532" s="138"/>
      <c r="W532" s="138"/>
      <c r="X532" s="138"/>
      <c r="Y532" s="138"/>
      <c r="AA532" s="7"/>
    </row>
    <row r="533" spans="2:27">
      <c r="Q533" s="138"/>
      <c r="R533" s="138"/>
      <c r="S533" s="138"/>
      <c r="T533" s="138"/>
      <c r="U533" s="138"/>
      <c r="V533" s="138"/>
      <c r="W533" s="138"/>
      <c r="X533" s="138"/>
      <c r="Y533" s="138"/>
      <c r="AA533" s="7"/>
    </row>
    <row r="534" spans="2:27">
      <c r="Q534" s="138"/>
      <c r="R534" s="138"/>
      <c r="S534" s="138"/>
      <c r="T534" s="138"/>
      <c r="U534" s="138"/>
      <c r="V534" s="138"/>
      <c r="W534" s="138"/>
      <c r="X534" s="138"/>
      <c r="Y534" s="138"/>
      <c r="AA534" s="7"/>
    </row>
    <row r="535" spans="2:27">
      <c r="Q535" s="138"/>
      <c r="R535" s="138"/>
      <c r="S535" s="138"/>
      <c r="T535" s="138"/>
      <c r="U535" s="138"/>
      <c r="V535" s="138"/>
      <c r="W535" s="138"/>
      <c r="X535" s="138"/>
      <c r="Y535" s="138"/>
      <c r="AA535" s="7"/>
    </row>
    <row r="536" spans="2:27">
      <c r="Q536" s="138"/>
      <c r="R536" s="138"/>
      <c r="S536" s="138"/>
      <c r="T536" s="138"/>
      <c r="U536" s="138"/>
      <c r="V536" s="138"/>
      <c r="W536" s="138"/>
      <c r="X536" s="138"/>
      <c r="Y536" s="138"/>
      <c r="AA536" s="7"/>
    </row>
    <row r="537" spans="2:27">
      <c r="Q537" s="138"/>
      <c r="R537" s="138"/>
      <c r="S537" s="138"/>
      <c r="T537" s="138"/>
      <c r="U537" s="138"/>
      <c r="V537" s="138"/>
      <c r="W537" s="138"/>
      <c r="X537" s="138"/>
      <c r="Y537" s="138"/>
      <c r="AA537" s="7"/>
    </row>
    <row r="538" spans="2:27">
      <c r="Q538" s="138"/>
      <c r="R538" s="138"/>
      <c r="S538" s="138"/>
      <c r="T538" s="138"/>
      <c r="U538" s="138"/>
      <c r="V538" s="138"/>
      <c r="W538" s="138"/>
      <c r="X538" s="138"/>
      <c r="Y538" s="138"/>
      <c r="AA538" s="7"/>
    </row>
    <row r="539" spans="2:27">
      <c r="Q539" s="138"/>
      <c r="R539" s="138"/>
      <c r="S539" s="138"/>
      <c r="T539" s="138"/>
      <c r="U539" s="138"/>
      <c r="V539" s="138"/>
      <c r="W539" s="138"/>
      <c r="X539" s="138"/>
      <c r="Y539" s="138"/>
      <c r="AA539" s="7"/>
    </row>
    <row r="540" spans="2:27">
      <c r="Q540" s="138"/>
      <c r="R540" s="138"/>
      <c r="S540" s="138"/>
      <c r="T540" s="138"/>
      <c r="U540" s="138"/>
      <c r="V540" s="138"/>
      <c r="W540" s="138"/>
      <c r="X540" s="138"/>
      <c r="Y540" s="138"/>
      <c r="AA540" s="7"/>
    </row>
    <row r="541" spans="2:27">
      <c r="Q541" s="138"/>
      <c r="R541" s="138"/>
      <c r="S541" s="138"/>
      <c r="T541" s="138"/>
      <c r="U541" s="138"/>
      <c r="V541" s="138"/>
      <c r="W541" s="138"/>
      <c r="X541" s="138"/>
      <c r="Y541" s="138"/>
      <c r="AA541" s="7"/>
    </row>
    <row r="542" spans="2:27">
      <c r="Q542" s="138"/>
      <c r="R542" s="138"/>
      <c r="S542" s="138"/>
      <c r="T542" s="138"/>
      <c r="U542" s="138"/>
      <c r="V542" s="138"/>
      <c r="W542" s="138"/>
      <c r="X542" s="138"/>
      <c r="Y542" s="138"/>
      <c r="AA542" s="7"/>
    </row>
    <row r="543" spans="2:27">
      <c r="Q543" s="138"/>
      <c r="R543" s="138"/>
      <c r="S543" s="138"/>
      <c r="T543" s="138"/>
      <c r="U543" s="138"/>
      <c r="V543" s="138"/>
      <c r="W543" s="138"/>
      <c r="X543" s="138"/>
      <c r="Y543" s="138"/>
      <c r="AA543" s="7"/>
    </row>
    <row r="544" spans="2:27" ht="15.6">
      <c r="B544" s="77" t="s">
        <v>171</v>
      </c>
      <c r="C544" s="54"/>
      <c r="D544" s="54"/>
      <c r="E544" s="54"/>
      <c r="F544" s="54"/>
      <c r="G544" s="54"/>
      <c r="H544" s="54"/>
      <c r="I544" s="54"/>
      <c r="J544" s="54"/>
      <c r="K544" s="54"/>
      <c r="L544" s="54"/>
      <c r="M544" s="54"/>
      <c r="N544" s="78" t="s">
        <v>172</v>
      </c>
      <c r="O544" s="16"/>
      <c r="P544" s="138"/>
      <c r="Z544" s="118" t="s">
        <v>2</v>
      </c>
    </row>
    <row r="545" spans="1:29">
      <c r="B545" s="158" t="s">
        <v>94</v>
      </c>
      <c r="C545" s="117">
        <v>2018</v>
      </c>
      <c r="D545" s="103">
        <v>2019</v>
      </c>
      <c r="E545" s="103">
        <v>2020</v>
      </c>
      <c r="F545" s="103">
        <v>2021</v>
      </c>
      <c r="G545" s="103">
        <v>2022</v>
      </c>
      <c r="H545" s="103">
        <v>2023</v>
      </c>
      <c r="I545" s="103">
        <v>2024</v>
      </c>
      <c r="J545" s="103">
        <v>2025</v>
      </c>
      <c r="K545" s="103">
        <v>2026</v>
      </c>
      <c r="L545" s="103">
        <v>2027</v>
      </c>
      <c r="M545" s="103">
        <v>2028</v>
      </c>
      <c r="N545" s="284" t="s">
        <v>94</v>
      </c>
      <c r="O545" s="117">
        <v>2018</v>
      </c>
      <c r="P545" s="117">
        <v>2019</v>
      </c>
      <c r="Q545" s="117">
        <v>2020</v>
      </c>
      <c r="R545" s="117">
        <v>2021</v>
      </c>
      <c r="S545" s="117">
        <v>2022</v>
      </c>
      <c r="T545" s="117">
        <v>2023</v>
      </c>
      <c r="U545" s="117">
        <v>2024</v>
      </c>
      <c r="V545" s="117">
        <v>2025</v>
      </c>
      <c r="W545" s="117">
        <v>2026</v>
      </c>
      <c r="X545" s="117">
        <v>2027</v>
      </c>
      <c r="Y545" s="117">
        <v>2028</v>
      </c>
      <c r="Z545" s="103" t="str">
        <f>$Z$139</f>
        <v>2022-2028</v>
      </c>
    </row>
    <row r="546" spans="1:29">
      <c r="B546" s="22" t="s">
        <v>37</v>
      </c>
      <c r="C546" s="11">
        <f>'Fibre Channel'!E9+'Fibre Channel'!E8</f>
        <v>1306622</v>
      </c>
      <c r="D546" s="11">
        <f>'Fibre Channel'!F9+'Fibre Channel'!F8</f>
        <v>487662</v>
      </c>
      <c r="E546" s="11">
        <f>'Fibre Channel'!G9+'Fibre Channel'!G8</f>
        <v>0</v>
      </c>
      <c r="F546" s="11">
        <f>'Fibre Channel'!H9+'Fibre Channel'!H8</f>
        <v>0</v>
      </c>
      <c r="G546" s="11">
        <f>'Fibre Channel'!I9+'Fibre Channel'!I8</f>
        <v>0</v>
      </c>
      <c r="H546" s="11">
        <f>'Fibre Channel'!J9+'Fibre Channel'!J8</f>
        <v>0</v>
      </c>
      <c r="I546" s="11">
        <f>'Fibre Channel'!K9+'Fibre Channel'!K8</f>
        <v>0</v>
      </c>
      <c r="J546" s="11">
        <f>'Fibre Channel'!L9+'Fibre Channel'!L8</f>
        <v>0</v>
      </c>
      <c r="K546" s="11">
        <f>'Fibre Channel'!M9+'Fibre Channel'!M8</f>
        <v>0</v>
      </c>
      <c r="L546" s="11">
        <f>'Fibre Channel'!N9+'Fibre Channel'!N8</f>
        <v>0</v>
      </c>
      <c r="M546" s="11">
        <f>'Fibre Channel'!O9+'Fibre Channel'!O8</f>
        <v>0</v>
      </c>
      <c r="N546" s="22" t="s">
        <v>37</v>
      </c>
      <c r="O546" s="64">
        <f>('Fibre Channel'!E36+'Fibre Channel'!E35)</f>
        <v>17.51289957000002</v>
      </c>
      <c r="P546" s="64">
        <f>('Fibre Channel'!F36+'Fibre Channel'!F35)</f>
        <v>7.0718429500000006</v>
      </c>
      <c r="Q546" s="64">
        <f>('Fibre Channel'!G36+'Fibre Channel'!G35)</f>
        <v>0</v>
      </c>
      <c r="R546" s="64">
        <f>('Fibre Channel'!H36+'Fibre Channel'!H35)</f>
        <v>0</v>
      </c>
      <c r="S546" s="64">
        <f>('Fibre Channel'!I36+'Fibre Channel'!I35)</f>
        <v>0</v>
      </c>
      <c r="T546" s="64">
        <f>('Fibre Channel'!J36+'Fibre Channel'!J35)</f>
        <v>0</v>
      </c>
      <c r="U546" s="64">
        <f>('Fibre Channel'!K36+'Fibre Channel'!K35)</f>
        <v>0</v>
      </c>
      <c r="V546" s="64">
        <f>('Fibre Channel'!L36+'Fibre Channel'!L35)</f>
        <v>0</v>
      </c>
      <c r="W546" s="64">
        <f>('Fibre Channel'!M36+'Fibre Channel'!M35)</f>
        <v>0</v>
      </c>
      <c r="X546" s="64">
        <f>('Fibre Channel'!N36+'Fibre Channel'!N35)</f>
        <v>0</v>
      </c>
      <c r="Y546" s="64">
        <f>('Fibre Channel'!O36+'Fibre Channel'!O35)</f>
        <v>0</v>
      </c>
      <c r="Z546" s="140" t="e">
        <f>(Y546/S546)^(1/6)-1</f>
        <v>#DIV/0!</v>
      </c>
    </row>
    <row r="547" spans="1:29">
      <c r="B547" s="22" t="s">
        <v>38</v>
      </c>
      <c r="C547" s="11">
        <f>'Fibre Channel'!E10+'Fibre Channel'!E11</f>
        <v>5677250</v>
      </c>
      <c r="D547" s="11">
        <f>'Fibre Channel'!F10+'Fibre Channel'!F11</f>
        <v>4999639.0999999996</v>
      </c>
      <c r="E547" s="11">
        <f>'Fibre Channel'!G10+'Fibre Channel'!G11</f>
        <v>0</v>
      </c>
      <c r="F547" s="11">
        <f>'Fibre Channel'!H10+'Fibre Channel'!H11</f>
        <v>0</v>
      </c>
      <c r="G547" s="11">
        <f>'Fibre Channel'!I10+'Fibre Channel'!I11</f>
        <v>0</v>
      </c>
      <c r="H547" s="11">
        <f>'Fibre Channel'!J10+'Fibre Channel'!J11</f>
        <v>0</v>
      </c>
      <c r="I547" s="11">
        <f>'Fibre Channel'!K10+'Fibre Channel'!K11</f>
        <v>0</v>
      </c>
      <c r="J547" s="11">
        <f>'Fibre Channel'!L10+'Fibre Channel'!L11</f>
        <v>0</v>
      </c>
      <c r="K547" s="11">
        <f>'Fibre Channel'!M10+'Fibre Channel'!M11</f>
        <v>0</v>
      </c>
      <c r="L547" s="11">
        <f>'Fibre Channel'!N10+'Fibre Channel'!N11</f>
        <v>0</v>
      </c>
      <c r="M547" s="11">
        <f>'Fibre Channel'!O10+'Fibre Channel'!O11</f>
        <v>0</v>
      </c>
      <c r="N547" s="22" t="s">
        <v>38</v>
      </c>
      <c r="O547" s="64">
        <f>('Fibre Channel'!E37+'Fibre Channel'!E38)</f>
        <v>146.0096977200001</v>
      </c>
      <c r="P547" s="64">
        <f>('Fibre Channel'!F37+'Fibre Channel'!F38)</f>
        <v>135.03424759999996</v>
      </c>
      <c r="Q547" s="64">
        <f>('Fibre Channel'!G37+'Fibre Channel'!G38)</f>
        <v>0</v>
      </c>
      <c r="R547" s="64">
        <f>('Fibre Channel'!H37+'Fibre Channel'!H38)</f>
        <v>0</v>
      </c>
      <c r="S547" s="64">
        <f>('Fibre Channel'!I37+'Fibre Channel'!I38)</f>
        <v>0</v>
      </c>
      <c r="T547" s="64">
        <f>('Fibre Channel'!J37+'Fibre Channel'!J38)</f>
        <v>0</v>
      </c>
      <c r="U547" s="64">
        <f>('Fibre Channel'!K37+'Fibre Channel'!K38)</f>
        <v>0</v>
      </c>
      <c r="V547" s="64">
        <f>('Fibre Channel'!L37+'Fibre Channel'!L38)</f>
        <v>0</v>
      </c>
      <c r="W547" s="64">
        <f>('Fibre Channel'!M37+'Fibre Channel'!M38)</f>
        <v>0</v>
      </c>
      <c r="X547" s="64">
        <f>('Fibre Channel'!N37+'Fibre Channel'!N38)</f>
        <v>0</v>
      </c>
      <c r="Y547" s="64">
        <f>('Fibre Channel'!O37+'Fibre Channel'!O38)</f>
        <v>0</v>
      </c>
      <c r="Z547" s="140" t="e">
        <f>(Y547/S547)^(1/6)-1</f>
        <v>#DIV/0!</v>
      </c>
    </row>
    <row r="548" spans="1:29">
      <c r="B548" s="22" t="s">
        <v>103</v>
      </c>
      <c r="C548" s="11">
        <f>'Fibre Channel'!E12+'Fibre Channel'!E13</f>
        <v>854998</v>
      </c>
      <c r="D548" s="11">
        <f>'Fibre Channel'!F12+'Fibre Channel'!F13</f>
        <v>2197133.4578942787</v>
      </c>
      <c r="E548" s="11">
        <f>'Fibre Channel'!G12+'Fibre Channel'!G13</f>
        <v>0</v>
      </c>
      <c r="F548" s="11">
        <f>'Fibre Channel'!H12+'Fibre Channel'!H13</f>
        <v>0</v>
      </c>
      <c r="G548" s="11">
        <f>'Fibre Channel'!I12+'Fibre Channel'!I13</f>
        <v>0</v>
      </c>
      <c r="H548" s="11">
        <f>'Fibre Channel'!J12+'Fibre Channel'!J13</f>
        <v>0</v>
      </c>
      <c r="I548" s="11">
        <f>'Fibre Channel'!K12+'Fibre Channel'!K13</f>
        <v>0</v>
      </c>
      <c r="J548" s="11">
        <f>'Fibre Channel'!L12+'Fibre Channel'!L13</f>
        <v>0</v>
      </c>
      <c r="K548" s="11">
        <f>'Fibre Channel'!M12+'Fibre Channel'!M13</f>
        <v>0</v>
      </c>
      <c r="L548" s="11">
        <f>'Fibre Channel'!N12+'Fibre Channel'!N13</f>
        <v>0</v>
      </c>
      <c r="M548" s="11">
        <f>'Fibre Channel'!O12+'Fibre Channel'!O13</f>
        <v>0</v>
      </c>
      <c r="N548" s="22" t="s">
        <v>103</v>
      </c>
      <c r="O548" s="64">
        <f>('Fibre Channel'!E39+'Fibre Channel'!E40)</f>
        <v>54.807980070000006</v>
      </c>
      <c r="P548" s="64">
        <f>('Fibre Channel'!F39+'Fibre Channel'!F40)</f>
        <v>128.45985998612647</v>
      </c>
      <c r="Q548" s="64">
        <f>('Fibre Channel'!G39+'Fibre Channel'!G40)</f>
        <v>0</v>
      </c>
      <c r="R548" s="64">
        <f>('Fibre Channel'!H39+'Fibre Channel'!H40)</f>
        <v>0</v>
      </c>
      <c r="S548" s="64">
        <f>('Fibre Channel'!I39+'Fibre Channel'!I40)</f>
        <v>0</v>
      </c>
      <c r="T548" s="64">
        <f>('Fibre Channel'!J39+'Fibre Channel'!J40)</f>
        <v>0</v>
      </c>
      <c r="U548" s="64">
        <f>('Fibre Channel'!K39+'Fibre Channel'!K40)</f>
        <v>0</v>
      </c>
      <c r="V548" s="64">
        <f>('Fibre Channel'!L39+'Fibre Channel'!L40)</f>
        <v>0</v>
      </c>
      <c r="W548" s="64">
        <f>('Fibre Channel'!M39+'Fibre Channel'!M40)</f>
        <v>0</v>
      </c>
      <c r="X548" s="64">
        <f>('Fibre Channel'!N39+'Fibre Channel'!N40)</f>
        <v>0</v>
      </c>
      <c r="Y548" s="64">
        <f>('Fibre Channel'!O39+'Fibre Channel'!O40)</f>
        <v>0</v>
      </c>
      <c r="Z548" s="140" t="e">
        <f>(Y548/S548)^(1/6)-1</f>
        <v>#DIV/0!</v>
      </c>
    </row>
    <row r="549" spans="1:29">
      <c r="B549" s="22" t="s">
        <v>121</v>
      </c>
      <c r="C549" s="11">
        <f>'Fibre Channel'!E15+'Fibre Channel'!E14</f>
        <v>300</v>
      </c>
      <c r="D549" s="11">
        <f>'Fibre Channel'!F15+'Fibre Channel'!F14</f>
        <v>3300</v>
      </c>
      <c r="E549" s="11">
        <f>'Fibre Channel'!G15+'Fibre Channel'!G14</f>
        <v>0</v>
      </c>
      <c r="F549" s="11">
        <f>'Fibre Channel'!H15+'Fibre Channel'!H14</f>
        <v>0</v>
      </c>
      <c r="G549" s="11">
        <f>'Fibre Channel'!I15+'Fibre Channel'!I14</f>
        <v>0</v>
      </c>
      <c r="H549" s="11">
        <f>'Fibre Channel'!J15+'Fibre Channel'!J14</f>
        <v>0</v>
      </c>
      <c r="I549" s="11">
        <f>'Fibre Channel'!K15+'Fibre Channel'!K14</f>
        <v>0</v>
      </c>
      <c r="J549" s="11">
        <f>'Fibre Channel'!L15+'Fibre Channel'!L14</f>
        <v>0</v>
      </c>
      <c r="K549" s="11">
        <f>'Fibre Channel'!M15+'Fibre Channel'!M14</f>
        <v>0</v>
      </c>
      <c r="L549" s="11">
        <f>'Fibre Channel'!N15+'Fibre Channel'!N14</f>
        <v>0</v>
      </c>
      <c r="M549" s="11">
        <f>'Fibre Channel'!O15+'Fibre Channel'!O14</f>
        <v>0</v>
      </c>
      <c r="N549" s="22" t="s">
        <v>121</v>
      </c>
      <c r="O549" s="64">
        <f>('Fibre Channel'!E42+'Fibre Channel'!E41)</f>
        <v>9.1649306712355119E-2</v>
      </c>
      <c r="P549" s="64">
        <f>('Fibre Channel'!F42+'Fibre Channel'!F41)</f>
        <v>0.48</v>
      </c>
      <c r="Q549" s="64">
        <f>('Fibre Channel'!G42+'Fibre Channel'!G41)</f>
        <v>0</v>
      </c>
      <c r="R549" s="64">
        <f>('Fibre Channel'!H42+'Fibre Channel'!H41)</f>
        <v>0</v>
      </c>
      <c r="S549" s="64">
        <f>('Fibre Channel'!I42+'Fibre Channel'!I41)</f>
        <v>0</v>
      </c>
      <c r="T549" s="64">
        <f>('Fibre Channel'!J42+'Fibre Channel'!J41)</f>
        <v>0</v>
      </c>
      <c r="U549" s="64">
        <f>('Fibre Channel'!K42+'Fibre Channel'!K41)</f>
        <v>0</v>
      </c>
      <c r="V549" s="64">
        <f>('Fibre Channel'!L42+'Fibre Channel'!L41)</f>
        <v>0</v>
      </c>
      <c r="W549" s="64">
        <f>('Fibre Channel'!M42+'Fibre Channel'!M41)</f>
        <v>0</v>
      </c>
      <c r="X549" s="64">
        <f>('Fibre Channel'!N42+'Fibre Channel'!N41)</f>
        <v>0</v>
      </c>
      <c r="Y549" s="64">
        <f>('Fibre Channel'!O42+'Fibre Channel'!O41)</f>
        <v>0</v>
      </c>
      <c r="Z549" s="140" t="e">
        <f>(Y549/S549)^(1/6)-1</f>
        <v>#DIV/0!</v>
      </c>
    </row>
    <row r="550" spans="1:29">
      <c r="B550" s="22" t="s">
        <v>489</v>
      </c>
      <c r="C550" s="11">
        <f>'Fibre Channel'!E16+'Fibre Channel'!E17</f>
        <v>0</v>
      </c>
      <c r="D550" s="11">
        <f>'Fibre Channel'!F16+'Fibre Channel'!F17</f>
        <v>0</v>
      </c>
      <c r="E550" s="11">
        <f>'Fibre Channel'!G16+'Fibre Channel'!G17</f>
        <v>0</v>
      </c>
      <c r="F550" s="11">
        <f>'Fibre Channel'!H16+'Fibre Channel'!H17</f>
        <v>0</v>
      </c>
      <c r="G550" s="11">
        <f>'Fibre Channel'!I16+'Fibre Channel'!I17</f>
        <v>0</v>
      </c>
      <c r="H550" s="11">
        <f>'Fibre Channel'!J16+'Fibre Channel'!J17</f>
        <v>0</v>
      </c>
      <c r="I550" s="11">
        <f>'Fibre Channel'!K16+'Fibre Channel'!K17</f>
        <v>0</v>
      </c>
      <c r="J550" s="11">
        <f>'Fibre Channel'!L16+'Fibre Channel'!L17</f>
        <v>0</v>
      </c>
      <c r="K550" s="11">
        <f>'Fibre Channel'!M16+'Fibre Channel'!M17</f>
        <v>0</v>
      </c>
      <c r="L550" s="11">
        <f>'Fibre Channel'!N16+'Fibre Channel'!N17</f>
        <v>0</v>
      </c>
      <c r="M550" s="11">
        <f>'Fibre Channel'!O16+'Fibre Channel'!O17</f>
        <v>0</v>
      </c>
      <c r="N550" s="22" t="s">
        <v>489</v>
      </c>
      <c r="O550" s="64">
        <f>('Fibre Channel'!E44+'Fibre Channel'!E43)</f>
        <v>0</v>
      </c>
      <c r="P550" s="64">
        <f>('Fibre Channel'!F44+'Fibre Channel'!F43)</f>
        <v>0</v>
      </c>
      <c r="Q550" s="64">
        <f>('Fibre Channel'!G44+'Fibre Channel'!G43)</f>
        <v>0</v>
      </c>
      <c r="R550" s="64">
        <f>('Fibre Channel'!H44+'Fibre Channel'!H43)</f>
        <v>0</v>
      </c>
      <c r="S550" s="64">
        <f>('Fibre Channel'!I44+'Fibre Channel'!I43)</f>
        <v>0</v>
      </c>
      <c r="T550" s="64">
        <f>('Fibre Channel'!J44+'Fibre Channel'!J43)</f>
        <v>0</v>
      </c>
      <c r="U550" s="64">
        <f>('Fibre Channel'!K44+'Fibre Channel'!K43)</f>
        <v>0</v>
      </c>
      <c r="V550" s="64">
        <f>('Fibre Channel'!L44+'Fibre Channel'!L43)</f>
        <v>0</v>
      </c>
      <c r="W550" s="64">
        <f>('Fibre Channel'!M44+'Fibre Channel'!M43)</f>
        <v>0</v>
      </c>
      <c r="X550" s="64">
        <f>('Fibre Channel'!N44+'Fibre Channel'!N43)</f>
        <v>0</v>
      </c>
      <c r="Y550" s="64">
        <f>('Fibre Channel'!O44+'Fibre Channel'!O43)</f>
        <v>0</v>
      </c>
      <c r="Z550" s="145"/>
    </row>
    <row r="551" spans="1:29">
      <c r="B551" s="160" t="s">
        <v>93</v>
      </c>
      <c r="C551" s="167">
        <f t="shared" ref="C551:M551" si="72">SUM(C546:C550)</f>
        <v>7839170</v>
      </c>
      <c r="D551" s="167">
        <f t="shared" si="72"/>
        <v>7687734.5578942783</v>
      </c>
      <c r="E551" s="167">
        <f t="shared" si="72"/>
        <v>0</v>
      </c>
      <c r="F551" s="167">
        <f t="shared" si="72"/>
        <v>0</v>
      </c>
      <c r="G551" s="167">
        <f t="shared" si="72"/>
        <v>0</v>
      </c>
      <c r="H551" s="167">
        <f t="shared" si="72"/>
        <v>0</v>
      </c>
      <c r="I551" s="167">
        <f t="shared" si="72"/>
        <v>0</v>
      </c>
      <c r="J551" s="167">
        <f t="shared" si="72"/>
        <v>0</v>
      </c>
      <c r="K551" s="167">
        <f t="shared" si="72"/>
        <v>0</v>
      </c>
      <c r="L551" s="167">
        <f t="shared" si="72"/>
        <v>0</v>
      </c>
      <c r="M551" s="167">
        <f t="shared" si="72"/>
        <v>0</v>
      </c>
      <c r="N551" s="285" t="s">
        <v>93</v>
      </c>
      <c r="O551" s="105">
        <f t="shared" ref="O551:Y551" si="73">SUM(O546:O550)</f>
        <v>218.4222266667125</v>
      </c>
      <c r="P551" s="105">
        <f t="shared" si="73"/>
        <v>271.04595053612644</v>
      </c>
      <c r="Q551" s="105">
        <f t="shared" si="73"/>
        <v>0</v>
      </c>
      <c r="R551" s="105">
        <f t="shared" si="73"/>
        <v>0</v>
      </c>
      <c r="S551" s="105">
        <f t="shared" si="73"/>
        <v>0</v>
      </c>
      <c r="T551" s="105">
        <f t="shared" si="73"/>
        <v>0</v>
      </c>
      <c r="U551" s="105">
        <f t="shared" si="73"/>
        <v>0</v>
      </c>
      <c r="V551" s="105">
        <f t="shared" si="73"/>
        <v>0</v>
      </c>
      <c r="W551" s="105">
        <f t="shared" si="73"/>
        <v>0</v>
      </c>
      <c r="X551" s="105">
        <f t="shared" si="73"/>
        <v>0</v>
      </c>
      <c r="Y551" s="105">
        <f t="shared" si="73"/>
        <v>0</v>
      </c>
      <c r="Z551" s="141" t="e">
        <f>(Y551/S551)^(1/6)-1</f>
        <v>#DIV/0!</v>
      </c>
    </row>
    <row r="552" spans="1:29">
      <c r="B552" s="16"/>
      <c r="C552" s="208">
        <f>'Fibre Channel'!E18-C551</f>
        <v>0</v>
      </c>
      <c r="D552" s="208">
        <f>'Fibre Channel'!F18-D551</f>
        <v>0</v>
      </c>
      <c r="E552" s="208">
        <f>'Fibre Channel'!G18-E551</f>
        <v>0</v>
      </c>
      <c r="F552" s="208">
        <f>'Fibre Channel'!H18-F551</f>
        <v>0</v>
      </c>
      <c r="G552" s="208">
        <f>'Fibre Channel'!I18-G551</f>
        <v>0</v>
      </c>
      <c r="H552" s="208">
        <f>'Fibre Channel'!J18-H551</f>
        <v>0</v>
      </c>
      <c r="I552" s="208">
        <f>'Fibre Channel'!K18-I551</f>
        <v>0</v>
      </c>
      <c r="J552" s="208">
        <f>'Fibre Channel'!L18-J551</f>
        <v>0</v>
      </c>
      <c r="K552" s="208">
        <f>'Fibre Channel'!M18-K551</f>
        <v>0</v>
      </c>
      <c r="L552" s="208">
        <f>'Fibre Channel'!N18-L551</f>
        <v>0</v>
      </c>
      <c r="M552" s="208">
        <f>'Fibre Channel'!O18-M551</f>
        <v>0</v>
      </c>
      <c r="N552" s="16"/>
      <c r="O552" s="196">
        <f>'Fibre Channel'!E45-O551</f>
        <v>0</v>
      </c>
      <c r="P552" s="196">
        <f>'Fibre Channel'!F45-P551</f>
        <v>0</v>
      </c>
      <c r="Q552" s="196">
        <f>'Fibre Channel'!G45-Q551</f>
        <v>0</v>
      </c>
      <c r="R552" s="196">
        <f>'Fibre Channel'!H45-R551</f>
        <v>0</v>
      </c>
      <c r="S552" s="196">
        <f>'Fibre Channel'!I45-S551</f>
        <v>0</v>
      </c>
      <c r="T552" s="196">
        <f>'Fibre Channel'!J45-T551</f>
        <v>0</v>
      </c>
      <c r="U552" s="196">
        <f>'Fibre Channel'!K45-U551</f>
        <v>0</v>
      </c>
      <c r="V552" s="196">
        <f>'Fibre Channel'!L45-V551</f>
        <v>0</v>
      </c>
      <c r="W552" s="196">
        <f>'Fibre Channel'!M45-W551</f>
        <v>0</v>
      </c>
      <c r="X552" s="196">
        <f>'Fibre Channel'!N45-X551</f>
        <v>0</v>
      </c>
      <c r="Y552" s="196">
        <f>'Fibre Channel'!O45-Y551</f>
        <v>0</v>
      </c>
      <c r="AA552" s="7"/>
    </row>
    <row r="553" spans="1:29">
      <c r="O553" s="67"/>
      <c r="Q553" s="138"/>
      <c r="R553" s="138"/>
      <c r="S553" s="138"/>
      <c r="T553" s="138"/>
      <c r="U553" s="138"/>
      <c r="V553" s="138"/>
      <c r="W553" s="138"/>
      <c r="X553" s="138"/>
      <c r="Y553" s="138"/>
      <c r="AA553" s="7"/>
    </row>
    <row r="554" spans="1:29" s="586" customFormat="1" ht="22.8">
      <c r="A554" s="394" t="s">
        <v>7</v>
      </c>
      <c r="B554" s="40"/>
      <c r="C554" s="40"/>
      <c r="D554" s="40"/>
      <c r="E554" s="40"/>
      <c r="F554" s="40"/>
      <c r="G554" s="40"/>
      <c r="H554" s="40"/>
      <c r="I554" s="40"/>
      <c r="J554" s="40"/>
      <c r="K554" s="40"/>
      <c r="L554" s="40"/>
      <c r="M554" s="40"/>
      <c r="N554" s="40"/>
      <c r="O554" s="40"/>
      <c r="P554" s="40"/>
      <c r="Q554" s="40"/>
      <c r="R554" s="40"/>
      <c r="S554" s="40"/>
      <c r="T554" s="394" t="str">
        <f>A554</f>
        <v>Optical Interconnects</v>
      </c>
      <c r="U554" s="40"/>
      <c r="V554" s="40"/>
      <c r="W554" s="40"/>
      <c r="X554" s="40"/>
      <c r="Y554" s="40"/>
      <c r="Z554" s="40"/>
      <c r="AA554" s="95"/>
      <c r="AB554"/>
      <c r="AC554"/>
    </row>
    <row r="555" spans="1:29">
      <c r="Q555" s="138"/>
      <c r="R555" s="138"/>
      <c r="S555" s="138"/>
      <c r="T555" s="138"/>
      <c r="U555" s="138"/>
      <c r="V555" s="138"/>
      <c r="W555" s="138"/>
      <c r="X555" s="138"/>
      <c r="Y555" s="138"/>
      <c r="AA555" s="7"/>
    </row>
    <row r="556" spans="1:29" ht="15.6">
      <c r="B556" s="78" t="s">
        <v>119</v>
      </c>
      <c r="N556" s="78" t="s">
        <v>120</v>
      </c>
      <c r="O556" s="52"/>
      <c r="Q556" s="138"/>
      <c r="R556" s="138"/>
      <c r="S556" s="138"/>
      <c r="T556" s="138"/>
      <c r="U556" s="138"/>
      <c r="V556" s="138"/>
      <c r="W556" s="138"/>
      <c r="X556" s="138"/>
      <c r="Y556" s="138"/>
      <c r="AA556" s="7"/>
    </row>
    <row r="557" spans="1:29">
      <c r="Q557" s="138"/>
      <c r="R557" s="138"/>
      <c r="S557" s="138"/>
      <c r="T557" s="138"/>
      <c r="U557" s="138"/>
      <c r="V557" s="138"/>
      <c r="W557" s="138"/>
      <c r="X557" s="138"/>
      <c r="Y557" s="138"/>
      <c r="AA557" s="7"/>
    </row>
    <row r="558" spans="1:29">
      <c r="Q558" s="138"/>
      <c r="R558" s="138"/>
      <c r="S558" s="138"/>
      <c r="T558" s="138"/>
      <c r="U558" s="138"/>
      <c r="V558" s="138"/>
      <c r="W558" s="138"/>
      <c r="X558" s="138"/>
      <c r="Y558" s="138"/>
      <c r="AA558" s="7"/>
    </row>
    <row r="559" spans="1:29">
      <c r="Q559" s="138"/>
      <c r="R559" s="138"/>
      <c r="S559" s="138"/>
      <c r="T559" s="138"/>
      <c r="U559" s="138"/>
      <c r="V559" s="138"/>
      <c r="W559" s="138"/>
      <c r="X559" s="138"/>
      <c r="Y559" s="138"/>
      <c r="AA559" s="7"/>
    </row>
    <row r="560" spans="1:29">
      <c r="Q560" s="138"/>
      <c r="R560" s="138"/>
      <c r="S560" s="138"/>
      <c r="T560" s="138"/>
      <c r="U560" s="138"/>
      <c r="V560" s="138"/>
      <c r="W560" s="138"/>
      <c r="X560" s="138"/>
      <c r="Y560" s="138"/>
      <c r="AA560" s="7"/>
    </row>
    <row r="561" spans="2:27">
      <c r="Q561" s="138"/>
      <c r="R561" s="138"/>
      <c r="S561" s="138"/>
      <c r="T561" s="138"/>
      <c r="U561" s="138"/>
      <c r="V561" s="138"/>
      <c r="W561" s="138"/>
      <c r="X561" s="138"/>
      <c r="Y561" s="138"/>
      <c r="AA561" s="7"/>
    </row>
    <row r="562" spans="2:27">
      <c r="Q562" s="138"/>
      <c r="R562" s="138"/>
      <c r="S562" s="138"/>
      <c r="T562" s="138"/>
      <c r="U562" s="138"/>
      <c r="V562" s="138"/>
      <c r="W562" s="138"/>
      <c r="X562" s="138"/>
      <c r="Y562" s="138"/>
      <c r="AA562" s="7"/>
    </row>
    <row r="563" spans="2:27">
      <c r="Q563" s="138"/>
      <c r="R563" s="138"/>
      <c r="S563" s="138"/>
      <c r="T563" s="138"/>
      <c r="U563" s="138"/>
      <c r="V563" s="138"/>
      <c r="W563" s="138"/>
      <c r="X563" s="138"/>
      <c r="Y563" s="138"/>
      <c r="AA563" s="7"/>
    </row>
    <row r="564" spans="2:27">
      <c r="Q564" s="138"/>
      <c r="R564" s="138"/>
      <c r="S564" s="138"/>
      <c r="T564" s="138"/>
      <c r="U564" s="138"/>
      <c r="V564" s="138"/>
      <c r="W564" s="138"/>
      <c r="X564" s="138"/>
      <c r="Y564" s="138"/>
      <c r="AA564" s="7"/>
    </row>
    <row r="565" spans="2:27">
      <c r="Q565" s="138"/>
      <c r="R565" s="138"/>
      <c r="S565" s="138"/>
      <c r="T565" s="138"/>
      <c r="U565" s="138"/>
      <c r="V565" s="138"/>
      <c r="W565" s="138"/>
      <c r="X565" s="138"/>
      <c r="Y565" s="138"/>
      <c r="AA565" s="7"/>
    </row>
    <row r="566" spans="2:27">
      <c r="Q566" s="138"/>
      <c r="R566" s="138"/>
      <c r="S566" s="138"/>
      <c r="T566" s="138"/>
      <c r="U566" s="138"/>
      <c r="V566" s="138"/>
      <c r="W566" s="138"/>
      <c r="X566" s="138"/>
      <c r="Y566" s="138"/>
      <c r="AA566" s="7"/>
    </row>
    <row r="567" spans="2:27">
      <c r="Q567" s="138"/>
      <c r="R567" s="138"/>
      <c r="S567" s="138"/>
      <c r="T567" s="138"/>
      <c r="U567" s="138"/>
      <c r="V567" s="138"/>
      <c r="W567" s="138"/>
      <c r="X567" s="138"/>
      <c r="Y567" s="138"/>
      <c r="AA567" s="7"/>
    </row>
    <row r="568" spans="2:27">
      <c r="Q568" s="138"/>
      <c r="R568" s="138"/>
      <c r="S568" s="138"/>
      <c r="T568" s="138"/>
      <c r="U568" s="138"/>
      <c r="V568" s="138"/>
      <c r="W568" s="138"/>
      <c r="X568" s="138"/>
      <c r="Y568" s="138"/>
      <c r="AA568" s="7"/>
    </row>
    <row r="569" spans="2:27">
      <c r="Q569" s="138"/>
      <c r="R569" s="138"/>
      <c r="S569" s="138"/>
      <c r="T569" s="138"/>
      <c r="U569" s="138"/>
      <c r="V569" s="138"/>
      <c r="W569" s="138"/>
      <c r="X569" s="138"/>
      <c r="Y569" s="138"/>
      <c r="AA569" s="7"/>
    </row>
    <row r="570" spans="2:27">
      <c r="Q570" s="138"/>
      <c r="R570" s="138"/>
      <c r="S570" s="138"/>
      <c r="T570" s="138"/>
      <c r="U570" s="138"/>
      <c r="V570" s="138"/>
      <c r="W570" s="138"/>
      <c r="X570" s="138"/>
      <c r="Y570" s="138"/>
      <c r="AA570" s="7"/>
    </row>
    <row r="571" spans="2:27">
      <c r="Q571" s="138"/>
      <c r="R571" s="138"/>
      <c r="S571" s="138"/>
      <c r="T571" s="138"/>
      <c r="U571" s="138"/>
      <c r="V571" s="138"/>
      <c r="W571" s="138"/>
      <c r="X571" s="138"/>
      <c r="Y571" s="138"/>
      <c r="AA571" s="7"/>
    </row>
    <row r="572" spans="2:27">
      <c r="Q572" s="138"/>
      <c r="R572" s="138"/>
      <c r="S572" s="138"/>
      <c r="T572" s="138"/>
      <c r="U572" s="138"/>
      <c r="V572" s="138"/>
      <c r="W572" s="138"/>
      <c r="X572" s="138"/>
      <c r="Y572" s="138"/>
      <c r="AA572" s="7"/>
    </row>
    <row r="573" spans="2:27">
      <c r="Q573" s="138"/>
      <c r="R573" s="138"/>
      <c r="S573" s="138"/>
      <c r="T573" s="138"/>
      <c r="U573" s="138"/>
      <c r="V573" s="138"/>
      <c r="W573" s="138"/>
      <c r="X573" s="138"/>
      <c r="Y573" s="138"/>
      <c r="AA573" s="7"/>
    </row>
    <row r="574" spans="2:27">
      <c r="Q574" s="138"/>
      <c r="R574" s="138"/>
      <c r="S574" s="138"/>
      <c r="T574" s="138"/>
      <c r="U574" s="138"/>
      <c r="V574" s="138"/>
      <c r="W574" s="138"/>
      <c r="X574" s="138"/>
      <c r="Y574" s="138"/>
      <c r="AA574" s="7"/>
    </row>
    <row r="575" spans="2:27">
      <c r="Q575" s="138"/>
      <c r="R575" s="138"/>
      <c r="S575" s="138"/>
      <c r="T575" s="138"/>
      <c r="U575" s="138"/>
      <c r="V575" s="138"/>
      <c r="W575" s="138"/>
      <c r="X575" s="138"/>
      <c r="Y575" s="138"/>
      <c r="AA575" s="7"/>
    </row>
    <row r="576" spans="2:27" ht="15.6">
      <c r="B576" s="77" t="s">
        <v>169</v>
      </c>
      <c r="N576" s="78" t="s">
        <v>170</v>
      </c>
      <c r="Q576" s="138"/>
      <c r="R576" s="138"/>
      <c r="S576" s="138"/>
      <c r="T576" s="138"/>
      <c r="U576" s="138"/>
      <c r="V576" s="138"/>
      <c r="W576" s="138"/>
      <c r="X576" s="138"/>
      <c r="Y576" s="138"/>
      <c r="Z576" s="118" t="s">
        <v>2</v>
      </c>
    </row>
    <row r="577" spans="2:26">
      <c r="B577" s="203" t="s">
        <v>11</v>
      </c>
      <c r="C577" s="117">
        <v>2018</v>
      </c>
      <c r="D577" s="103">
        <v>2019</v>
      </c>
      <c r="E577" s="103">
        <v>2020</v>
      </c>
      <c r="F577" s="103">
        <v>2021</v>
      </c>
      <c r="G577" s="103">
        <v>2022</v>
      </c>
      <c r="H577" s="103">
        <v>2023</v>
      </c>
      <c r="I577" s="103">
        <v>2024</v>
      </c>
      <c r="J577" s="103">
        <v>2025</v>
      </c>
      <c r="K577" s="103">
        <v>2026</v>
      </c>
      <c r="L577" s="103">
        <v>2027</v>
      </c>
      <c r="M577" s="103">
        <v>2028</v>
      </c>
      <c r="N577" s="168" t="s">
        <v>11</v>
      </c>
      <c r="O577" s="117">
        <v>2018</v>
      </c>
      <c r="P577" s="117">
        <v>2019</v>
      </c>
      <c r="Q577" s="117">
        <v>2020</v>
      </c>
      <c r="R577" s="117">
        <v>2021</v>
      </c>
      <c r="S577" s="117">
        <v>2022</v>
      </c>
      <c r="T577" s="117">
        <v>2023</v>
      </c>
      <c r="U577" s="117">
        <v>2024</v>
      </c>
      <c r="V577" s="117">
        <v>2025</v>
      </c>
      <c r="W577" s="117">
        <v>2026</v>
      </c>
      <c r="X577" s="117">
        <v>2027</v>
      </c>
      <c r="Y577" s="117">
        <v>2028</v>
      </c>
      <c r="Z577" s="103" t="str">
        <f>$Z$139</f>
        <v>2022-2028</v>
      </c>
    </row>
    <row r="578" spans="2:26">
      <c r="B578" s="204" t="str">
        <f>AOC!C8</f>
        <v>10G</v>
      </c>
      <c r="C578" s="129">
        <f>AOC!E8</f>
        <v>4256351</v>
      </c>
      <c r="D578" s="129">
        <f>AOC!F8</f>
        <v>2601008</v>
      </c>
      <c r="E578" s="129">
        <f>AOC!G8</f>
        <v>0</v>
      </c>
      <c r="F578" s="129">
        <f>AOC!H8</f>
        <v>0</v>
      </c>
      <c r="G578" s="129">
        <f>AOC!I8</f>
        <v>0</v>
      </c>
      <c r="H578" s="129">
        <f>AOC!J8</f>
        <v>0</v>
      </c>
      <c r="I578" s="129">
        <f>AOC!K8</f>
        <v>0</v>
      </c>
      <c r="J578" s="129">
        <f>AOC!L8</f>
        <v>0</v>
      </c>
      <c r="K578" s="129">
        <f>AOC!M8</f>
        <v>0</v>
      </c>
      <c r="L578" s="129">
        <f>AOC!N8</f>
        <v>0</v>
      </c>
      <c r="M578" s="129">
        <f>AOC!O8</f>
        <v>0</v>
      </c>
      <c r="N578" s="204" t="str">
        <f t="shared" ref="N578:N585" si="74">B578</f>
        <v>10G</v>
      </c>
      <c r="O578" s="93">
        <f>AOC!E31</f>
        <v>66.906791699999971</v>
      </c>
      <c r="P578" s="93">
        <f>AOC!F31</f>
        <v>34.263987950000001</v>
      </c>
      <c r="Q578" s="93">
        <f>AOC!G31</f>
        <v>0</v>
      </c>
      <c r="R578" s="93">
        <f>AOC!H31</f>
        <v>0</v>
      </c>
      <c r="S578" s="93">
        <f>AOC!I31</f>
        <v>0</v>
      </c>
      <c r="T578" s="93">
        <f>AOC!J31</f>
        <v>0</v>
      </c>
      <c r="U578" s="93">
        <f>AOC!K31</f>
        <v>0</v>
      </c>
      <c r="V578" s="93">
        <f>AOC!L31</f>
        <v>0</v>
      </c>
      <c r="W578" s="93">
        <f>AOC!M31</f>
        <v>0</v>
      </c>
      <c r="X578" s="93">
        <f>AOC!N31</f>
        <v>0</v>
      </c>
      <c r="Y578" s="93">
        <f>AOC!O31</f>
        <v>0</v>
      </c>
      <c r="Z578" s="139" t="e">
        <f t="shared" ref="Z578:Z586" si="75">(Y578/S578)^(1/6)-1</f>
        <v>#DIV/0!</v>
      </c>
    </row>
    <row r="579" spans="2:26">
      <c r="B579" s="440" t="str">
        <f>AOC!C9</f>
        <v>25G</v>
      </c>
      <c r="C579" s="129">
        <f>AOC!E9</f>
        <v>1025400</v>
      </c>
      <c r="D579" s="129">
        <f>AOC!F9</f>
        <v>1254029</v>
      </c>
      <c r="E579" s="129">
        <f>AOC!G9</f>
        <v>0</v>
      </c>
      <c r="F579" s="129">
        <f>AOC!H9</f>
        <v>0</v>
      </c>
      <c r="G579" s="129">
        <f>AOC!I9</f>
        <v>0</v>
      </c>
      <c r="H579" s="129">
        <f>AOC!J9</f>
        <v>0</v>
      </c>
      <c r="I579" s="129">
        <f>AOC!K9</f>
        <v>0</v>
      </c>
      <c r="J579" s="129">
        <f>AOC!L9</f>
        <v>0</v>
      </c>
      <c r="K579" s="129">
        <f>AOC!M9</f>
        <v>0</v>
      </c>
      <c r="L579" s="129">
        <f>AOC!N9</f>
        <v>0</v>
      </c>
      <c r="M579" s="129">
        <f>AOC!O9</f>
        <v>0</v>
      </c>
      <c r="N579" s="440" t="str">
        <f t="shared" si="74"/>
        <v>25G</v>
      </c>
      <c r="O579" s="93">
        <f>AOC!E32</f>
        <v>52.011518000000002</v>
      </c>
      <c r="P579" s="93">
        <f>AOC!F32</f>
        <v>54.517853859999995</v>
      </c>
      <c r="Q579" s="93">
        <f>AOC!G32</f>
        <v>0</v>
      </c>
      <c r="R579" s="93">
        <f>AOC!H32</f>
        <v>0</v>
      </c>
      <c r="S579" s="93">
        <f>AOC!I32</f>
        <v>0</v>
      </c>
      <c r="T579" s="93">
        <f>AOC!J32</f>
        <v>0</v>
      </c>
      <c r="U579" s="93">
        <f>AOC!K32</f>
        <v>0</v>
      </c>
      <c r="V579" s="93">
        <f>AOC!L32</f>
        <v>0</v>
      </c>
      <c r="W579" s="93">
        <f>AOC!M32</f>
        <v>0</v>
      </c>
      <c r="X579" s="93">
        <f>AOC!N32</f>
        <v>0</v>
      </c>
      <c r="Y579" s="93">
        <f>AOC!O32</f>
        <v>0</v>
      </c>
      <c r="Z579" s="140" t="e">
        <f t="shared" si="75"/>
        <v>#DIV/0!</v>
      </c>
    </row>
    <row r="580" spans="2:26">
      <c r="B580" s="440" t="str">
        <f>AOC!C10</f>
        <v>40G</v>
      </c>
      <c r="C580" s="129">
        <f>AOC!E10</f>
        <v>343161</v>
      </c>
      <c r="D580" s="129">
        <f>AOC!F10</f>
        <v>278729</v>
      </c>
      <c r="E580" s="129">
        <f>AOC!G10</f>
        <v>0</v>
      </c>
      <c r="F580" s="129">
        <f>AOC!H10</f>
        <v>0</v>
      </c>
      <c r="G580" s="129">
        <f>AOC!I10</f>
        <v>0</v>
      </c>
      <c r="H580" s="129">
        <f>AOC!J10</f>
        <v>0</v>
      </c>
      <c r="I580" s="129">
        <f>AOC!K10</f>
        <v>0</v>
      </c>
      <c r="J580" s="129">
        <f>AOC!L10</f>
        <v>0</v>
      </c>
      <c r="K580" s="129">
        <f>AOC!M10</f>
        <v>0</v>
      </c>
      <c r="L580" s="129">
        <f>AOC!N10</f>
        <v>0</v>
      </c>
      <c r="M580" s="129">
        <f>AOC!O10</f>
        <v>0</v>
      </c>
      <c r="N580" s="440" t="str">
        <f t="shared" si="74"/>
        <v>40G</v>
      </c>
      <c r="O580" s="93">
        <f>AOC!E33</f>
        <v>33.409706077143589</v>
      </c>
      <c r="P580" s="93">
        <f>AOC!F33</f>
        <v>24.870835694223633</v>
      </c>
      <c r="Q580" s="93">
        <f>AOC!G33</f>
        <v>0</v>
      </c>
      <c r="R580" s="93">
        <f>AOC!H33</f>
        <v>0</v>
      </c>
      <c r="S580" s="93">
        <f>AOC!I33</f>
        <v>0</v>
      </c>
      <c r="T580" s="93">
        <f>AOC!J33</f>
        <v>0</v>
      </c>
      <c r="U580" s="93">
        <f>AOC!K33</f>
        <v>0</v>
      </c>
      <c r="V580" s="93">
        <f>AOC!L33</f>
        <v>0</v>
      </c>
      <c r="W580" s="93">
        <f>AOC!M33</f>
        <v>0</v>
      </c>
      <c r="X580" s="93">
        <f>AOC!N33</f>
        <v>0</v>
      </c>
      <c r="Y580" s="93">
        <f>AOC!O33</f>
        <v>0</v>
      </c>
      <c r="Z580" s="140" t="e">
        <f t="shared" si="75"/>
        <v>#DIV/0!</v>
      </c>
    </row>
    <row r="581" spans="2:26">
      <c r="B581" s="440" t="str">
        <f>AOC!C11</f>
        <v>100G</v>
      </c>
      <c r="C581" s="129">
        <f>AOC!E11</f>
        <v>273711</v>
      </c>
      <c r="D581" s="129">
        <f>AOC!F11</f>
        <v>458979</v>
      </c>
      <c r="E581" s="129">
        <f>AOC!G11</f>
        <v>0</v>
      </c>
      <c r="F581" s="129">
        <f>AOC!H11</f>
        <v>0</v>
      </c>
      <c r="G581" s="129">
        <f>AOC!I11</f>
        <v>0</v>
      </c>
      <c r="H581" s="129">
        <f>AOC!J11</f>
        <v>0</v>
      </c>
      <c r="I581" s="129">
        <f>AOC!K11</f>
        <v>0</v>
      </c>
      <c r="J581" s="129">
        <f>AOC!L11</f>
        <v>0</v>
      </c>
      <c r="K581" s="129">
        <f>AOC!M11</f>
        <v>0</v>
      </c>
      <c r="L581" s="129">
        <f>AOC!N11</f>
        <v>0</v>
      </c>
      <c r="M581" s="129">
        <f>AOC!O11</f>
        <v>0</v>
      </c>
      <c r="N581" s="440" t="str">
        <f t="shared" si="74"/>
        <v>100G</v>
      </c>
      <c r="O581" s="93">
        <f>AOC!E34</f>
        <v>45.049838524645217</v>
      </c>
      <c r="P581" s="93">
        <f>AOC!F34</f>
        <v>57.242590999999997</v>
      </c>
      <c r="Q581" s="93">
        <f>AOC!G34</f>
        <v>0</v>
      </c>
      <c r="R581" s="93">
        <f>AOC!H34</f>
        <v>0</v>
      </c>
      <c r="S581" s="93">
        <f>AOC!I34</f>
        <v>0</v>
      </c>
      <c r="T581" s="93">
        <f>AOC!J34</f>
        <v>0</v>
      </c>
      <c r="U581" s="93">
        <f>AOC!K34</f>
        <v>0</v>
      </c>
      <c r="V581" s="93">
        <f>AOC!L34</f>
        <v>0</v>
      </c>
      <c r="W581" s="93">
        <f>AOC!M34</f>
        <v>0</v>
      </c>
      <c r="X581" s="93">
        <f>AOC!N34</f>
        <v>0</v>
      </c>
      <c r="Y581" s="93">
        <f>AOC!O34</f>
        <v>0</v>
      </c>
      <c r="Z581" s="140" t="e">
        <f t="shared" si="75"/>
        <v>#DIV/0!</v>
      </c>
    </row>
    <row r="582" spans="2:26">
      <c r="B582" s="440" t="str">
        <f>AOC!C12</f>
        <v>200G</v>
      </c>
      <c r="C582" s="129">
        <f>AOC!E12</f>
        <v>0</v>
      </c>
      <c r="D582" s="129">
        <f>AOC!F12</f>
        <v>96624</v>
      </c>
      <c r="E582" s="129">
        <f>AOC!G12</f>
        <v>0</v>
      </c>
      <c r="F582" s="129">
        <f>AOC!H12</f>
        <v>0</v>
      </c>
      <c r="G582" s="129">
        <f>AOC!I12</f>
        <v>0</v>
      </c>
      <c r="H582" s="129">
        <f>AOC!J12</f>
        <v>0</v>
      </c>
      <c r="I582" s="129">
        <f>AOC!K12</f>
        <v>0</v>
      </c>
      <c r="J582" s="129">
        <f>AOC!L12</f>
        <v>0</v>
      </c>
      <c r="K582" s="129">
        <f>AOC!M12</f>
        <v>0</v>
      </c>
      <c r="L582" s="129">
        <f>AOC!N12</f>
        <v>0</v>
      </c>
      <c r="M582" s="129">
        <f>AOC!O12</f>
        <v>0</v>
      </c>
      <c r="N582" s="440" t="str">
        <f t="shared" si="74"/>
        <v>200G</v>
      </c>
      <c r="O582" s="93">
        <f>AOC!E35</f>
        <v>0</v>
      </c>
      <c r="P582" s="93">
        <f>AOC!F35</f>
        <v>44.484650000000002</v>
      </c>
      <c r="Q582" s="93">
        <f>AOC!G35</f>
        <v>0</v>
      </c>
      <c r="R582" s="93">
        <f>AOC!H35</f>
        <v>0</v>
      </c>
      <c r="S582" s="93">
        <f>AOC!I35</f>
        <v>0</v>
      </c>
      <c r="T582" s="93">
        <f>AOC!J35</f>
        <v>0</v>
      </c>
      <c r="U582" s="93">
        <f>AOC!K35</f>
        <v>0</v>
      </c>
      <c r="V582" s="93">
        <f>AOC!L35</f>
        <v>0</v>
      </c>
      <c r="W582" s="93">
        <f>AOC!M35</f>
        <v>0</v>
      </c>
      <c r="X582" s="93">
        <f>AOC!N35</f>
        <v>0</v>
      </c>
      <c r="Y582" s="93">
        <f>AOC!O35</f>
        <v>0</v>
      </c>
      <c r="Z582" s="140" t="e">
        <f t="shared" si="75"/>
        <v>#DIV/0!</v>
      </c>
    </row>
    <row r="583" spans="2:26">
      <c r="B583" s="440" t="str">
        <f>AOC!C13</f>
        <v xml:space="preserve">400G </v>
      </c>
      <c r="C583" s="129">
        <f>AOC!E13</f>
        <v>0</v>
      </c>
      <c r="D583" s="129">
        <f>AOC!F13</f>
        <v>30994</v>
      </c>
      <c r="E583" s="129">
        <f>AOC!G13</f>
        <v>0</v>
      </c>
      <c r="F583" s="129">
        <f>AOC!H13</f>
        <v>0</v>
      </c>
      <c r="G583" s="129">
        <f>AOC!I13</f>
        <v>0</v>
      </c>
      <c r="H583" s="129">
        <f>AOC!J13</f>
        <v>0</v>
      </c>
      <c r="I583" s="129">
        <f>AOC!K13</f>
        <v>0</v>
      </c>
      <c r="J583" s="129">
        <f>AOC!L13</f>
        <v>0</v>
      </c>
      <c r="K583" s="129">
        <f>AOC!M13</f>
        <v>0</v>
      </c>
      <c r="L583" s="129">
        <f>AOC!N13</f>
        <v>0</v>
      </c>
      <c r="M583" s="129">
        <f>AOC!O13</f>
        <v>0</v>
      </c>
      <c r="N583" s="440" t="str">
        <f t="shared" si="74"/>
        <v xml:space="preserve">400G </v>
      </c>
      <c r="O583" s="93">
        <f>AOC!E36</f>
        <v>0</v>
      </c>
      <c r="P583" s="93">
        <f>AOC!F36</f>
        <v>24.172000000000001</v>
      </c>
      <c r="Q583" s="93">
        <f>AOC!G36</f>
        <v>0</v>
      </c>
      <c r="R583" s="93">
        <f>AOC!H36</f>
        <v>0</v>
      </c>
      <c r="S583" s="93">
        <f>AOC!I36</f>
        <v>0</v>
      </c>
      <c r="T583" s="93">
        <f>AOC!J36</f>
        <v>0</v>
      </c>
      <c r="U583" s="93">
        <f>AOC!K36</f>
        <v>0</v>
      </c>
      <c r="V583" s="93">
        <f>AOC!L36</f>
        <v>0</v>
      </c>
      <c r="W583" s="93">
        <f>AOC!M36</f>
        <v>0</v>
      </c>
      <c r="X583" s="93">
        <f>AOC!N36</f>
        <v>0</v>
      </c>
      <c r="Y583" s="93">
        <f>AOC!O36</f>
        <v>0</v>
      </c>
      <c r="Z583" s="140" t="e">
        <f t="shared" si="75"/>
        <v>#DIV/0!</v>
      </c>
    </row>
    <row r="584" spans="2:26">
      <c r="B584" s="440" t="s">
        <v>528</v>
      </c>
      <c r="C584" s="129">
        <f>AOC!E14</f>
        <v>0</v>
      </c>
      <c r="D584" s="129">
        <f>AOC!F14</f>
        <v>0</v>
      </c>
      <c r="E584" s="129">
        <f>AOC!G14</f>
        <v>0</v>
      </c>
      <c r="F584" s="129">
        <f>AOC!H14</f>
        <v>0</v>
      </c>
      <c r="G584" s="129">
        <f>AOC!I14</f>
        <v>0</v>
      </c>
      <c r="H584" s="129">
        <f>AOC!J14</f>
        <v>0</v>
      </c>
      <c r="I584" s="129">
        <f>AOC!K14</f>
        <v>0</v>
      </c>
      <c r="J584" s="129">
        <f>AOC!L14</f>
        <v>0</v>
      </c>
      <c r="K584" s="129">
        <f>AOC!M14</f>
        <v>0</v>
      </c>
      <c r="L584" s="129">
        <f>AOC!N14</f>
        <v>0</v>
      </c>
      <c r="M584" s="129">
        <f>AOC!O14</f>
        <v>0</v>
      </c>
      <c r="N584" s="440" t="str">
        <f t="shared" si="74"/>
        <v>800G, 1.6T</v>
      </c>
      <c r="O584" s="93">
        <f>AOC!E37</f>
        <v>0</v>
      </c>
      <c r="P584" s="93">
        <f>AOC!F37</f>
        <v>0</v>
      </c>
      <c r="Q584" s="93">
        <f>AOC!G37</f>
        <v>0</v>
      </c>
      <c r="R584" s="93">
        <f>AOC!H37</f>
        <v>0</v>
      </c>
      <c r="S584" s="93">
        <f>AOC!I37</f>
        <v>0</v>
      </c>
      <c r="T584" s="93">
        <f>AOC!J37</f>
        <v>0</v>
      </c>
      <c r="U584" s="93">
        <f>AOC!K37</f>
        <v>0</v>
      </c>
      <c r="V584" s="93">
        <f>AOC!L37</f>
        <v>0</v>
      </c>
      <c r="W584" s="93">
        <f>AOC!M37</f>
        <v>0</v>
      </c>
      <c r="X584" s="93">
        <f>AOC!N37</f>
        <v>0</v>
      </c>
      <c r="Y584" s="93">
        <f>AOC!O37</f>
        <v>0</v>
      </c>
      <c r="Z584" s="140" t="e">
        <f t="shared" si="75"/>
        <v>#DIV/0!</v>
      </c>
    </row>
    <row r="585" spans="2:26">
      <c r="B585" s="440" t="s">
        <v>286</v>
      </c>
      <c r="C585" s="129">
        <f>AOC!E15</f>
        <v>182331</v>
      </c>
      <c r="D585" s="129">
        <f>AOC!F15</f>
        <v>219882</v>
      </c>
      <c r="E585" s="129">
        <f>AOC!G15</f>
        <v>0</v>
      </c>
      <c r="F585" s="129">
        <f>AOC!H15</f>
        <v>0</v>
      </c>
      <c r="G585" s="129">
        <f>AOC!I15</f>
        <v>0</v>
      </c>
      <c r="H585" s="129">
        <f>AOC!J15</f>
        <v>0</v>
      </c>
      <c r="I585" s="129">
        <f>AOC!K15</f>
        <v>0</v>
      </c>
      <c r="J585" s="129">
        <f>AOC!L15</f>
        <v>0</v>
      </c>
      <c r="K585" s="129">
        <f>AOC!M15</f>
        <v>0</v>
      </c>
      <c r="L585" s="129">
        <f>AOC!N15</f>
        <v>0</v>
      </c>
      <c r="M585" s="129">
        <f>AOC!O15</f>
        <v>0</v>
      </c>
      <c r="N585" s="440" t="str">
        <f t="shared" si="74"/>
        <v>All other</v>
      </c>
      <c r="O585" s="93">
        <f>AOC!E38</f>
        <v>29.790807526525285</v>
      </c>
      <c r="P585" s="93">
        <f>AOC!F38</f>
        <v>143.59328558813581</v>
      </c>
      <c r="Q585" s="93">
        <f>AOC!G38</f>
        <v>0</v>
      </c>
      <c r="R585" s="93">
        <f>AOC!H38</f>
        <v>0</v>
      </c>
      <c r="S585" s="93">
        <f>AOC!I38</f>
        <v>0</v>
      </c>
      <c r="T585" s="93">
        <f>AOC!J38</f>
        <v>0</v>
      </c>
      <c r="U585" s="93">
        <f>AOC!K38</f>
        <v>0</v>
      </c>
      <c r="V585" s="93">
        <f>AOC!L38</f>
        <v>0</v>
      </c>
      <c r="W585" s="93">
        <f>AOC!M38</f>
        <v>0</v>
      </c>
      <c r="X585" s="93">
        <f>AOC!N38</f>
        <v>0</v>
      </c>
      <c r="Y585" s="93">
        <f>AOC!O38</f>
        <v>0</v>
      </c>
      <c r="Z585" s="140" t="e">
        <f t="shared" si="75"/>
        <v>#DIV/0!</v>
      </c>
    </row>
    <row r="586" spans="2:26">
      <c r="B586" s="169" t="s">
        <v>117</v>
      </c>
      <c r="C586" s="130">
        <f t="shared" ref="C586:J586" si="76">SUM(C578:C585)</f>
        <v>6080954</v>
      </c>
      <c r="D586" s="130">
        <f t="shared" si="76"/>
        <v>4940245</v>
      </c>
      <c r="E586" s="130">
        <f t="shared" si="76"/>
        <v>0</v>
      </c>
      <c r="F586" s="130">
        <f t="shared" si="76"/>
        <v>0</v>
      </c>
      <c r="G586" s="130">
        <f t="shared" si="76"/>
        <v>0</v>
      </c>
      <c r="H586" s="130">
        <f t="shared" si="76"/>
        <v>0</v>
      </c>
      <c r="I586" s="130">
        <f t="shared" si="76"/>
        <v>0</v>
      </c>
      <c r="J586" s="130">
        <f t="shared" si="76"/>
        <v>0</v>
      </c>
      <c r="K586" s="130">
        <f t="shared" ref="K586:M586" si="77">SUM(K578:K585)</f>
        <v>0</v>
      </c>
      <c r="L586" s="130">
        <f t="shared" si="77"/>
        <v>0</v>
      </c>
      <c r="M586" s="130">
        <f t="shared" si="77"/>
        <v>0</v>
      </c>
      <c r="N586" s="169" t="s">
        <v>117</v>
      </c>
      <c r="O586" s="170">
        <f t="shared" ref="O586:V586" si="78">SUM(O578:O585)</f>
        <v>227.1686618283141</v>
      </c>
      <c r="P586" s="170">
        <f t="shared" si="78"/>
        <v>383.14520409235945</v>
      </c>
      <c r="Q586" s="170">
        <f t="shared" si="78"/>
        <v>0</v>
      </c>
      <c r="R586" s="170">
        <f t="shared" si="78"/>
        <v>0</v>
      </c>
      <c r="S586" s="170">
        <f t="shared" si="78"/>
        <v>0</v>
      </c>
      <c r="T586" s="170">
        <f t="shared" si="78"/>
        <v>0</v>
      </c>
      <c r="U586" s="170">
        <f t="shared" si="78"/>
        <v>0</v>
      </c>
      <c r="V586" s="170">
        <f t="shared" si="78"/>
        <v>0</v>
      </c>
      <c r="W586" s="170">
        <f t="shared" ref="W586:Y586" si="79">SUM(W578:W585)</f>
        <v>0</v>
      </c>
      <c r="X586" s="170">
        <f t="shared" si="79"/>
        <v>0</v>
      </c>
      <c r="Y586" s="170">
        <f t="shared" si="79"/>
        <v>0</v>
      </c>
      <c r="Z586" s="144" t="e">
        <f t="shared" si="75"/>
        <v>#DIV/0!</v>
      </c>
    </row>
    <row r="587" spans="2:26">
      <c r="Q587" s="138"/>
      <c r="R587" s="138"/>
      <c r="S587" s="138"/>
      <c r="T587" s="138"/>
      <c r="U587" s="138"/>
      <c r="V587" s="138"/>
      <c r="W587" s="138"/>
      <c r="X587" s="138"/>
      <c r="Y587" s="138"/>
    </row>
    <row r="588" spans="2:26">
      <c r="Q588" s="138"/>
      <c r="R588" s="138"/>
      <c r="S588" s="138"/>
      <c r="T588" s="138"/>
      <c r="U588" s="138"/>
      <c r="V588" s="138"/>
      <c r="W588" s="138"/>
      <c r="X588" s="138"/>
      <c r="Y588" s="138"/>
    </row>
    <row r="589" spans="2:26">
      <c r="Q589" s="138"/>
      <c r="R589" s="138"/>
      <c r="S589" s="138"/>
      <c r="T589" s="138"/>
      <c r="U589" s="138"/>
      <c r="V589" s="138"/>
      <c r="W589" s="138"/>
      <c r="X589" s="138"/>
      <c r="Y589" s="138"/>
    </row>
    <row r="590" spans="2:26">
      <c r="Q590" s="138"/>
      <c r="R590" s="138"/>
      <c r="S590" s="138"/>
      <c r="T590" s="138"/>
      <c r="U590" s="138"/>
      <c r="V590" s="138"/>
      <c r="W590" s="138"/>
      <c r="X590" s="138"/>
      <c r="Y590" s="138"/>
    </row>
  </sheetData>
  <mergeCells count="1">
    <mergeCell ref="H286:N28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B2:O188"/>
  <sheetViews>
    <sheetView showGridLines="0" topLeftCell="B1" zoomScale="70" zoomScaleNormal="70" zoomScalePageLayoutView="70" workbookViewId="0">
      <pane xSplit="3" ySplit="7" topLeftCell="E8" activePane="bottomRight" state="frozen"/>
      <selection activeCell="S22" sqref="S22"/>
      <selection pane="topRight" activeCell="S22" sqref="S22"/>
      <selection pane="bottomLeft" activeCell="S22" sqref="S22"/>
      <selection pane="bottomRight" activeCell="B1" sqref="B1"/>
    </sheetView>
  </sheetViews>
  <sheetFormatPr defaultColWidth="9.21875" defaultRowHeight="13.2"/>
  <cols>
    <col min="1" max="1" width="4.44140625" customWidth="1"/>
    <col min="2" max="2" width="23.88671875" style="149" customWidth="1"/>
    <col min="3" max="3" width="12.33203125" style="149" customWidth="1"/>
    <col min="4" max="4" width="27.21875" style="149" customWidth="1"/>
    <col min="5" max="14" width="12.33203125" customWidth="1"/>
    <col min="15" max="15" width="13.44140625" customWidth="1"/>
    <col min="16" max="16" width="12.44140625" customWidth="1"/>
  </cols>
  <sheetData>
    <row r="2" spans="2:15" ht="17.399999999999999">
      <c r="B2" s="70" t="str">
        <f>Introduction!B2</f>
        <v xml:space="preserve">LightCounting Optical Components Market Forecast </v>
      </c>
      <c r="E2" s="2"/>
      <c r="F2" s="2"/>
      <c r="G2" s="2"/>
      <c r="H2" s="2"/>
      <c r="I2" s="2"/>
      <c r="J2" s="2"/>
      <c r="K2" s="2"/>
      <c r="L2" s="2"/>
      <c r="M2" s="2"/>
      <c r="N2" s="2"/>
      <c r="O2" s="2"/>
    </row>
    <row r="3" spans="2:15" ht="15">
      <c r="B3" s="588" t="str">
        <f>Introduction!B3</f>
        <v>Published 31 October 2023 - Sample - for illustrative purposes only</v>
      </c>
    </row>
    <row r="4" spans="2:15" ht="15.6">
      <c r="B4" s="180" t="s">
        <v>152</v>
      </c>
      <c r="D4" s="248" t="s">
        <v>202</v>
      </c>
    </row>
    <row r="6" spans="2:15" ht="15">
      <c r="B6" s="185" t="s">
        <v>0</v>
      </c>
      <c r="C6"/>
      <c r="D6" s="172"/>
      <c r="G6" s="408"/>
      <c r="J6" s="505"/>
    </row>
    <row r="7" spans="2:15">
      <c r="B7" s="189" t="s">
        <v>11</v>
      </c>
      <c r="C7" s="5" t="s">
        <v>12</v>
      </c>
      <c r="D7" s="176" t="s">
        <v>14</v>
      </c>
      <c r="E7" s="5">
        <v>2018</v>
      </c>
      <c r="F7" s="5">
        <v>2019</v>
      </c>
      <c r="G7" s="5">
        <v>2020</v>
      </c>
      <c r="H7" s="5">
        <v>2021</v>
      </c>
      <c r="I7" s="5">
        <v>2022</v>
      </c>
      <c r="J7" s="5">
        <v>2023</v>
      </c>
      <c r="K7" s="5">
        <v>2024</v>
      </c>
      <c r="L7" s="5">
        <v>2025</v>
      </c>
      <c r="M7" s="5">
        <v>2026</v>
      </c>
      <c r="N7" s="5">
        <v>2027</v>
      </c>
      <c r="O7" s="5">
        <v>2028</v>
      </c>
    </row>
    <row r="8" spans="2:15" ht="12.75" customHeight="1">
      <c r="B8" s="332" t="s">
        <v>39</v>
      </c>
      <c r="C8" s="320" t="s">
        <v>23</v>
      </c>
      <c r="D8" s="303" t="s">
        <v>24</v>
      </c>
      <c r="E8" s="548">
        <v>14338976</v>
      </c>
      <c r="F8" s="548">
        <v>12104234</v>
      </c>
      <c r="G8" s="548"/>
      <c r="H8" s="548"/>
      <c r="I8" s="548"/>
      <c r="J8" s="548"/>
      <c r="K8" s="548"/>
      <c r="L8" s="548"/>
      <c r="M8" s="548"/>
      <c r="N8" s="548"/>
      <c r="O8" s="548"/>
    </row>
    <row r="9" spans="2:15">
      <c r="B9" s="332" t="s">
        <v>78</v>
      </c>
      <c r="C9" s="320" t="s">
        <v>246</v>
      </c>
      <c r="D9" s="318" t="s">
        <v>23</v>
      </c>
      <c r="E9" s="540">
        <v>14084264</v>
      </c>
      <c r="F9" s="540">
        <v>12626905.000000002</v>
      </c>
      <c r="G9" s="540"/>
      <c r="H9" s="540"/>
      <c r="I9" s="540"/>
      <c r="J9" s="540"/>
      <c r="K9" s="540"/>
      <c r="L9" s="540"/>
      <c r="M9" s="540"/>
      <c r="N9" s="540"/>
      <c r="O9" s="540"/>
    </row>
    <row r="10" spans="2:15">
      <c r="B10" s="333" t="s">
        <v>78</v>
      </c>
      <c r="C10" s="253" t="s">
        <v>28</v>
      </c>
      <c r="D10" s="304" t="s">
        <v>23</v>
      </c>
      <c r="E10" s="540">
        <v>7087259</v>
      </c>
      <c r="F10" s="540">
        <v>5481407</v>
      </c>
      <c r="G10" s="540"/>
      <c r="H10" s="540"/>
      <c r="I10" s="540"/>
      <c r="J10" s="540"/>
      <c r="K10" s="540"/>
      <c r="L10" s="540"/>
      <c r="M10" s="540"/>
      <c r="N10" s="540"/>
      <c r="O10" s="540"/>
    </row>
    <row r="11" spans="2:15">
      <c r="B11" s="333" t="s">
        <v>78</v>
      </c>
      <c r="C11" s="253" t="s">
        <v>29</v>
      </c>
      <c r="D11" s="319" t="s">
        <v>23</v>
      </c>
      <c r="E11" s="540">
        <v>698120.6</v>
      </c>
      <c r="F11" s="540">
        <v>389518</v>
      </c>
      <c r="G11" s="540"/>
      <c r="H11" s="540"/>
      <c r="I11" s="540"/>
      <c r="J11" s="540"/>
      <c r="K11" s="540"/>
      <c r="L11" s="540"/>
      <c r="M11" s="540"/>
      <c r="N11" s="540"/>
      <c r="O11" s="540"/>
    </row>
    <row r="12" spans="2:15">
      <c r="B12" s="333" t="s">
        <v>78</v>
      </c>
      <c r="C12" s="253" t="s">
        <v>13</v>
      </c>
      <c r="D12" s="319" t="s">
        <v>23</v>
      </c>
      <c r="E12" s="540">
        <v>147361.5</v>
      </c>
      <c r="F12" s="540">
        <v>117209</v>
      </c>
      <c r="G12" s="540"/>
      <c r="H12" s="540"/>
      <c r="I12" s="540"/>
      <c r="J12" s="540"/>
      <c r="K12" s="540"/>
      <c r="L12" s="540"/>
      <c r="M12" s="540"/>
      <c r="N12" s="540"/>
      <c r="O12" s="540"/>
    </row>
    <row r="13" spans="2:15">
      <c r="B13" s="334" t="s">
        <v>78</v>
      </c>
      <c r="C13" s="321" t="s">
        <v>23</v>
      </c>
      <c r="D13" s="213" t="s">
        <v>245</v>
      </c>
      <c r="E13" s="539">
        <v>3500</v>
      </c>
      <c r="F13" s="539">
        <v>5000</v>
      </c>
      <c r="G13" s="539"/>
      <c r="H13" s="539"/>
      <c r="I13" s="539"/>
      <c r="J13" s="539"/>
      <c r="K13" s="539"/>
      <c r="L13" s="539"/>
      <c r="M13" s="539"/>
      <c r="N13" s="539"/>
      <c r="O13" s="539"/>
    </row>
    <row r="14" spans="2:15">
      <c r="B14" s="328" t="s">
        <v>231</v>
      </c>
      <c r="C14" s="253" t="s">
        <v>249</v>
      </c>
      <c r="D14" s="319" t="s">
        <v>230</v>
      </c>
      <c r="E14" s="540">
        <v>318978</v>
      </c>
      <c r="F14" s="540">
        <v>662127</v>
      </c>
      <c r="G14" s="540"/>
      <c r="H14" s="540"/>
      <c r="I14" s="540"/>
      <c r="J14" s="540"/>
      <c r="K14" s="540"/>
      <c r="L14" s="540"/>
      <c r="M14" s="540"/>
      <c r="N14" s="540"/>
      <c r="O14" s="540"/>
    </row>
    <row r="15" spans="2:15">
      <c r="B15" s="329" t="s">
        <v>231</v>
      </c>
      <c r="C15" s="253" t="s">
        <v>28</v>
      </c>
      <c r="D15" s="319" t="s">
        <v>230</v>
      </c>
      <c r="E15" s="540">
        <v>56709</v>
      </c>
      <c r="F15" s="540">
        <v>66057</v>
      </c>
      <c r="G15" s="540"/>
      <c r="H15" s="540"/>
      <c r="I15" s="540"/>
      <c r="J15" s="540"/>
      <c r="K15" s="540"/>
      <c r="L15" s="540"/>
      <c r="M15" s="540"/>
      <c r="N15" s="540"/>
      <c r="O15" s="540"/>
    </row>
    <row r="16" spans="2:15">
      <c r="B16" s="330" t="s">
        <v>231</v>
      </c>
      <c r="C16" s="321" t="s">
        <v>29</v>
      </c>
      <c r="D16" s="213" t="s">
        <v>230</v>
      </c>
      <c r="E16" s="539">
        <v>0</v>
      </c>
      <c r="F16" s="539">
        <v>0</v>
      </c>
      <c r="G16" s="539"/>
      <c r="H16" s="539"/>
      <c r="I16" s="539"/>
      <c r="J16" s="539"/>
      <c r="K16" s="539"/>
      <c r="L16" s="539"/>
      <c r="M16" s="539"/>
      <c r="N16" s="539"/>
      <c r="O16" s="539"/>
    </row>
    <row r="17" spans="2:15">
      <c r="B17" s="328" t="s">
        <v>89</v>
      </c>
      <c r="C17" s="264" t="s">
        <v>249</v>
      </c>
      <c r="D17" s="303" t="s">
        <v>196</v>
      </c>
      <c r="E17" s="541">
        <v>1975810.7525500001</v>
      </c>
      <c r="F17" s="541">
        <v>1412949</v>
      </c>
      <c r="G17" s="541"/>
      <c r="H17" s="541"/>
      <c r="I17" s="541"/>
      <c r="J17" s="541"/>
      <c r="K17" s="541"/>
      <c r="L17" s="541"/>
      <c r="M17" s="541"/>
      <c r="N17" s="541"/>
      <c r="O17" s="541"/>
    </row>
    <row r="18" spans="2:15">
      <c r="B18" s="329" t="s">
        <v>319</v>
      </c>
      <c r="C18" s="263" t="s">
        <v>26</v>
      </c>
      <c r="D18" s="304" t="s">
        <v>196</v>
      </c>
      <c r="E18" s="542">
        <v>502708</v>
      </c>
      <c r="F18" s="542">
        <v>496500</v>
      </c>
      <c r="G18" s="542"/>
      <c r="H18" s="542"/>
      <c r="I18" s="542"/>
      <c r="J18" s="542"/>
      <c r="K18" s="542"/>
      <c r="L18" s="542"/>
      <c r="M18" s="542"/>
      <c r="N18" s="542"/>
      <c r="O18" s="542"/>
    </row>
    <row r="19" spans="2:15">
      <c r="B19" s="324" t="s">
        <v>320</v>
      </c>
      <c r="C19" s="263" t="s">
        <v>27</v>
      </c>
      <c r="D19" s="322" t="s">
        <v>220</v>
      </c>
      <c r="E19" s="540">
        <v>0</v>
      </c>
      <c r="F19" s="540">
        <v>0</v>
      </c>
      <c r="G19" s="540"/>
      <c r="H19" s="540"/>
      <c r="I19" s="540"/>
      <c r="J19" s="540"/>
      <c r="K19" s="540"/>
      <c r="L19" s="540"/>
      <c r="M19" s="540"/>
      <c r="N19" s="540"/>
      <c r="O19" s="540"/>
    </row>
    <row r="20" spans="2:15" ht="12" customHeight="1">
      <c r="B20" s="324" t="s">
        <v>320</v>
      </c>
      <c r="C20" s="263" t="s">
        <v>27</v>
      </c>
      <c r="D20" s="322" t="s">
        <v>221</v>
      </c>
      <c r="E20" s="540">
        <v>271820.99999999994</v>
      </c>
      <c r="F20" s="540">
        <v>430790</v>
      </c>
      <c r="G20" s="540"/>
      <c r="H20" s="540"/>
      <c r="I20" s="540"/>
      <c r="J20" s="540"/>
      <c r="K20" s="540"/>
      <c r="L20" s="540"/>
      <c r="M20" s="540"/>
      <c r="N20" s="540"/>
      <c r="O20" s="540"/>
    </row>
    <row r="21" spans="2:15">
      <c r="B21" s="324" t="s">
        <v>320</v>
      </c>
      <c r="C21" s="263" t="s">
        <v>28</v>
      </c>
      <c r="D21" s="304" t="s">
        <v>23</v>
      </c>
      <c r="E21" s="540">
        <v>269337</v>
      </c>
      <c r="F21" s="540">
        <v>345066</v>
      </c>
      <c r="G21" s="540"/>
      <c r="H21" s="540"/>
      <c r="I21" s="540"/>
      <c r="J21" s="540"/>
      <c r="K21" s="540"/>
      <c r="L21" s="540"/>
      <c r="M21" s="540"/>
      <c r="N21" s="540"/>
      <c r="O21" s="540"/>
    </row>
    <row r="22" spans="2:15">
      <c r="B22" s="324" t="s">
        <v>320</v>
      </c>
      <c r="C22" s="263" t="s">
        <v>29</v>
      </c>
      <c r="D22" s="304" t="s">
        <v>23</v>
      </c>
      <c r="E22" s="539">
        <v>8224</v>
      </c>
      <c r="F22" s="539">
        <v>4475</v>
      </c>
      <c r="G22" s="539"/>
      <c r="H22" s="539"/>
      <c r="I22" s="539"/>
      <c r="J22" s="539"/>
      <c r="K22" s="539"/>
      <c r="L22" s="539"/>
      <c r="M22" s="539"/>
      <c r="N22" s="539"/>
      <c r="O22" s="539"/>
    </row>
    <row r="23" spans="2:15">
      <c r="B23" s="531" t="s">
        <v>288</v>
      </c>
      <c r="C23" s="239" t="s">
        <v>27</v>
      </c>
      <c r="D23" s="303" t="s">
        <v>23</v>
      </c>
      <c r="E23" s="541">
        <v>0</v>
      </c>
      <c r="F23" s="541">
        <v>0</v>
      </c>
      <c r="G23" s="541"/>
      <c r="H23" s="541"/>
      <c r="I23" s="541"/>
      <c r="J23" s="541"/>
      <c r="K23" s="541"/>
      <c r="L23" s="541"/>
      <c r="M23" s="541"/>
      <c r="N23" s="541"/>
      <c r="O23" s="541"/>
    </row>
    <row r="24" spans="2:15">
      <c r="B24" s="324" t="s">
        <v>288</v>
      </c>
      <c r="C24" s="253" t="s">
        <v>28</v>
      </c>
      <c r="D24" s="304" t="s">
        <v>23</v>
      </c>
      <c r="E24" s="540">
        <v>0</v>
      </c>
      <c r="F24" s="540">
        <v>0</v>
      </c>
      <c r="G24" s="540"/>
      <c r="H24" s="540"/>
      <c r="I24" s="540"/>
      <c r="J24" s="540"/>
      <c r="K24" s="540"/>
      <c r="L24" s="540"/>
      <c r="M24" s="540"/>
      <c r="N24" s="540"/>
      <c r="O24" s="540"/>
    </row>
    <row r="25" spans="2:15">
      <c r="B25" s="532" t="s">
        <v>288</v>
      </c>
      <c r="C25" s="253" t="s">
        <v>29</v>
      </c>
      <c r="D25" s="213" t="s">
        <v>23</v>
      </c>
      <c r="E25" s="539">
        <v>0</v>
      </c>
      <c r="F25" s="539">
        <v>0</v>
      </c>
      <c r="G25" s="539"/>
      <c r="H25" s="539"/>
      <c r="I25" s="539"/>
      <c r="J25" s="539"/>
      <c r="K25" s="539"/>
      <c r="L25" s="539"/>
      <c r="M25" s="539"/>
      <c r="N25" s="539"/>
      <c r="O25" s="539"/>
    </row>
    <row r="26" spans="2:15">
      <c r="B26" s="332" t="s">
        <v>30</v>
      </c>
      <c r="C26" s="239" t="s">
        <v>249</v>
      </c>
      <c r="D26" s="303" t="s">
        <v>23</v>
      </c>
      <c r="E26" s="541">
        <v>2082911</v>
      </c>
      <c r="F26" s="541">
        <v>2208207.8911414719</v>
      </c>
      <c r="G26" s="541"/>
      <c r="H26" s="541"/>
      <c r="I26" s="541"/>
      <c r="J26" s="541"/>
      <c r="K26" s="541"/>
      <c r="L26" s="541"/>
      <c r="M26" s="541"/>
      <c r="N26" s="541"/>
      <c r="O26" s="541"/>
    </row>
    <row r="27" spans="2:15">
      <c r="B27" s="333" t="s">
        <v>393</v>
      </c>
      <c r="C27" s="253" t="s">
        <v>26</v>
      </c>
      <c r="D27" s="304" t="s">
        <v>250</v>
      </c>
      <c r="E27" s="540">
        <v>514311</v>
      </c>
      <c r="F27" s="540">
        <v>829300</v>
      </c>
      <c r="G27" s="540"/>
      <c r="H27" s="540"/>
      <c r="I27" s="540"/>
      <c r="J27" s="540"/>
      <c r="K27" s="540"/>
      <c r="L27" s="540"/>
      <c r="M27" s="540"/>
      <c r="N27" s="540"/>
      <c r="O27" s="540"/>
    </row>
    <row r="28" spans="2:15">
      <c r="B28" s="333" t="s">
        <v>397</v>
      </c>
      <c r="C28" s="253" t="s">
        <v>26</v>
      </c>
      <c r="D28" s="304" t="s">
        <v>250</v>
      </c>
      <c r="E28" s="540">
        <v>0</v>
      </c>
      <c r="F28" s="540">
        <v>0</v>
      </c>
      <c r="G28" s="540"/>
      <c r="H28" s="540"/>
      <c r="I28" s="540"/>
      <c r="J28" s="540"/>
      <c r="K28" s="540"/>
      <c r="L28" s="540"/>
      <c r="M28" s="540"/>
      <c r="N28" s="540"/>
      <c r="O28" s="540"/>
    </row>
    <row r="29" spans="2:15">
      <c r="B29" s="333" t="s">
        <v>394</v>
      </c>
      <c r="C29" s="263" t="s">
        <v>391</v>
      </c>
      <c r="D29" s="304" t="s">
        <v>250</v>
      </c>
      <c r="E29" s="540">
        <v>2966292.6190476189</v>
      </c>
      <c r="F29" s="540">
        <v>4092959</v>
      </c>
      <c r="G29" s="540"/>
      <c r="H29" s="540"/>
      <c r="I29" s="540"/>
      <c r="J29" s="540"/>
      <c r="K29" s="540"/>
      <c r="L29" s="540"/>
      <c r="M29" s="540"/>
      <c r="N29" s="540"/>
      <c r="O29" s="540"/>
    </row>
    <row r="30" spans="2:15">
      <c r="B30" s="333" t="s">
        <v>398</v>
      </c>
      <c r="C30" s="263" t="s">
        <v>27</v>
      </c>
      <c r="D30" s="304" t="s">
        <v>250</v>
      </c>
      <c r="E30" s="540">
        <v>3000</v>
      </c>
      <c r="F30" s="540">
        <v>25083</v>
      </c>
      <c r="G30" s="540"/>
      <c r="H30" s="540"/>
      <c r="I30" s="540"/>
      <c r="J30" s="540"/>
      <c r="K30" s="540"/>
      <c r="L30" s="540"/>
      <c r="M30" s="540"/>
      <c r="N30" s="540"/>
      <c r="O30" s="540"/>
    </row>
    <row r="31" spans="2:15">
      <c r="B31" s="333" t="s">
        <v>30</v>
      </c>
      <c r="C31" s="263" t="s">
        <v>253</v>
      </c>
      <c r="D31" s="304" t="s">
        <v>23</v>
      </c>
      <c r="E31" s="540">
        <v>610404.1176470588</v>
      </c>
      <c r="F31" s="540">
        <v>726058</v>
      </c>
      <c r="G31" s="540"/>
      <c r="H31" s="540"/>
      <c r="I31" s="540"/>
      <c r="J31" s="540"/>
      <c r="K31" s="540"/>
      <c r="L31" s="540"/>
      <c r="M31" s="540"/>
      <c r="N31" s="540"/>
      <c r="O31" s="540"/>
    </row>
    <row r="32" spans="2:15" ht="14.55" customHeight="1">
      <c r="B32" s="334" t="s">
        <v>30</v>
      </c>
      <c r="C32" s="283" t="s">
        <v>390</v>
      </c>
      <c r="D32" s="213" t="s">
        <v>392</v>
      </c>
      <c r="E32" s="540">
        <v>10100</v>
      </c>
      <c r="F32" s="540">
        <v>26734</v>
      </c>
      <c r="G32" s="540"/>
      <c r="H32" s="540"/>
      <c r="I32" s="540"/>
      <c r="J32" s="540"/>
      <c r="K32" s="540"/>
      <c r="L32" s="540"/>
      <c r="M32" s="540"/>
      <c r="N32" s="540"/>
      <c r="O32" s="540"/>
    </row>
    <row r="33" spans="2:15">
      <c r="B33" s="325" t="s">
        <v>500</v>
      </c>
      <c r="C33" s="239" t="s">
        <v>25</v>
      </c>
      <c r="D33" s="239" t="s">
        <v>501</v>
      </c>
      <c r="E33" s="541">
        <v>500</v>
      </c>
      <c r="F33" s="541">
        <v>5000</v>
      </c>
      <c r="G33" s="541"/>
      <c r="H33" s="541"/>
      <c r="I33" s="541"/>
      <c r="J33" s="541"/>
      <c r="K33" s="541"/>
      <c r="L33" s="541"/>
      <c r="M33" s="541"/>
      <c r="N33" s="541"/>
      <c r="O33" s="541"/>
    </row>
    <row r="34" spans="2:15">
      <c r="B34" s="326" t="s">
        <v>502</v>
      </c>
      <c r="C34" s="263" t="s">
        <v>26</v>
      </c>
      <c r="D34" s="263" t="s">
        <v>233</v>
      </c>
      <c r="E34" s="540">
        <v>0</v>
      </c>
      <c r="F34" s="540">
        <v>0</v>
      </c>
      <c r="G34" s="540"/>
      <c r="H34" s="540"/>
      <c r="I34" s="540"/>
      <c r="J34" s="540"/>
      <c r="K34" s="540"/>
      <c r="L34" s="540"/>
      <c r="M34" s="540"/>
      <c r="N34" s="540"/>
      <c r="O34" s="540"/>
    </row>
    <row r="35" spans="2:15" ht="15" customHeight="1">
      <c r="B35" s="326" t="s">
        <v>503</v>
      </c>
      <c r="C35" s="263" t="s">
        <v>499</v>
      </c>
      <c r="D35" s="263" t="s">
        <v>501</v>
      </c>
      <c r="E35" s="540">
        <v>500</v>
      </c>
      <c r="F35" s="540">
        <v>6072</v>
      </c>
      <c r="G35" s="540"/>
      <c r="H35" s="540"/>
      <c r="I35" s="540"/>
      <c r="J35" s="540"/>
      <c r="K35" s="540"/>
      <c r="L35" s="540"/>
      <c r="M35" s="540"/>
      <c r="N35" s="540"/>
      <c r="O35" s="540"/>
    </row>
    <row r="36" spans="2:15" ht="15" customHeight="1">
      <c r="B36" s="326" t="s">
        <v>504</v>
      </c>
      <c r="C36" s="263" t="s">
        <v>28</v>
      </c>
      <c r="D36" s="263" t="s">
        <v>233</v>
      </c>
      <c r="E36" s="540">
        <v>0</v>
      </c>
      <c r="F36" s="540">
        <v>0</v>
      </c>
      <c r="G36" s="540"/>
      <c r="H36" s="540"/>
      <c r="I36" s="540"/>
      <c r="J36" s="540"/>
      <c r="K36" s="540"/>
      <c r="L36" s="540"/>
      <c r="M36" s="540"/>
      <c r="N36" s="540"/>
      <c r="O36" s="540"/>
    </row>
    <row r="37" spans="2:15" ht="15" customHeight="1">
      <c r="B37" s="327" t="s">
        <v>505</v>
      </c>
      <c r="C37" s="283" t="s">
        <v>29</v>
      </c>
      <c r="D37" s="283" t="s">
        <v>233</v>
      </c>
      <c r="E37" s="539">
        <v>0</v>
      </c>
      <c r="F37" s="539">
        <v>0</v>
      </c>
      <c r="G37" s="539"/>
      <c r="H37" s="539"/>
      <c r="I37" s="539"/>
      <c r="J37" s="539"/>
      <c r="K37" s="539"/>
      <c r="L37" s="539"/>
      <c r="M37" s="539"/>
      <c r="N37" s="539"/>
      <c r="O37" s="539"/>
    </row>
    <row r="38" spans="2:15">
      <c r="B38" s="325" t="s">
        <v>506</v>
      </c>
      <c r="C38" s="239" t="s">
        <v>25</v>
      </c>
      <c r="D38" s="451" t="s">
        <v>507</v>
      </c>
      <c r="E38" s="541">
        <v>23000</v>
      </c>
      <c r="F38" s="541">
        <v>60000</v>
      </c>
      <c r="G38" s="541"/>
      <c r="H38" s="541"/>
      <c r="I38" s="541"/>
      <c r="J38" s="541"/>
      <c r="K38" s="541"/>
      <c r="L38" s="541"/>
      <c r="M38" s="541"/>
      <c r="N38" s="541"/>
      <c r="O38" s="541"/>
    </row>
    <row r="39" spans="2:15">
      <c r="B39" s="326" t="s">
        <v>515</v>
      </c>
      <c r="C39" s="304" t="s">
        <v>25</v>
      </c>
      <c r="D39" s="452" t="s">
        <v>507</v>
      </c>
      <c r="E39" s="540">
        <v>0</v>
      </c>
      <c r="F39" s="540">
        <v>0</v>
      </c>
      <c r="G39" s="540"/>
      <c r="H39" s="540"/>
      <c r="I39" s="540"/>
      <c r="J39" s="540"/>
      <c r="K39" s="540"/>
      <c r="L39" s="540"/>
      <c r="M39" s="540"/>
      <c r="N39" s="540"/>
      <c r="O39" s="540"/>
    </row>
    <row r="40" spans="2:15">
      <c r="B40" s="329" t="s">
        <v>508</v>
      </c>
      <c r="C40" s="304" t="s">
        <v>26</v>
      </c>
      <c r="D40" s="263" t="s">
        <v>509</v>
      </c>
      <c r="E40" s="540">
        <v>2000</v>
      </c>
      <c r="F40" s="540">
        <v>29283</v>
      </c>
      <c r="G40" s="540"/>
      <c r="H40" s="540"/>
      <c r="I40" s="540"/>
      <c r="J40" s="540"/>
      <c r="K40" s="540"/>
      <c r="L40" s="540"/>
      <c r="M40" s="540"/>
      <c r="N40" s="540"/>
      <c r="O40" s="540"/>
    </row>
    <row r="41" spans="2:15">
      <c r="B41" s="329" t="s">
        <v>510</v>
      </c>
      <c r="C41" s="304" t="s">
        <v>27</v>
      </c>
      <c r="D41" s="263" t="s">
        <v>511</v>
      </c>
      <c r="E41" s="540">
        <v>12000</v>
      </c>
      <c r="F41" s="540">
        <v>53000</v>
      </c>
      <c r="G41" s="540"/>
      <c r="H41" s="540"/>
      <c r="I41" s="540"/>
      <c r="J41" s="540"/>
      <c r="K41" s="540"/>
      <c r="L41" s="540"/>
      <c r="M41" s="540"/>
      <c r="N41" s="540"/>
      <c r="O41" s="540"/>
    </row>
    <row r="42" spans="2:15">
      <c r="B42" s="329" t="s">
        <v>512</v>
      </c>
      <c r="C42" s="304" t="s">
        <v>27</v>
      </c>
      <c r="D42" s="263" t="s">
        <v>509</v>
      </c>
      <c r="E42" s="540">
        <v>1000</v>
      </c>
      <c r="F42" s="540">
        <v>2555</v>
      </c>
      <c r="G42" s="540"/>
      <c r="H42" s="540"/>
      <c r="I42" s="540"/>
      <c r="J42" s="540"/>
      <c r="K42" s="540"/>
      <c r="L42" s="540"/>
      <c r="M42" s="540"/>
      <c r="N42" s="540"/>
      <c r="O42" s="540"/>
    </row>
    <row r="43" spans="2:15" ht="13.5" customHeight="1">
      <c r="B43" s="329" t="s">
        <v>513</v>
      </c>
      <c r="C43" s="304" t="s">
        <v>28</v>
      </c>
      <c r="D43" s="263" t="s">
        <v>509</v>
      </c>
      <c r="E43" s="540">
        <v>1000</v>
      </c>
      <c r="F43" s="540">
        <v>1817.6263736263736</v>
      </c>
      <c r="G43" s="540"/>
      <c r="H43" s="540"/>
      <c r="I43" s="540"/>
      <c r="J43" s="540"/>
      <c r="K43" s="540"/>
      <c r="L43" s="540"/>
      <c r="M43" s="540"/>
      <c r="N43" s="540"/>
      <c r="O43" s="540"/>
    </row>
    <row r="44" spans="2:15" ht="13.5" customHeight="1">
      <c r="B44" s="330" t="s">
        <v>514</v>
      </c>
      <c r="C44" s="213" t="s">
        <v>29</v>
      </c>
      <c r="D44" s="283" t="s">
        <v>233</v>
      </c>
      <c r="E44" s="539">
        <v>0</v>
      </c>
      <c r="F44" s="539">
        <v>0</v>
      </c>
      <c r="G44" s="539"/>
      <c r="H44" s="539"/>
      <c r="I44" s="539"/>
      <c r="J44" s="539"/>
      <c r="K44" s="539"/>
      <c r="L44" s="539"/>
      <c r="M44" s="539"/>
      <c r="N44" s="539"/>
      <c r="O44" s="539"/>
    </row>
    <row r="45" spans="2:15">
      <c r="B45" s="329" t="s">
        <v>490</v>
      </c>
      <c r="C45" s="304" t="s">
        <v>491</v>
      </c>
      <c r="D45" s="263" t="s">
        <v>492</v>
      </c>
      <c r="E45" s="540">
        <v>0</v>
      </c>
      <c r="F45" s="540">
        <v>0</v>
      </c>
      <c r="G45" s="540"/>
      <c r="H45" s="540"/>
      <c r="I45" s="540"/>
      <c r="J45" s="540"/>
      <c r="K45" s="540"/>
      <c r="L45" s="540"/>
      <c r="M45" s="540"/>
      <c r="N45" s="540"/>
      <c r="O45" s="540"/>
    </row>
    <row r="46" spans="2:15">
      <c r="B46" s="329" t="s">
        <v>493</v>
      </c>
      <c r="C46" s="304" t="s">
        <v>26</v>
      </c>
      <c r="D46" s="263" t="s">
        <v>492</v>
      </c>
      <c r="E46" s="540">
        <v>0</v>
      </c>
      <c r="F46" s="540">
        <v>0</v>
      </c>
      <c r="G46" s="540"/>
      <c r="H46" s="540"/>
      <c r="I46" s="540"/>
      <c r="J46" s="540"/>
      <c r="K46" s="540"/>
      <c r="L46" s="540"/>
      <c r="M46" s="540"/>
      <c r="N46" s="540"/>
      <c r="O46" s="540"/>
    </row>
    <row r="47" spans="2:15" ht="13.05" customHeight="1">
      <c r="B47" s="329" t="s">
        <v>494</v>
      </c>
      <c r="C47" s="304" t="s">
        <v>27</v>
      </c>
      <c r="D47" s="263" t="s">
        <v>492</v>
      </c>
      <c r="E47" s="540">
        <v>0</v>
      </c>
      <c r="F47" s="540">
        <v>0</v>
      </c>
      <c r="G47" s="540"/>
      <c r="H47" s="540"/>
      <c r="I47" s="540"/>
      <c r="J47" s="540"/>
      <c r="K47" s="540"/>
      <c r="L47" s="540"/>
      <c r="M47" s="540"/>
      <c r="N47" s="540"/>
      <c r="O47" s="540"/>
    </row>
    <row r="48" spans="2:15">
      <c r="B48" s="329" t="s">
        <v>495</v>
      </c>
      <c r="C48" s="304" t="s">
        <v>28</v>
      </c>
      <c r="D48" s="263" t="s">
        <v>23</v>
      </c>
      <c r="E48" s="540">
        <v>0</v>
      </c>
      <c r="F48" s="540">
        <v>0</v>
      </c>
      <c r="G48" s="540"/>
      <c r="H48" s="540"/>
      <c r="I48" s="540"/>
      <c r="J48" s="540"/>
      <c r="K48" s="540"/>
      <c r="L48" s="540"/>
      <c r="M48" s="540"/>
      <c r="N48" s="540"/>
      <c r="O48" s="540"/>
    </row>
    <row r="49" spans="2:15" ht="15" customHeight="1">
      <c r="B49" s="329" t="s">
        <v>496</v>
      </c>
      <c r="C49" s="304" t="s">
        <v>498</v>
      </c>
      <c r="D49" s="263" t="s">
        <v>23</v>
      </c>
      <c r="E49" s="540">
        <v>0</v>
      </c>
      <c r="F49" s="540">
        <v>0</v>
      </c>
      <c r="G49" s="540"/>
      <c r="H49" s="540"/>
      <c r="I49" s="540"/>
      <c r="J49" s="540"/>
      <c r="K49" s="540"/>
      <c r="L49" s="540"/>
      <c r="M49" s="540"/>
      <c r="N49" s="540"/>
      <c r="O49" s="540"/>
    </row>
    <row r="50" spans="2:15">
      <c r="B50" s="329" t="s">
        <v>497</v>
      </c>
      <c r="C50" s="304" t="s">
        <v>29</v>
      </c>
      <c r="D50" s="263" t="s">
        <v>23</v>
      </c>
      <c r="E50" s="540">
        <v>0</v>
      </c>
      <c r="F50" s="540">
        <v>0</v>
      </c>
      <c r="G50" s="540"/>
      <c r="H50" s="540"/>
      <c r="I50" s="540"/>
      <c r="J50" s="540"/>
      <c r="K50" s="540"/>
      <c r="L50" s="540"/>
      <c r="M50" s="540"/>
      <c r="N50" s="540"/>
      <c r="O50" s="540"/>
    </row>
    <row r="51" spans="2:15">
      <c r="B51" s="328" t="s">
        <v>461</v>
      </c>
      <c r="C51" s="303" t="s">
        <v>23</v>
      </c>
      <c r="D51" s="239" t="s">
        <v>23</v>
      </c>
      <c r="E51" s="541">
        <v>0</v>
      </c>
      <c r="F51" s="541">
        <v>0</v>
      </c>
      <c r="G51" s="541"/>
      <c r="H51" s="541"/>
      <c r="I51" s="541"/>
      <c r="J51" s="541"/>
      <c r="K51" s="541"/>
      <c r="L51" s="541"/>
      <c r="M51" s="541"/>
      <c r="N51" s="541"/>
      <c r="O51" s="541"/>
    </row>
    <row r="52" spans="2:15">
      <c r="B52" s="330" t="s">
        <v>462</v>
      </c>
      <c r="C52" s="213" t="s">
        <v>23</v>
      </c>
      <c r="D52" s="283" t="s">
        <v>23</v>
      </c>
      <c r="E52" s="539">
        <v>0</v>
      </c>
      <c r="F52" s="539">
        <v>0</v>
      </c>
      <c r="G52" s="539"/>
      <c r="H52" s="539"/>
      <c r="I52" s="539"/>
      <c r="J52" s="539"/>
      <c r="K52" s="539"/>
      <c r="L52" s="539"/>
      <c r="M52" s="539"/>
      <c r="N52" s="539"/>
      <c r="O52" s="539"/>
    </row>
    <row r="53" spans="2:15">
      <c r="B53" s="331" t="s">
        <v>9</v>
      </c>
      <c r="C53" s="173" t="s">
        <v>23</v>
      </c>
      <c r="D53" s="173" t="s">
        <v>23</v>
      </c>
      <c r="E53" s="291">
        <f t="shared" ref="E53:F53" si="0">SUM(E8:E52)</f>
        <v>45990087.589244679</v>
      </c>
      <c r="F53" s="291">
        <f t="shared" si="0"/>
        <v>42208306.517515101</v>
      </c>
      <c r="G53" s="291"/>
      <c r="H53" s="291"/>
      <c r="I53" s="291"/>
      <c r="J53" s="291"/>
      <c r="K53" s="291"/>
      <c r="L53" s="291"/>
      <c r="M53" s="291"/>
      <c r="N53" s="291"/>
      <c r="O53" s="291"/>
    </row>
    <row r="54" spans="2:15">
      <c r="B54"/>
      <c r="C54"/>
      <c r="D54" s="172"/>
      <c r="E54" s="6">
        <v>0.20886523606412011</v>
      </c>
      <c r="F54" s="6">
        <f t="shared" ref="F54" si="1">IF(E53=0,"",F53/E53-1)</f>
        <v>-8.2230351581543681E-2</v>
      </c>
      <c r="G54" s="6"/>
      <c r="H54" s="6"/>
      <c r="I54" s="6"/>
      <c r="J54" s="6"/>
      <c r="K54" s="6"/>
      <c r="L54" s="6"/>
      <c r="M54" s="6"/>
      <c r="N54" s="6"/>
      <c r="O54" s="6"/>
    </row>
    <row r="55" spans="2:15">
      <c r="B55" s="185" t="s">
        <v>65</v>
      </c>
      <c r="C55"/>
      <c r="D55" s="172"/>
      <c r="E55" s="249">
        <v>0</v>
      </c>
      <c r="F55" s="249">
        <v>0</v>
      </c>
      <c r="G55" s="249"/>
      <c r="H55" s="249"/>
      <c r="I55" s="249"/>
      <c r="J55" s="249"/>
      <c r="K55" s="249"/>
      <c r="L55" s="249"/>
      <c r="M55" s="249"/>
      <c r="N55" s="249"/>
      <c r="O55" s="249"/>
    </row>
    <row r="56" spans="2:15">
      <c r="B56" s="190" t="s">
        <v>11</v>
      </c>
      <c r="C56" s="108" t="s">
        <v>12</v>
      </c>
      <c r="D56" s="191" t="s">
        <v>14</v>
      </c>
      <c r="E56" s="108">
        <v>2018</v>
      </c>
      <c r="F56" s="108">
        <v>2019</v>
      </c>
      <c r="G56" s="108"/>
      <c r="H56" s="108"/>
      <c r="I56" s="108"/>
      <c r="J56" s="108"/>
      <c r="K56" s="108"/>
      <c r="L56" s="108"/>
      <c r="M56" s="108"/>
      <c r="N56" s="108"/>
      <c r="O56" s="108"/>
    </row>
    <row r="57" spans="2:15">
      <c r="B57" s="335" t="str">
        <f t="shared" ref="B57:D76" si="2">B8</f>
        <v>1 Gbps</v>
      </c>
      <c r="C57" s="336" t="str">
        <f t="shared" si="2"/>
        <v>All</v>
      </c>
      <c r="D57" s="337" t="str">
        <f t="shared" si="2"/>
        <v>SFP</v>
      </c>
      <c r="E57" s="338">
        <f t="shared" ref="E57:F57" si="3">IF(E8=0,,E105*10^6/E8)</f>
        <v>9.1996642661233263</v>
      </c>
      <c r="F57" s="338">
        <f t="shared" si="3"/>
        <v>7.6635049305225342</v>
      </c>
      <c r="G57" s="338"/>
      <c r="H57" s="338"/>
      <c r="I57" s="338"/>
      <c r="J57" s="338"/>
      <c r="K57" s="222"/>
      <c r="L57" s="222"/>
      <c r="M57" s="222"/>
      <c r="N57" s="222"/>
      <c r="O57" s="222"/>
    </row>
    <row r="58" spans="2:15">
      <c r="B58" s="335" t="str">
        <f t="shared" si="2"/>
        <v>10 Gbps</v>
      </c>
      <c r="C58" s="336" t="str">
        <f t="shared" si="2"/>
        <v>0-0.3 km</v>
      </c>
      <c r="D58" s="347" t="str">
        <f t="shared" si="2"/>
        <v>All</v>
      </c>
      <c r="E58" s="258">
        <f t="shared" ref="E58:F58" si="4">IF(E9=0,,E106*10^6/E9)</f>
        <v>13.378504467242029</v>
      </c>
      <c r="F58" s="258">
        <f t="shared" si="4"/>
        <v>12.174309183445981</v>
      </c>
      <c r="G58" s="258"/>
      <c r="H58" s="258"/>
      <c r="I58" s="258"/>
      <c r="J58" s="258"/>
      <c r="K58" s="259"/>
      <c r="L58" s="259"/>
      <c r="M58" s="259"/>
      <c r="N58" s="259"/>
      <c r="O58" s="259"/>
    </row>
    <row r="59" spans="2:15">
      <c r="B59" s="339" t="str">
        <f t="shared" si="2"/>
        <v>10 Gbps</v>
      </c>
      <c r="C59" s="340" t="str">
        <f t="shared" si="2"/>
        <v>10 km</v>
      </c>
      <c r="D59" s="341" t="str">
        <f t="shared" si="2"/>
        <v>All</v>
      </c>
      <c r="E59" s="271">
        <f t="shared" ref="E59:F59" si="5">IF(E10=0,,E107*10^6/E10)</f>
        <v>24.729885950225217</v>
      </c>
      <c r="F59" s="271">
        <f t="shared" si="5"/>
        <v>22.301312756255584</v>
      </c>
      <c r="G59" s="271"/>
      <c r="H59" s="271"/>
      <c r="I59" s="271"/>
      <c r="J59" s="271"/>
      <c r="K59" s="271"/>
      <c r="L59" s="271"/>
      <c r="M59" s="271"/>
      <c r="N59" s="271"/>
      <c r="O59" s="271"/>
    </row>
    <row r="60" spans="2:15" ht="12.75" customHeight="1">
      <c r="B60" s="339" t="str">
        <f t="shared" si="2"/>
        <v>10 Gbps</v>
      </c>
      <c r="C60" s="340" t="str">
        <f t="shared" si="2"/>
        <v>40 km</v>
      </c>
      <c r="D60" s="348" t="str">
        <f t="shared" si="2"/>
        <v>All</v>
      </c>
      <c r="E60" s="271">
        <f t="shared" ref="E60:F60" si="6">IF(E11=0,,E108*10^6/E11)</f>
        <v>104.37412339183791</v>
      </c>
      <c r="F60" s="271">
        <f t="shared" si="6"/>
        <v>75.058521862397143</v>
      </c>
      <c r="G60" s="271"/>
      <c r="H60" s="271"/>
      <c r="I60" s="271"/>
      <c r="J60" s="271"/>
      <c r="K60" s="271"/>
      <c r="L60" s="271"/>
      <c r="M60" s="271"/>
      <c r="N60" s="271"/>
      <c r="O60" s="271"/>
    </row>
    <row r="61" spans="2:15">
      <c r="B61" s="339" t="str">
        <f t="shared" si="2"/>
        <v>10 Gbps</v>
      </c>
      <c r="C61" s="340" t="str">
        <f t="shared" si="2"/>
        <v>80 km</v>
      </c>
      <c r="D61" s="348" t="str">
        <f t="shared" si="2"/>
        <v>All</v>
      </c>
      <c r="E61" s="271">
        <f t="shared" ref="E61:F61" si="7">IF(E12=0,,E109*10^6/E12)</f>
        <v>236.56528523627264</v>
      </c>
      <c r="F61" s="271">
        <f t="shared" si="7"/>
        <v>213.19297161494703</v>
      </c>
      <c r="G61" s="271"/>
      <c r="H61" s="271"/>
      <c r="I61" s="271"/>
      <c r="J61" s="271"/>
      <c r="K61" s="271"/>
      <c r="L61" s="271"/>
      <c r="M61" s="271"/>
      <c r="N61" s="271"/>
      <c r="O61" s="271"/>
    </row>
    <row r="62" spans="2:15">
      <c r="B62" s="343" t="str">
        <f t="shared" si="2"/>
        <v>10 Gbps</v>
      </c>
      <c r="C62" s="344" t="str">
        <f t="shared" si="2"/>
        <v>All</v>
      </c>
      <c r="D62" s="345" t="str">
        <f t="shared" si="2"/>
        <v>Legacy/discontinued</v>
      </c>
      <c r="E62" s="270">
        <f t="shared" ref="E62:F62" si="8">IF(E13=0,,E110*10^6/E13)</f>
        <v>114.28571428571429</v>
      </c>
      <c r="F62" s="270">
        <f t="shared" si="8"/>
        <v>120</v>
      </c>
      <c r="G62" s="270"/>
      <c r="H62" s="270"/>
      <c r="I62" s="270"/>
      <c r="J62" s="270"/>
      <c r="K62" s="270"/>
      <c r="L62" s="270"/>
      <c r="M62" s="270"/>
      <c r="N62" s="270"/>
      <c r="O62" s="270"/>
    </row>
    <row r="63" spans="2:15">
      <c r="B63" s="349" t="str">
        <f t="shared" si="2"/>
        <v>25 Gbps</v>
      </c>
      <c r="C63" s="336" t="str">
        <f t="shared" si="2"/>
        <v>100-300 m</v>
      </c>
      <c r="D63" s="535" t="str">
        <f t="shared" si="2"/>
        <v>SFP28</v>
      </c>
      <c r="E63" s="259">
        <f t="shared" ref="E63:F63" si="9">IF(E14=0,,E111*10^6/E14)</f>
        <v>87.296721341283785</v>
      </c>
      <c r="F63" s="259">
        <f t="shared" si="9"/>
        <v>64.310689641111139</v>
      </c>
      <c r="G63" s="259"/>
      <c r="H63" s="259"/>
      <c r="I63" s="259"/>
      <c r="J63" s="259"/>
      <c r="K63" s="259"/>
      <c r="L63" s="259"/>
      <c r="M63" s="259"/>
      <c r="N63" s="259"/>
      <c r="O63" s="259"/>
    </row>
    <row r="64" spans="2:15">
      <c r="B64" s="351" t="str">
        <f t="shared" si="2"/>
        <v>25 Gbps</v>
      </c>
      <c r="C64" s="340" t="str">
        <f t="shared" si="2"/>
        <v>10 km</v>
      </c>
      <c r="D64" s="536" t="str">
        <f t="shared" si="2"/>
        <v>SFP28</v>
      </c>
      <c r="E64" s="271">
        <f t="shared" ref="E64:F64" si="10">IF(E15=0,,E112*10^6/E15)</f>
        <v>194.62477807755377</v>
      </c>
      <c r="F64" s="271">
        <f t="shared" si="10"/>
        <v>117.28240761766357</v>
      </c>
      <c r="G64" s="271"/>
      <c r="H64" s="271"/>
      <c r="I64" s="271"/>
      <c r="J64" s="271"/>
      <c r="K64" s="271"/>
      <c r="L64" s="271"/>
      <c r="M64" s="271"/>
      <c r="N64" s="271"/>
      <c r="O64" s="271"/>
    </row>
    <row r="65" spans="2:15">
      <c r="B65" s="363" t="str">
        <f t="shared" si="2"/>
        <v>25 Gbps</v>
      </c>
      <c r="C65" s="344" t="str">
        <f t="shared" si="2"/>
        <v>40 km</v>
      </c>
      <c r="D65" s="537" t="str">
        <f t="shared" si="2"/>
        <v>SFP28</v>
      </c>
      <c r="E65" s="270">
        <f t="shared" ref="E65:F65" si="11">IF(E16=0,,E113*10^6/E16)</f>
        <v>0</v>
      </c>
      <c r="F65" s="270">
        <f t="shared" si="11"/>
        <v>0</v>
      </c>
      <c r="G65" s="270"/>
      <c r="H65" s="270"/>
      <c r="I65" s="270"/>
      <c r="J65" s="270"/>
      <c r="K65" s="270"/>
      <c r="L65" s="270"/>
      <c r="M65" s="270"/>
      <c r="N65" s="270"/>
      <c r="O65" s="270"/>
    </row>
    <row r="66" spans="2:15">
      <c r="B66" s="349" t="str">
        <f t="shared" si="2"/>
        <v>40 Gbps</v>
      </c>
      <c r="C66" s="350" t="str">
        <f t="shared" si="2"/>
        <v>100-300 m</v>
      </c>
      <c r="D66" s="337" t="str">
        <f t="shared" si="2"/>
        <v>QSFP+</v>
      </c>
      <c r="E66" s="259">
        <f t="shared" ref="E66:F66" si="12">IF(E17=0,,E114*10^6/E17)</f>
        <v>110.58720627242262</v>
      </c>
      <c r="F66" s="259">
        <f t="shared" si="12"/>
        <v>104.48312516183223</v>
      </c>
      <c r="G66" s="259"/>
      <c r="H66" s="259"/>
      <c r="I66" s="259"/>
      <c r="J66" s="259"/>
      <c r="K66" s="259"/>
      <c r="L66" s="259"/>
      <c r="M66" s="259"/>
      <c r="N66" s="259"/>
      <c r="O66" s="259"/>
    </row>
    <row r="67" spans="2:15" ht="15.75" customHeight="1">
      <c r="B67" s="351" t="str">
        <f t="shared" si="2"/>
        <v>40 Gbps PSM4</v>
      </c>
      <c r="C67" s="352" t="str">
        <f t="shared" si="2"/>
        <v>500 m</v>
      </c>
      <c r="D67" s="341" t="str">
        <f t="shared" si="2"/>
        <v>QSFP+</v>
      </c>
      <c r="E67" s="323">
        <f t="shared" ref="E67:F67" si="13">IF(E18=0,,E115*10^6/E18)</f>
        <v>251.75081757202989</v>
      </c>
      <c r="F67" s="323">
        <f t="shared" si="13"/>
        <v>229.09940986908356</v>
      </c>
      <c r="G67" s="323"/>
      <c r="H67" s="323"/>
      <c r="I67" s="323"/>
      <c r="J67" s="323"/>
      <c r="K67" s="271"/>
      <c r="L67" s="271"/>
      <c r="M67" s="271"/>
      <c r="N67" s="271"/>
      <c r="O67" s="271"/>
    </row>
    <row r="68" spans="2:15">
      <c r="B68" s="353" t="str">
        <f t="shared" si="2"/>
        <v xml:space="preserve">40 Gbps </v>
      </c>
      <c r="C68" s="571" t="str">
        <f t="shared" si="2"/>
        <v>2 km</v>
      </c>
      <c r="D68" s="354" t="str">
        <f t="shared" si="2"/>
        <v>40 GbE (FR)</v>
      </c>
      <c r="E68" s="271">
        <f t="shared" ref="E68:F68" si="14">IF(E19=0,,E116*10^6/E19)</f>
        <v>0</v>
      </c>
      <c r="F68" s="271">
        <f t="shared" si="14"/>
        <v>0</v>
      </c>
      <c r="G68" s="271"/>
      <c r="H68" s="271"/>
      <c r="I68" s="271"/>
      <c r="J68" s="271"/>
      <c r="K68" s="271"/>
      <c r="L68" s="271"/>
      <c r="M68" s="271"/>
      <c r="N68" s="271"/>
      <c r="O68" s="271"/>
    </row>
    <row r="69" spans="2:15" ht="14.25" customHeight="1">
      <c r="B69" s="353" t="str">
        <f t="shared" si="2"/>
        <v xml:space="preserve">40 Gbps </v>
      </c>
      <c r="C69" s="571"/>
      <c r="D69" s="354" t="str">
        <f t="shared" si="2"/>
        <v>40 GbE (LR4 subspec)</v>
      </c>
      <c r="E69" s="271">
        <f t="shared" ref="E69:F69" si="15">IF(E20=0,,E117*10^6/E20)</f>
        <v>303.68617678545809</v>
      </c>
      <c r="F69" s="271">
        <f t="shared" si="15"/>
        <v>253.43147678888388</v>
      </c>
      <c r="G69" s="271"/>
      <c r="H69" s="271"/>
      <c r="I69" s="271"/>
      <c r="J69" s="271"/>
      <c r="K69" s="271"/>
      <c r="L69" s="271"/>
      <c r="M69" s="271"/>
      <c r="N69" s="271"/>
      <c r="O69" s="271"/>
    </row>
    <row r="70" spans="2:15">
      <c r="B70" s="353" t="str">
        <f t="shared" si="2"/>
        <v xml:space="preserve">40 Gbps </v>
      </c>
      <c r="C70" s="352" t="str">
        <f t="shared" si="2"/>
        <v>10 km</v>
      </c>
      <c r="D70" s="341" t="str">
        <f t="shared" si="2"/>
        <v>All</v>
      </c>
      <c r="E70" s="271">
        <f t="shared" ref="E70:F70" si="16">IF(E21=0,,E118*10^6/E21)</f>
        <v>361.77095787062291</v>
      </c>
      <c r="F70" s="271">
        <f t="shared" si="16"/>
        <v>248.30643495824251</v>
      </c>
      <c r="G70" s="271"/>
      <c r="H70" s="271"/>
      <c r="I70" s="271"/>
      <c r="J70" s="271"/>
      <c r="K70" s="271"/>
      <c r="L70" s="271"/>
      <c r="M70" s="271"/>
      <c r="N70" s="271"/>
      <c r="O70" s="271"/>
    </row>
    <row r="71" spans="2:15">
      <c r="B71" s="353" t="str">
        <f t="shared" si="2"/>
        <v xml:space="preserve">40 Gbps </v>
      </c>
      <c r="C71" s="352" t="str">
        <f t="shared" si="2"/>
        <v>40 km</v>
      </c>
      <c r="D71" s="341" t="str">
        <f t="shared" si="2"/>
        <v>All</v>
      </c>
      <c r="E71" s="271">
        <f t="shared" ref="E71:F71" si="17">IF(E22=0,,E119*10^6/E22)</f>
        <v>1255.0508268482483</v>
      </c>
      <c r="F71" s="271">
        <f t="shared" si="17"/>
        <v>894.2956424581015</v>
      </c>
      <c r="G71" s="271"/>
      <c r="H71" s="271"/>
      <c r="I71" s="271"/>
      <c r="J71" s="271"/>
      <c r="K71" s="271"/>
      <c r="L71" s="271"/>
      <c r="M71" s="271"/>
      <c r="N71" s="271"/>
      <c r="O71" s="271"/>
    </row>
    <row r="72" spans="2:15">
      <c r="B72" s="533" t="str">
        <f t="shared" si="2"/>
        <v>50 Gbps</v>
      </c>
      <c r="C72" s="356" t="str">
        <f t="shared" si="2"/>
        <v>2 km</v>
      </c>
      <c r="D72" s="337" t="str">
        <f t="shared" si="2"/>
        <v>All</v>
      </c>
      <c r="E72" s="259">
        <f t="shared" ref="E72:F72" si="18">IF(E23=0,,E120*10^6/E23)</f>
        <v>0</v>
      </c>
      <c r="F72" s="259">
        <f t="shared" si="18"/>
        <v>0</v>
      </c>
      <c r="G72" s="259"/>
      <c r="H72" s="259"/>
      <c r="I72" s="259"/>
      <c r="J72" s="259"/>
      <c r="K72" s="259"/>
      <c r="L72" s="259"/>
      <c r="M72" s="259"/>
      <c r="N72" s="259"/>
      <c r="O72" s="259"/>
    </row>
    <row r="73" spans="2:15">
      <c r="B73" s="353" t="str">
        <f t="shared" si="2"/>
        <v>50 Gbps</v>
      </c>
      <c r="C73" s="352" t="str">
        <f t="shared" si="2"/>
        <v>10 km</v>
      </c>
      <c r="D73" s="341" t="str">
        <f t="shared" si="2"/>
        <v>All</v>
      </c>
      <c r="E73" s="271">
        <f t="shared" ref="E73:F73" si="19">IF(E24=0,,E121*10^6/E24)</f>
        <v>0</v>
      </c>
      <c r="F73" s="271">
        <f t="shared" si="19"/>
        <v>0</v>
      </c>
      <c r="G73" s="271"/>
      <c r="H73" s="271"/>
      <c r="I73" s="271"/>
      <c r="J73" s="271"/>
      <c r="K73" s="271"/>
      <c r="L73" s="271"/>
      <c r="M73" s="271"/>
      <c r="N73" s="271"/>
      <c r="O73" s="271"/>
    </row>
    <row r="74" spans="2:15">
      <c r="B74" s="538" t="str">
        <f t="shared" si="2"/>
        <v>50 Gbps</v>
      </c>
      <c r="C74" s="355" t="str">
        <f t="shared" si="2"/>
        <v>40 km</v>
      </c>
      <c r="D74" s="345" t="str">
        <f t="shared" si="2"/>
        <v>All</v>
      </c>
      <c r="E74" s="270">
        <f t="shared" ref="E74:F74" si="20">IF(E25=0,,E122*10^6/E25)</f>
        <v>0</v>
      </c>
      <c r="F74" s="270">
        <f t="shared" si="20"/>
        <v>0</v>
      </c>
      <c r="G74" s="270"/>
      <c r="H74" s="270"/>
      <c r="I74" s="270"/>
      <c r="J74" s="270"/>
      <c r="K74" s="270"/>
      <c r="L74" s="270"/>
      <c r="M74" s="270"/>
      <c r="N74" s="270"/>
      <c r="O74" s="270"/>
    </row>
    <row r="75" spans="2:15">
      <c r="B75" s="335" t="str">
        <f t="shared" si="2"/>
        <v>100 Gbps</v>
      </c>
      <c r="C75" s="350" t="str">
        <f t="shared" si="2"/>
        <v>100-300 m</v>
      </c>
      <c r="D75" s="337" t="str">
        <f t="shared" si="2"/>
        <v>All</v>
      </c>
      <c r="E75" s="259">
        <f t="shared" ref="E75:F75" si="21">IF(E26=0,,E123*10^6/E26)</f>
        <v>120.95252871913105</v>
      </c>
      <c r="F75" s="259">
        <f t="shared" si="21"/>
        <v>100.24437829139245</v>
      </c>
      <c r="G75" s="259"/>
      <c r="H75" s="259"/>
      <c r="I75" s="259"/>
      <c r="J75" s="259"/>
      <c r="K75" s="259"/>
      <c r="L75" s="259"/>
      <c r="M75" s="259"/>
      <c r="N75" s="259"/>
      <c r="O75" s="259"/>
    </row>
    <row r="76" spans="2:15">
      <c r="B76" s="339" t="str">
        <f t="shared" si="2"/>
        <v>100G PSM4</v>
      </c>
      <c r="C76" s="352" t="str">
        <f t="shared" si="2"/>
        <v>500 m</v>
      </c>
      <c r="D76" s="341" t="str">
        <f t="shared" si="2"/>
        <v>QSFP28</v>
      </c>
      <c r="E76" s="271">
        <f t="shared" ref="E76:F76" si="22">IF(E27=0,,E124*10^6/E27)</f>
        <v>188.02033788894266</v>
      </c>
      <c r="F76" s="271">
        <f t="shared" si="22"/>
        <v>160.00527287107829</v>
      </c>
      <c r="G76" s="271"/>
      <c r="H76" s="271"/>
      <c r="I76" s="271"/>
      <c r="J76" s="271"/>
      <c r="K76" s="271"/>
      <c r="L76" s="271"/>
      <c r="M76" s="271"/>
      <c r="N76" s="271"/>
      <c r="O76" s="271"/>
    </row>
    <row r="77" spans="2:15">
      <c r="B77" s="339" t="str">
        <f t="shared" ref="B77:D93" si="23">B28</f>
        <v>100G DR</v>
      </c>
      <c r="C77" s="352" t="str">
        <f t="shared" si="23"/>
        <v>500 m</v>
      </c>
      <c r="D77" s="341" t="str">
        <f t="shared" si="23"/>
        <v>QSFP28</v>
      </c>
      <c r="E77" s="271">
        <f t="shared" ref="E77:F77" si="24">IF(E28=0,,E125*10^6/E28)</f>
        <v>0</v>
      </c>
      <c r="F77" s="271">
        <f t="shared" si="24"/>
        <v>0</v>
      </c>
      <c r="G77" s="271"/>
      <c r="H77" s="271"/>
      <c r="I77" s="271"/>
      <c r="J77" s="271"/>
      <c r="K77" s="271"/>
      <c r="L77" s="271"/>
      <c r="M77" s="271"/>
      <c r="N77" s="271"/>
      <c r="O77" s="271"/>
    </row>
    <row r="78" spans="2:15" ht="12.75" customHeight="1">
      <c r="B78" s="339" t="str">
        <f t="shared" si="23"/>
        <v>100G CWDM4</v>
      </c>
      <c r="C78" s="352" t="str">
        <f t="shared" si="23"/>
        <v>500 m, 2 km</v>
      </c>
      <c r="D78" s="341" t="str">
        <f t="shared" si="23"/>
        <v>QSFP28</v>
      </c>
      <c r="E78" s="271">
        <f t="shared" ref="E78:F78" si="25">IF(E29=0,,E126*10^6/E29)</f>
        <v>412.12501271227694</v>
      </c>
      <c r="F78" s="271">
        <f t="shared" si="25"/>
        <v>215.07915422558594</v>
      </c>
      <c r="G78" s="271"/>
      <c r="H78" s="271"/>
      <c r="I78" s="271"/>
      <c r="J78" s="271"/>
      <c r="K78" s="271"/>
      <c r="L78" s="271"/>
      <c r="M78" s="271"/>
      <c r="N78" s="271"/>
      <c r="O78" s="271"/>
    </row>
    <row r="79" spans="2:15" ht="12.75" customHeight="1">
      <c r="B79" s="339" t="str">
        <f t="shared" si="23"/>
        <v>100G FR, DR+</v>
      </c>
      <c r="C79" s="352" t="str">
        <f t="shared" si="23"/>
        <v>2 km</v>
      </c>
      <c r="D79" s="341" t="str">
        <f t="shared" si="23"/>
        <v>QSFP28</v>
      </c>
      <c r="E79" s="271">
        <f t="shared" ref="E79:F79" si="26">IF(E30=0,,E127*10^6/E30)</f>
        <v>400</v>
      </c>
      <c r="F79" s="271">
        <f t="shared" si="26"/>
        <v>206</v>
      </c>
      <c r="G79" s="271"/>
      <c r="H79" s="271"/>
      <c r="I79" s="271"/>
      <c r="J79" s="271"/>
      <c r="K79" s="271"/>
      <c r="L79" s="271"/>
      <c r="M79" s="271"/>
      <c r="N79" s="271"/>
      <c r="O79" s="271"/>
    </row>
    <row r="80" spans="2:15">
      <c r="B80" s="339" t="str">
        <f t="shared" si="23"/>
        <v>100 Gbps</v>
      </c>
      <c r="C80" s="352" t="str">
        <f t="shared" si="23"/>
        <v>10-20 km</v>
      </c>
      <c r="D80" s="341" t="str">
        <f t="shared" si="23"/>
        <v>All</v>
      </c>
      <c r="E80" s="271">
        <f t="shared" ref="E80:F80" si="27">IF(E31=0,,E128*10^6/E31)</f>
        <v>891.94274624642344</v>
      </c>
      <c r="F80" s="271">
        <f t="shared" si="27"/>
        <v>563.90072576941009</v>
      </c>
      <c r="G80" s="271"/>
      <c r="H80" s="271"/>
      <c r="I80" s="271"/>
      <c r="J80" s="271"/>
      <c r="K80" s="271"/>
      <c r="L80" s="271"/>
      <c r="M80" s="271"/>
      <c r="N80" s="271"/>
      <c r="O80" s="271"/>
    </row>
    <row r="81" spans="2:15">
      <c r="B81" s="343" t="str">
        <f t="shared" si="23"/>
        <v>100 Gbps</v>
      </c>
      <c r="C81" s="355" t="str">
        <f t="shared" si="23"/>
        <v>30-40-80 km</v>
      </c>
      <c r="D81" s="345" t="str">
        <f t="shared" si="23"/>
        <v>All (direct detect only)</v>
      </c>
      <c r="E81" s="270">
        <f t="shared" ref="E81:F81" si="28">IF(E32=0,,E129*10^6/E32)</f>
        <v>3845.7503178914726</v>
      </c>
      <c r="F81" s="270">
        <f t="shared" si="28"/>
        <v>2593.663650823225</v>
      </c>
      <c r="G81" s="270"/>
      <c r="H81" s="270"/>
      <c r="I81" s="270"/>
      <c r="J81" s="270"/>
      <c r="K81" s="270"/>
      <c r="L81" s="270"/>
      <c r="M81" s="270"/>
      <c r="N81" s="270"/>
      <c r="O81" s="270"/>
    </row>
    <row r="82" spans="2:15">
      <c r="B82" s="357" t="str">
        <f t="shared" si="23"/>
        <v>200G SR4</v>
      </c>
      <c r="C82" s="356" t="str">
        <f t="shared" si="23"/>
        <v>100 m</v>
      </c>
      <c r="D82" s="358" t="str">
        <f t="shared" si="23"/>
        <v>QSFP56</v>
      </c>
      <c r="E82" s="259">
        <f t="shared" ref="E82:F82" si="29">IF(E33=0,,E130*10^6/E33)</f>
        <v>700</v>
      </c>
      <c r="F82" s="259">
        <f t="shared" si="29"/>
        <v>600</v>
      </c>
      <c r="G82" s="259"/>
      <c r="H82" s="259"/>
      <c r="I82" s="259"/>
      <c r="J82" s="259"/>
      <c r="K82" s="259"/>
      <c r="L82" s="259"/>
      <c r="M82" s="259"/>
      <c r="N82" s="259"/>
      <c r="O82" s="259"/>
    </row>
    <row r="83" spans="2:15">
      <c r="B83" s="359" t="str">
        <f t="shared" si="23"/>
        <v>200G DR</v>
      </c>
      <c r="C83" s="352" t="str">
        <f t="shared" si="23"/>
        <v>500 m</v>
      </c>
      <c r="D83" s="360" t="str">
        <f t="shared" si="23"/>
        <v>TBD</v>
      </c>
      <c r="E83" s="271">
        <f t="shared" ref="E83:F83" si="30">IF(E34=0,,E131*10^6/E34)</f>
        <v>0</v>
      </c>
      <c r="F83" s="271">
        <f t="shared" si="30"/>
        <v>0</v>
      </c>
      <c r="G83" s="271"/>
      <c r="H83" s="271"/>
      <c r="I83" s="271"/>
      <c r="J83" s="271"/>
      <c r="K83" s="271"/>
      <c r="L83" s="271"/>
      <c r="M83" s="271"/>
      <c r="N83" s="271"/>
      <c r="O83" s="271"/>
    </row>
    <row r="84" spans="2:15">
      <c r="B84" s="359" t="str">
        <f t="shared" si="23"/>
        <v>200G FR4</v>
      </c>
      <c r="C84" s="352" t="str">
        <f t="shared" si="23"/>
        <v>3 km</v>
      </c>
      <c r="D84" s="360" t="str">
        <f t="shared" si="23"/>
        <v>QSFP56</v>
      </c>
      <c r="E84" s="271">
        <f t="shared" ref="E84:F84" si="31">IF(E35=0,,E132*10^6/E35)</f>
        <v>1500</v>
      </c>
      <c r="F84" s="271">
        <f t="shared" si="31"/>
        <v>509.63438735177863</v>
      </c>
      <c r="G84" s="271"/>
      <c r="H84" s="271"/>
      <c r="I84" s="271"/>
      <c r="J84" s="271"/>
      <c r="K84" s="271"/>
      <c r="L84" s="271"/>
      <c r="M84" s="271"/>
      <c r="N84" s="271"/>
      <c r="O84" s="271"/>
    </row>
    <row r="85" spans="2:15">
      <c r="B85" s="359" t="str">
        <f t="shared" si="23"/>
        <v>200G LR</v>
      </c>
      <c r="C85" s="352" t="str">
        <f t="shared" si="23"/>
        <v>10 km</v>
      </c>
      <c r="D85" s="360" t="str">
        <f t="shared" si="23"/>
        <v>TBD</v>
      </c>
      <c r="E85" s="271">
        <f t="shared" ref="E85:F85" si="32">IF(E36=0,,E133*10^6/E36)</f>
        <v>0</v>
      </c>
      <c r="F85" s="271">
        <f t="shared" si="32"/>
        <v>0</v>
      </c>
      <c r="G85" s="271"/>
      <c r="H85" s="271"/>
      <c r="I85" s="271"/>
      <c r="J85" s="271"/>
      <c r="K85" s="271"/>
      <c r="L85" s="271"/>
      <c r="M85" s="271"/>
      <c r="N85" s="271"/>
      <c r="O85" s="271"/>
    </row>
    <row r="86" spans="2:15">
      <c r="B86" s="361" t="str">
        <f t="shared" si="23"/>
        <v>200G ER4</v>
      </c>
      <c r="C86" s="355" t="str">
        <f t="shared" si="23"/>
        <v>40 km</v>
      </c>
      <c r="D86" s="362" t="str">
        <f t="shared" si="23"/>
        <v>TBD</v>
      </c>
      <c r="E86" s="270">
        <f t="shared" ref="E86:F86" si="33">IF(E37=0,,E134*10^6/E37)</f>
        <v>0</v>
      </c>
      <c r="F86" s="270">
        <f t="shared" si="33"/>
        <v>0</v>
      </c>
      <c r="G86" s="270"/>
      <c r="H86" s="270"/>
      <c r="I86" s="270"/>
      <c r="J86" s="270"/>
      <c r="K86" s="270"/>
      <c r="L86" s="270"/>
      <c r="M86" s="270"/>
      <c r="N86" s="270"/>
      <c r="O86" s="270"/>
    </row>
    <row r="87" spans="2:15">
      <c r="B87" s="357" t="str">
        <f t="shared" si="23"/>
        <v>2x200 (400G-SR8)</v>
      </c>
      <c r="C87" s="356" t="str">
        <f t="shared" si="23"/>
        <v>100 m</v>
      </c>
      <c r="D87" s="358" t="str">
        <f t="shared" si="23"/>
        <v>OSFP, QSFP-DD</v>
      </c>
      <c r="E87" s="259">
        <f t="shared" ref="E87:F87" si="34">IF(E38=0,,E135*10^6/E38)</f>
        <v>644</v>
      </c>
      <c r="F87" s="259">
        <f t="shared" si="34"/>
        <v>520</v>
      </c>
      <c r="G87" s="259"/>
      <c r="H87" s="259"/>
      <c r="I87" s="259"/>
      <c r="J87" s="259"/>
      <c r="K87" s="259"/>
      <c r="L87" s="259"/>
      <c r="M87" s="259"/>
      <c r="N87" s="259"/>
      <c r="O87" s="259"/>
    </row>
    <row r="88" spans="2:15">
      <c r="B88" s="359" t="str">
        <f t="shared" si="23"/>
        <v>400G SR4, SR4.2</v>
      </c>
      <c r="C88" s="341" t="str">
        <f t="shared" si="23"/>
        <v>100 m</v>
      </c>
      <c r="D88" s="360" t="str">
        <f t="shared" si="23"/>
        <v>OSFP, QSFP-DD</v>
      </c>
      <c r="E88" s="271">
        <f t="shared" ref="E88:F88" si="35">IF(E39=0,,E136*10^6/E39)</f>
        <v>0</v>
      </c>
      <c r="F88" s="271">
        <f t="shared" si="35"/>
        <v>0</v>
      </c>
      <c r="G88" s="271"/>
      <c r="H88" s="271"/>
      <c r="I88" s="271"/>
      <c r="J88" s="271"/>
      <c r="K88" s="271"/>
      <c r="L88" s="271"/>
      <c r="M88" s="271"/>
      <c r="N88" s="271"/>
      <c r="O88" s="271"/>
    </row>
    <row r="89" spans="2:15">
      <c r="B89" s="351" t="str">
        <f t="shared" si="23"/>
        <v>400G DR4</v>
      </c>
      <c r="C89" s="341" t="str">
        <f t="shared" si="23"/>
        <v>500 m</v>
      </c>
      <c r="D89" s="341" t="str">
        <f t="shared" si="23"/>
        <v>OSFP, QSFP-DD, QSFP112</v>
      </c>
      <c r="E89" s="271">
        <f t="shared" ref="E89:F89" si="36">IF(E40=0,,E137*10^6/E40)</f>
        <v>1100</v>
      </c>
      <c r="F89" s="271">
        <f t="shared" si="36"/>
        <v>815.28168664412806</v>
      </c>
      <c r="G89" s="271"/>
      <c r="H89" s="271"/>
      <c r="I89" s="271"/>
      <c r="J89" s="271"/>
      <c r="K89" s="271"/>
      <c r="L89" s="271"/>
      <c r="M89" s="271"/>
      <c r="N89" s="271"/>
      <c r="O89" s="271"/>
    </row>
    <row r="90" spans="2:15">
      <c r="B90" s="351" t="str">
        <f t="shared" si="23"/>
        <v>2x(200G FR4)</v>
      </c>
      <c r="C90" s="341" t="str">
        <f t="shared" si="23"/>
        <v>2 km</v>
      </c>
      <c r="D90" s="341" t="str">
        <f t="shared" si="23"/>
        <v>OSFP</v>
      </c>
      <c r="E90" s="271">
        <f t="shared" ref="E90:F90" si="37">IF(E41=0,,E138*10^6/E41)</f>
        <v>1850</v>
      </c>
      <c r="F90" s="271">
        <f t="shared" si="37"/>
        <v>1000</v>
      </c>
      <c r="G90" s="271"/>
      <c r="H90" s="271"/>
      <c r="I90" s="271"/>
      <c r="J90" s="271"/>
      <c r="K90" s="271"/>
      <c r="L90" s="271"/>
      <c r="M90" s="271"/>
      <c r="N90" s="271"/>
      <c r="O90" s="271"/>
    </row>
    <row r="91" spans="2:15">
      <c r="B91" s="351" t="str">
        <f t="shared" si="23"/>
        <v>400G FR4</v>
      </c>
      <c r="C91" s="341" t="str">
        <f t="shared" si="23"/>
        <v>2 km</v>
      </c>
      <c r="D91" s="341" t="str">
        <f t="shared" si="23"/>
        <v>OSFP, QSFP-DD, QSFP112</v>
      </c>
      <c r="E91" s="271">
        <f t="shared" ref="E91:F91" si="38">IF(E42=0,,E139*10^6/E42)</f>
        <v>2000</v>
      </c>
      <c r="F91" s="271">
        <f t="shared" si="38"/>
        <v>1515.7223793275484</v>
      </c>
      <c r="G91" s="271"/>
      <c r="H91" s="271"/>
      <c r="I91" s="271"/>
      <c r="J91" s="271"/>
      <c r="K91" s="271"/>
      <c r="L91" s="271"/>
      <c r="M91" s="271"/>
      <c r="N91" s="271"/>
      <c r="O91" s="271"/>
    </row>
    <row r="92" spans="2:15">
      <c r="B92" s="351" t="str">
        <f t="shared" si="23"/>
        <v>400G LR8, LR4</v>
      </c>
      <c r="C92" s="341" t="str">
        <f t="shared" si="23"/>
        <v>10 km</v>
      </c>
      <c r="D92" s="341" t="str">
        <f t="shared" si="23"/>
        <v>OSFP, QSFP-DD, QSFP112</v>
      </c>
      <c r="E92" s="271">
        <f t="shared" ref="E92:F92" si="39">IF(E43=0,,E140*10^6/E43)</f>
        <v>8000</v>
      </c>
      <c r="F92" s="271">
        <f t="shared" si="39"/>
        <v>6611.5927686633941</v>
      </c>
      <c r="G92" s="271"/>
      <c r="H92" s="271"/>
      <c r="I92" s="271"/>
      <c r="J92" s="271"/>
      <c r="K92" s="271"/>
      <c r="L92" s="271"/>
      <c r="M92" s="271"/>
      <c r="N92" s="271"/>
      <c r="O92" s="271"/>
    </row>
    <row r="93" spans="2:15">
      <c r="B93" s="363" t="str">
        <f t="shared" si="23"/>
        <v>400G ER4</v>
      </c>
      <c r="C93" s="345" t="str">
        <f t="shared" si="23"/>
        <v>40 km</v>
      </c>
      <c r="D93" s="345" t="str">
        <f t="shared" si="23"/>
        <v>TBD</v>
      </c>
      <c r="E93" s="270">
        <f t="shared" ref="E93:F93" si="40">IF(E44=0,,E141*10^6/E44)</f>
        <v>0</v>
      </c>
      <c r="F93" s="270">
        <f t="shared" si="40"/>
        <v>0</v>
      </c>
      <c r="G93" s="270"/>
      <c r="H93" s="270"/>
      <c r="I93" s="270"/>
      <c r="J93" s="270"/>
      <c r="K93" s="270"/>
      <c r="L93" s="270"/>
      <c r="M93" s="270"/>
      <c r="N93" s="270"/>
      <c r="O93" s="270"/>
    </row>
    <row r="94" spans="2:15">
      <c r="B94" s="351" t="str">
        <f>B45</f>
        <v>800G SR8</v>
      </c>
      <c r="C94" s="341" t="str">
        <f>C45</f>
        <v>50 m</v>
      </c>
      <c r="D94" s="341" t="str">
        <f>D45</f>
        <v>OSFP, QSFP-DD800</v>
      </c>
      <c r="E94" s="271">
        <f t="shared" ref="E94:F94" si="41">IF(E45=0,,E142*10^6/E45)</f>
        <v>0</v>
      </c>
      <c r="F94" s="271">
        <f t="shared" si="41"/>
        <v>0</v>
      </c>
      <c r="G94" s="271"/>
      <c r="H94" s="271"/>
      <c r="I94" s="271"/>
      <c r="J94" s="271"/>
      <c r="K94" s="271"/>
      <c r="L94" s="271"/>
      <c r="M94" s="271"/>
      <c r="N94" s="271"/>
      <c r="O94" s="271"/>
    </row>
    <row r="95" spans="2:15">
      <c r="B95" s="351" t="str">
        <f t="shared" ref="B95:D95" si="42">B46</f>
        <v>800G DR8</v>
      </c>
      <c r="C95" s="341" t="str">
        <f t="shared" si="42"/>
        <v>500 m</v>
      </c>
      <c r="D95" s="341" t="str">
        <f t="shared" si="42"/>
        <v>OSFP, QSFP-DD800</v>
      </c>
      <c r="E95" s="271">
        <f t="shared" ref="E95:F95" si="43">IF(E46=0,,E143*10^6/E46)</f>
        <v>0</v>
      </c>
      <c r="F95" s="271">
        <f t="shared" si="43"/>
        <v>0</v>
      </c>
      <c r="G95" s="271"/>
      <c r="H95" s="271"/>
      <c r="I95" s="271"/>
      <c r="J95" s="271"/>
      <c r="K95" s="271"/>
      <c r="L95" s="271"/>
      <c r="M95" s="271"/>
      <c r="N95" s="271"/>
      <c r="O95" s="271"/>
    </row>
    <row r="96" spans="2:15">
      <c r="B96" s="351" t="str">
        <f t="shared" ref="B96:D96" si="44">B47</f>
        <v>2x(400G FR4), 800G FR4</v>
      </c>
      <c r="C96" s="341" t="str">
        <f t="shared" si="44"/>
        <v>2 km</v>
      </c>
      <c r="D96" s="341" t="str">
        <f t="shared" si="44"/>
        <v>OSFP, QSFP-DD800</v>
      </c>
      <c r="E96" s="271">
        <f t="shared" ref="E96:F96" si="45">IF(E47=0,,E144*10^6/E47)</f>
        <v>0</v>
      </c>
      <c r="F96" s="271">
        <f t="shared" si="45"/>
        <v>0</v>
      </c>
      <c r="G96" s="271"/>
      <c r="H96" s="271"/>
      <c r="I96" s="271"/>
      <c r="J96" s="271"/>
      <c r="K96" s="271"/>
      <c r="L96" s="271"/>
      <c r="M96" s="271"/>
      <c r="N96" s="271"/>
      <c r="O96" s="271"/>
    </row>
    <row r="97" spans="2:15">
      <c r="B97" s="351" t="str">
        <f t="shared" ref="B97:D97" si="46">B48</f>
        <v>800G LR8, LR4</v>
      </c>
      <c r="C97" s="341" t="str">
        <f t="shared" si="46"/>
        <v>10 km</v>
      </c>
      <c r="D97" s="341" t="str">
        <f t="shared" si="46"/>
        <v>All</v>
      </c>
      <c r="E97" s="271">
        <f t="shared" ref="E97:F97" si="47">IF(E48=0,,E145*10^6/E48)</f>
        <v>0</v>
      </c>
      <c r="F97" s="271">
        <f t="shared" si="47"/>
        <v>0</v>
      </c>
      <c r="G97" s="271"/>
      <c r="H97" s="271"/>
      <c r="I97" s="271"/>
      <c r="J97" s="271"/>
      <c r="K97" s="271"/>
      <c r="L97" s="271"/>
      <c r="M97" s="271"/>
      <c r="N97" s="271"/>
      <c r="O97" s="271"/>
    </row>
    <row r="98" spans="2:15" ht="26.4">
      <c r="B98" s="351" t="str">
        <f t="shared" ref="B98:D98" si="48">B49</f>
        <v>800G LR (ZRlite)</v>
      </c>
      <c r="C98" s="341" t="str">
        <f t="shared" si="48"/>
        <v>10 km, 20 km</v>
      </c>
      <c r="D98" s="341" t="str">
        <f t="shared" si="48"/>
        <v>All</v>
      </c>
      <c r="E98" s="271">
        <f t="shared" ref="E98:F98" si="49">IF(E49=0,,E146*10^6/E49)</f>
        <v>0</v>
      </c>
      <c r="F98" s="271">
        <f t="shared" si="49"/>
        <v>0</v>
      </c>
      <c r="G98" s="271"/>
      <c r="H98" s="271"/>
      <c r="I98" s="271"/>
      <c r="J98" s="271"/>
      <c r="K98" s="271"/>
      <c r="L98" s="271"/>
      <c r="M98" s="271"/>
      <c r="N98" s="271"/>
      <c r="O98" s="271"/>
    </row>
    <row r="99" spans="2:15">
      <c r="B99" s="351" t="str">
        <f t="shared" ref="B99:D99" si="50">B50</f>
        <v>800G ER4</v>
      </c>
      <c r="C99" s="341" t="str">
        <f t="shared" si="50"/>
        <v>40 km</v>
      </c>
      <c r="D99" s="341" t="str">
        <f t="shared" si="50"/>
        <v>All</v>
      </c>
      <c r="E99" s="271">
        <f t="shared" ref="E99:F99" si="51">IF(E50=0,,E147*10^6/E50)</f>
        <v>0</v>
      </c>
      <c r="F99" s="271">
        <f t="shared" si="51"/>
        <v>0</v>
      </c>
      <c r="G99" s="271"/>
      <c r="H99" s="271"/>
      <c r="I99" s="271"/>
      <c r="J99" s="271"/>
      <c r="K99" s="271"/>
      <c r="L99" s="271"/>
      <c r="M99" s="271"/>
      <c r="N99" s="271"/>
      <c r="O99" s="271"/>
    </row>
    <row r="100" spans="2:15">
      <c r="B100" s="349" t="str">
        <f t="shared" ref="B100:D101" si="52">B51</f>
        <v>1,6T</v>
      </c>
      <c r="C100" s="337" t="str">
        <f t="shared" si="52"/>
        <v>All</v>
      </c>
      <c r="D100" s="337" t="str">
        <f t="shared" si="52"/>
        <v>All</v>
      </c>
      <c r="E100" s="259">
        <f t="shared" ref="E100:F100" si="53">IF(E51=0,,E148*10^6/E51)</f>
        <v>0</v>
      </c>
      <c r="F100" s="259">
        <f t="shared" si="53"/>
        <v>0</v>
      </c>
      <c r="G100" s="259"/>
      <c r="H100" s="259"/>
      <c r="I100" s="259"/>
      <c r="J100" s="259"/>
      <c r="K100" s="259"/>
      <c r="L100" s="259"/>
      <c r="M100" s="259"/>
      <c r="N100" s="259"/>
      <c r="O100" s="259"/>
    </row>
    <row r="101" spans="2:15">
      <c r="B101" s="363" t="str">
        <f t="shared" si="52"/>
        <v>3,2T</v>
      </c>
      <c r="C101" s="345" t="str">
        <f t="shared" si="52"/>
        <v>All</v>
      </c>
      <c r="D101" s="345" t="str">
        <f t="shared" si="52"/>
        <v>All</v>
      </c>
      <c r="E101" s="270">
        <f t="shared" ref="E101:F101" si="54">IF(E52=0,,E149*10^6/E52)</f>
        <v>0</v>
      </c>
      <c r="F101" s="270">
        <f t="shared" si="54"/>
        <v>0</v>
      </c>
      <c r="G101" s="270"/>
      <c r="H101" s="270"/>
      <c r="I101" s="270"/>
      <c r="J101" s="270"/>
      <c r="K101" s="270"/>
      <c r="L101" s="270"/>
      <c r="M101" s="270"/>
      <c r="N101" s="270"/>
      <c r="O101" s="270"/>
    </row>
    <row r="102" spans="2:15">
      <c r="B102"/>
      <c r="C102"/>
      <c r="D102"/>
    </row>
    <row r="103" spans="2:15">
      <c r="B103" s="185" t="s">
        <v>1</v>
      </c>
      <c r="C103"/>
      <c r="D103" s="172"/>
      <c r="F103" s="63">
        <v>92.760856939198476</v>
      </c>
      <c r="G103" s="63"/>
      <c r="H103" s="63"/>
      <c r="I103" s="63"/>
      <c r="J103" s="63"/>
      <c r="K103" s="63"/>
      <c r="L103" s="63"/>
      <c r="M103" s="63"/>
      <c r="N103" s="63"/>
      <c r="O103" s="63"/>
    </row>
    <row r="104" spans="2:15">
      <c r="B104" s="189" t="s">
        <v>11</v>
      </c>
      <c r="C104" s="5" t="s">
        <v>12</v>
      </c>
      <c r="D104" s="176" t="s">
        <v>14</v>
      </c>
      <c r="E104" s="108">
        <v>2018</v>
      </c>
      <c r="F104" s="108">
        <v>2019</v>
      </c>
      <c r="G104" s="108">
        <v>2020</v>
      </c>
      <c r="H104" s="108">
        <v>2021</v>
      </c>
      <c r="I104" s="108">
        <v>2022</v>
      </c>
      <c r="J104" s="108">
        <v>2023</v>
      </c>
      <c r="K104" s="108">
        <f t="shared" ref="K104:O104" si="55">K7</f>
        <v>2024</v>
      </c>
      <c r="L104" s="108">
        <f t="shared" si="55"/>
        <v>2025</v>
      </c>
      <c r="M104" s="108">
        <f t="shared" si="55"/>
        <v>2026</v>
      </c>
      <c r="N104" s="108">
        <f t="shared" si="55"/>
        <v>2027</v>
      </c>
      <c r="O104" s="108">
        <f t="shared" si="55"/>
        <v>2028</v>
      </c>
    </row>
    <row r="105" spans="2:15">
      <c r="B105" s="335" t="str">
        <f t="shared" ref="B105:D124" si="56">B8</f>
        <v>1 Gbps</v>
      </c>
      <c r="C105" s="336" t="str">
        <f t="shared" si="56"/>
        <v>All</v>
      </c>
      <c r="D105" s="337" t="str">
        <f t="shared" si="56"/>
        <v>SFP</v>
      </c>
      <c r="E105" s="543">
        <v>131.91376511999999</v>
      </c>
      <c r="F105" s="543">
        <v>92.76085693919849</v>
      </c>
      <c r="G105" s="543"/>
      <c r="H105" s="543"/>
      <c r="I105" s="543"/>
      <c r="J105" s="543"/>
      <c r="K105" s="543"/>
      <c r="L105" s="543"/>
      <c r="M105" s="543"/>
      <c r="N105" s="543"/>
      <c r="O105" s="543"/>
    </row>
    <row r="106" spans="2:15">
      <c r="B106" s="335" t="str">
        <f t="shared" si="56"/>
        <v>10 Gbps</v>
      </c>
      <c r="C106" s="336" t="str">
        <f t="shared" si="56"/>
        <v>0-0.3 km</v>
      </c>
      <c r="D106" s="347" t="str">
        <f t="shared" si="56"/>
        <v>All</v>
      </c>
      <c r="E106" s="544">
        <v>188.42638884181611</v>
      </c>
      <c r="F106" s="544">
        <v>153.72384550000001</v>
      </c>
      <c r="G106" s="544"/>
      <c r="H106" s="544"/>
      <c r="I106" s="544"/>
      <c r="J106" s="544"/>
      <c r="K106" s="544"/>
      <c r="L106" s="544"/>
      <c r="M106" s="544"/>
      <c r="N106" s="544"/>
      <c r="O106" s="544"/>
    </row>
    <row r="107" spans="2:15">
      <c r="B107" s="339" t="str">
        <f t="shared" si="56"/>
        <v>10 Gbps</v>
      </c>
      <c r="C107" s="340" t="str">
        <f t="shared" si="56"/>
        <v>10 km</v>
      </c>
      <c r="D107" s="341" t="str">
        <f t="shared" si="56"/>
        <v>All</v>
      </c>
      <c r="E107" s="517">
        <v>175.26710676970723</v>
      </c>
      <c r="F107" s="517">
        <v>122.24257185132863</v>
      </c>
      <c r="G107" s="517"/>
      <c r="H107" s="517"/>
      <c r="I107" s="517"/>
      <c r="J107" s="517"/>
      <c r="K107" s="517"/>
      <c r="L107" s="517"/>
      <c r="M107" s="517"/>
      <c r="N107" s="517"/>
      <c r="O107" s="517"/>
    </row>
    <row r="108" spans="2:15" ht="12.75" customHeight="1">
      <c r="B108" s="339" t="str">
        <f t="shared" si="56"/>
        <v>10 Gbps</v>
      </c>
      <c r="C108" s="340" t="str">
        <f t="shared" si="56"/>
        <v>40 km</v>
      </c>
      <c r="D108" s="348" t="str">
        <f t="shared" si="56"/>
        <v>All</v>
      </c>
      <c r="E108" s="517">
        <v>72.865725646783915</v>
      </c>
      <c r="F108" s="517">
        <v>29.236645318797208</v>
      </c>
      <c r="G108" s="517"/>
      <c r="H108" s="517"/>
      <c r="I108" s="517"/>
      <c r="J108" s="517"/>
      <c r="K108" s="517"/>
      <c r="L108" s="517"/>
      <c r="M108" s="517"/>
      <c r="N108" s="517"/>
      <c r="O108" s="517"/>
    </row>
    <row r="109" spans="2:15">
      <c r="B109" s="339" t="str">
        <f t="shared" si="56"/>
        <v>10 Gbps</v>
      </c>
      <c r="C109" s="340" t="str">
        <f t="shared" si="56"/>
        <v>80 km</v>
      </c>
      <c r="D109" s="348" t="str">
        <f t="shared" si="56"/>
        <v>All</v>
      </c>
      <c r="E109" s="517">
        <v>34.860615280344994</v>
      </c>
      <c r="F109" s="517">
        <v>24.988135010016325</v>
      </c>
      <c r="G109" s="517"/>
      <c r="H109" s="517"/>
      <c r="I109" s="517"/>
      <c r="J109" s="517"/>
      <c r="K109" s="517"/>
      <c r="L109" s="517"/>
      <c r="M109" s="517"/>
      <c r="N109" s="517"/>
      <c r="O109" s="517"/>
    </row>
    <row r="110" spans="2:15">
      <c r="B110" s="343" t="str">
        <f t="shared" si="56"/>
        <v>10 Gbps</v>
      </c>
      <c r="C110" s="344" t="str">
        <f t="shared" si="56"/>
        <v>All</v>
      </c>
      <c r="D110" s="345" t="str">
        <f t="shared" si="56"/>
        <v>Legacy/discontinued</v>
      </c>
      <c r="E110" s="519">
        <v>0.4</v>
      </c>
      <c r="F110" s="519">
        <v>0.6</v>
      </c>
      <c r="G110" s="519"/>
      <c r="H110" s="519"/>
      <c r="I110" s="519"/>
      <c r="J110" s="519"/>
      <c r="K110" s="519"/>
      <c r="L110" s="519"/>
      <c r="M110" s="519"/>
      <c r="N110" s="519"/>
      <c r="O110" s="519"/>
    </row>
    <row r="111" spans="2:15">
      <c r="B111" s="349" t="str">
        <f t="shared" si="56"/>
        <v>25 Gbps</v>
      </c>
      <c r="C111" s="336" t="str">
        <f t="shared" si="56"/>
        <v>100-300 m</v>
      </c>
      <c r="D111" s="347" t="str">
        <f t="shared" si="56"/>
        <v>SFP28</v>
      </c>
      <c r="E111" s="517">
        <v>27.845733580000022</v>
      </c>
      <c r="F111" s="517">
        <v>42.58184399999999</v>
      </c>
      <c r="G111" s="517"/>
      <c r="H111" s="517"/>
      <c r="I111" s="517"/>
      <c r="J111" s="517"/>
      <c r="K111" s="517"/>
      <c r="L111" s="517"/>
      <c r="M111" s="517"/>
      <c r="N111" s="517"/>
      <c r="O111" s="517"/>
    </row>
    <row r="112" spans="2:15">
      <c r="B112" s="351" t="str">
        <f t="shared" si="56"/>
        <v>25 Gbps</v>
      </c>
      <c r="C112" s="340" t="str">
        <f t="shared" si="56"/>
        <v>10 km</v>
      </c>
      <c r="D112" s="348" t="str">
        <f t="shared" si="56"/>
        <v>SFP28</v>
      </c>
      <c r="E112" s="517">
        <v>11.036976539999998</v>
      </c>
      <c r="F112" s="517">
        <v>7.7473240000000017</v>
      </c>
      <c r="G112" s="517"/>
      <c r="H112" s="517"/>
      <c r="I112" s="517"/>
      <c r="J112" s="517"/>
      <c r="K112" s="517"/>
      <c r="L112" s="517"/>
      <c r="M112" s="517"/>
      <c r="N112" s="517"/>
      <c r="O112" s="517"/>
    </row>
    <row r="113" spans="2:15">
      <c r="B113" s="363" t="str">
        <f t="shared" si="56"/>
        <v>25 Gbps</v>
      </c>
      <c r="C113" s="344" t="str">
        <f t="shared" si="56"/>
        <v>40 km</v>
      </c>
      <c r="D113" s="534" t="str">
        <f t="shared" si="56"/>
        <v>SFP28</v>
      </c>
      <c r="E113" s="519">
        <v>0</v>
      </c>
      <c r="F113" s="519">
        <v>0</v>
      </c>
      <c r="G113" s="519"/>
      <c r="H113" s="519"/>
      <c r="I113" s="519"/>
      <c r="J113" s="519"/>
      <c r="K113" s="519"/>
      <c r="L113" s="519"/>
      <c r="M113" s="519"/>
      <c r="N113" s="519"/>
      <c r="O113" s="519"/>
    </row>
    <row r="114" spans="2:15">
      <c r="B114" s="349" t="str">
        <f t="shared" si="56"/>
        <v>40 Gbps</v>
      </c>
      <c r="C114" s="350" t="str">
        <f t="shared" si="56"/>
        <v>100-300 m</v>
      </c>
      <c r="D114" s="337" t="str">
        <f t="shared" si="56"/>
        <v>QSFP+</v>
      </c>
      <c r="E114" s="515">
        <v>218.49939124751745</v>
      </c>
      <c r="F114" s="515">
        <v>147.62932721428569</v>
      </c>
      <c r="G114" s="515"/>
      <c r="H114" s="515"/>
      <c r="I114" s="515"/>
      <c r="J114" s="515"/>
      <c r="K114" s="515"/>
      <c r="L114" s="515"/>
      <c r="M114" s="515"/>
      <c r="N114" s="515"/>
      <c r="O114" s="515"/>
    </row>
    <row r="115" spans="2:15">
      <c r="B115" s="351" t="str">
        <f t="shared" si="56"/>
        <v>40 Gbps PSM4</v>
      </c>
      <c r="C115" s="352" t="str">
        <f t="shared" si="56"/>
        <v>500 m</v>
      </c>
      <c r="D115" s="341" t="str">
        <f t="shared" si="56"/>
        <v>QSFP+</v>
      </c>
      <c r="E115" s="545">
        <v>126.55714999999999</v>
      </c>
      <c r="F115" s="545">
        <v>113.74785699999998</v>
      </c>
      <c r="G115" s="545"/>
      <c r="H115" s="545"/>
      <c r="I115" s="545"/>
      <c r="J115" s="545"/>
      <c r="K115" s="545"/>
      <c r="L115" s="545"/>
      <c r="M115" s="545"/>
      <c r="N115" s="545"/>
      <c r="O115" s="545"/>
    </row>
    <row r="116" spans="2:15">
      <c r="B116" s="353" t="str">
        <f t="shared" si="56"/>
        <v xml:space="preserve">40 Gbps </v>
      </c>
      <c r="C116" s="352" t="str">
        <f t="shared" si="56"/>
        <v>2 km</v>
      </c>
      <c r="D116" s="354" t="str">
        <f t="shared" si="56"/>
        <v>40 GbE (FR)</v>
      </c>
      <c r="E116" s="517">
        <v>0</v>
      </c>
      <c r="F116" s="517">
        <v>0</v>
      </c>
      <c r="G116" s="517"/>
      <c r="H116" s="517"/>
      <c r="I116" s="517"/>
      <c r="J116" s="517"/>
      <c r="K116" s="517"/>
      <c r="L116" s="517"/>
      <c r="M116" s="517"/>
      <c r="N116" s="517"/>
      <c r="O116" s="517"/>
    </row>
    <row r="117" spans="2:15" ht="13.05" customHeight="1">
      <c r="B117" s="353" t="str">
        <f t="shared" si="56"/>
        <v xml:space="preserve">40 Gbps </v>
      </c>
      <c r="C117" s="352" t="str">
        <f t="shared" si="56"/>
        <v>2 km</v>
      </c>
      <c r="D117" s="354" t="str">
        <f t="shared" si="56"/>
        <v>40 GbE (LR4 subspec)</v>
      </c>
      <c r="E117" s="517">
        <v>82.548280259999984</v>
      </c>
      <c r="F117" s="517">
        <v>109.17574588588329</v>
      </c>
      <c r="G117" s="517"/>
      <c r="H117" s="517"/>
      <c r="I117" s="517"/>
      <c r="J117" s="517"/>
      <c r="K117" s="517"/>
      <c r="L117" s="517"/>
      <c r="M117" s="517"/>
      <c r="N117" s="517"/>
      <c r="O117" s="517"/>
    </row>
    <row r="118" spans="2:15">
      <c r="B118" s="353" t="str">
        <f t="shared" si="56"/>
        <v xml:space="preserve">40 Gbps </v>
      </c>
      <c r="C118" s="352" t="str">
        <f t="shared" si="56"/>
        <v>10 km</v>
      </c>
      <c r="D118" s="341" t="str">
        <f t="shared" si="56"/>
        <v>All</v>
      </c>
      <c r="E118" s="517">
        <v>97.438304479999957</v>
      </c>
      <c r="F118" s="517">
        <v>85.682108285300913</v>
      </c>
      <c r="G118" s="517"/>
      <c r="H118" s="517"/>
      <c r="I118" s="517"/>
      <c r="J118" s="517"/>
      <c r="K118" s="517"/>
      <c r="L118" s="517"/>
      <c r="M118" s="517"/>
      <c r="N118" s="517"/>
      <c r="O118" s="517"/>
    </row>
    <row r="119" spans="2:15">
      <c r="B119" s="353" t="str">
        <f t="shared" si="56"/>
        <v xml:space="preserve">40 Gbps </v>
      </c>
      <c r="C119" s="352" t="str">
        <f t="shared" si="56"/>
        <v>40 km</v>
      </c>
      <c r="D119" s="341" t="str">
        <f t="shared" si="56"/>
        <v>All</v>
      </c>
      <c r="E119" s="517">
        <v>10.321537999999995</v>
      </c>
      <c r="F119" s="517">
        <v>4.001973000000004</v>
      </c>
      <c r="G119" s="517"/>
      <c r="H119" s="517"/>
      <c r="I119" s="517"/>
      <c r="J119" s="517"/>
      <c r="K119" s="517"/>
      <c r="L119" s="517"/>
      <c r="M119" s="517"/>
      <c r="N119" s="517"/>
      <c r="O119" s="517"/>
    </row>
    <row r="120" spans="2:15">
      <c r="B120" s="533" t="str">
        <f t="shared" si="56"/>
        <v>50 Gbps</v>
      </c>
      <c r="C120" s="356" t="str">
        <f t="shared" si="56"/>
        <v>2 km</v>
      </c>
      <c r="D120" s="337" t="str">
        <f t="shared" si="56"/>
        <v>All</v>
      </c>
      <c r="E120" s="515">
        <v>0</v>
      </c>
      <c r="F120" s="515">
        <v>0</v>
      </c>
      <c r="G120" s="515"/>
      <c r="H120" s="515"/>
      <c r="I120" s="515"/>
      <c r="J120" s="515"/>
      <c r="K120" s="515"/>
      <c r="L120" s="515"/>
      <c r="M120" s="515"/>
      <c r="N120" s="515"/>
      <c r="O120" s="515"/>
    </row>
    <row r="121" spans="2:15">
      <c r="B121" s="353" t="str">
        <f t="shared" si="56"/>
        <v>50 Gbps</v>
      </c>
      <c r="C121" s="352" t="str">
        <f t="shared" si="56"/>
        <v>10 km</v>
      </c>
      <c r="D121" s="341" t="str">
        <f t="shared" si="56"/>
        <v>All</v>
      </c>
      <c r="E121" s="517">
        <v>0</v>
      </c>
      <c r="F121" s="517">
        <v>0</v>
      </c>
      <c r="G121" s="517"/>
      <c r="H121" s="517"/>
      <c r="I121" s="517"/>
      <c r="J121" s="517"/>
      <c r="K121" s="517"/>
      <c r="L121" s="517"/>
      <c r="M121" s="517"/>
      <c r="N121" s="517"/>
      <c r="O121" s="517"/>
    </row>
    <row r="122" spans="2:15">
      <c r="B122" s="538" t="str">
        <f t="shared" si="56"/>
        <v>50 Gbps</v>
      </c>
      <c r="C122" s="355" t="str">
        <f t="shared" si="56"/>
        <v>40 km</v>
      </c>
      <c r="D122" s="345" t="str">
        <f t="shared" si="56"/>
        <v>All</v>
      </c>
      <c r="E122" s="519">
        <v>0</v>
      </c>
      <c r="F122" s="519">
        <v>0</v>
      </c>
      <c r="G122" s="519"/>
      <c r="H122" s="519"/>
      <c r="I122" s="519"/>
      <c r="J122" s="519"/>
      <c r="K122" s="519"/>
      <c r="L122" s="519"/>
      <c r="M122" s="519"/>
      <c r="N122" s="519"/>
      <c r="O122" s="519"/>
    </row>
    <row r="123" spans="2:15">
      <c r="B123" s="335" t="str">
        <f t="shared" si="56"/>
        <v>100 Gbps</v>
      </c>
      <c r="C123" s="356" t="str">
        <f t="shared" si="56"/>
        <v>100-300 m</v>
      </c>
      <c r="D123" s="337" t="str">
        <f t="shared" si="56"/>
        <v>All</v>
      </c>
      <c r="E123" s="515">
        <v>251.93335254689399</v>
      </c>
      <c r="F123" s="515">
        <v>221.36042718562368</v>
      </c>
      <c r="G123" s="515"/>
      <c r="H123" s="515"/>
      <c r="I123" s="515"/>
      <c r="J123" s="515"/>
      <c r="K123" s="515"/>
      <c r="L123" s="515"/>
      <c r="M123" s="515"/>
      <c r="N123" s="515"/>
      <c r="O123" s="515"/>
    </row>
    <row r="124" spans="2:15">
      <c r="B124" s="339" t="str">
        <f t="shared" si="56"/>
        <v>100G PSM4</v>
      </c>
      <c r="C124" s="340" t="str">
        <f t="shared" si="56"/>
        <v>500 m</v>
      </c>
      <c r="D124" s="341" t="str">
        <f t="shared" si="56"/>
        <v>QSFP28</v>
      </c>
      <c r="E124" s="517">
        <v>96.70092799999999</v>
      </c>
      <c r="F124" s="517">
        <v>132.69237279198524</v>
      </c>
      <c r="G124" s="517"/>
      <c r="H124" s="517"/>
      <c r="I124" s="517"/>
      <c r="J124" s="517"/>
      <c r="K124" s="517"/>
      <c r="L124" s="517"/>
      <c r="M124" s="517"/>
      <c r="N124" s="517"/>
      <c r="O124" s="517"/>
    </row>
    <row r="125" spans="2:15">
      <c r="B125" s="339" t="str">
        <f t="shared" ref="B125:D141" si="57">B28</f>
        <v>100G DR</v>
      </c>
      <c r="C125" s="340" t="str">
        <f t="shared" si="57"/>
        <v>500 m</v>
      </c>
      <c r="D125" s="341" t="str">
        <f t="shared" si="57"/>
        <v>QSFP28</v>
      </c>
      <c r="E125" s="517">
        <v>0</v>
      </c>
      <c r="F125" s="517">
        <v>0</v>
      </c>
      <c r="G125" s="517"/>
      <c r="H125" s="517"/>
      <c r="I125" s="517"/>
      <c r="J125" s="517"/>
      <c r="K125" s="517"/>
      <c r="L125" s="517"/>
      <c r="M125" s="517"/>
      <c r="N125" s="517"/>
      <c r="O125" s="517"/>
    </row>
    <row r="126" spans="2:15" ht="12.75" customHeight="1">
      <c r="B126" s="339" t="str">
        <f t="shared" si="57"/>
        <v>100G CWDM4</v>
      </c>
      <c r="C126" s="340" t="str">
        <f t="shared" si="57"/>
        <v>500 m, 2 km</v>
      </c>
      <c r="D126" s="341" t="str">
        <f t="shared" si="57"/>
        <v>QSFP28</v>
      </c>
      <c r="E126" s="517">
        <v>1222.4833833333332</v>
      </c>
      <c r="F126" s="517">
        <v>880.31016</v>
      </c>
      <c r="G126" s="517"/>
      <c r="H126" s="517"/>
      <c r="I126" s="517"/>
      <c r="J126" s="517"/>
      <c r="K126" s="517"/>
      <c r="L126" s="517"/>
      <c r="M126" s="517"/>
      <c r="N126" s="517"/>
      <c r="O126" s="517"/>
    </row>
    <row r="127" spans="2:15" ht="12.75" customHeight="1">
      <c r="B127" s="339" t="str">
        <f t="shared" si="57"/>
        <v>100G FR, DR+</v>
      </c>
      <c r="C127" s="340" t="str">
        <f t="shared" si="57"/>
        <v>2 km</v>
      </c>
      <c r="D127" s="341" t="str">
        <f t="shared" si="57"/>
        <v>QSFP28</v>
      </c>
      <c r="E127" s="517">
        <v>1.2</v>
      </c>
      <c r="F127" s="517">
        <v>5.1670980000000002</v>
      </c>
      <c r="G127" s="517"/>
      <c r="H127" s="517"/>
      <c r="I127" s="517"/>
      <c r="J127" s="517"/>
      <c r="K127" s="517"/>
      <c r="L127" s="517"/>
      <c r="M127" s="517"/>
      <c r="N127" s="517"/>
      <c r="O127" s="517"/>
    </row>
    <row r="128" spans="2:15">
      <c r="B128" s="339" t="str">
        <f t="shared" si="57"/>
        <v>100 Gbps</v>
      </c>
      <c r="C128" s="352" t="str">
        <f t="shared" si="57"/>
        <v>10-20 km</v>
      </c>
      <c r="D128" s="341" t="str">
        <f t="shared" si="57"/>
        <v>All</v>
      </c>
      <c r="E128" s="517">
        <v>544.44552501424255</v>
      </c>
      <c r="F128" s="517">
        <v>409.4246331506863</v>
      </c>
      <c r="G128" s="517"/>
      <c r="H128" s="517"/>
      <c r="I128" s="517"/>
      <c r="J128" s="517"/>
      <c r="K128" s="517"/>
      <c r="L128" s="517"/>
      <c r="M128" s="517"/>
      <c r="N128" s="517"/>
      <c r="O128" s="517"/>
    </row>
    <row r="129" spans="2:15">
      <c r="B129" s="343" t="str">
        <f t="shared" si="57"/>
        <v>100 Gbps</v>
      </c>
      <c r="C129" s="355" t="str">
        <f t="shared" si="57"/>
        <v>30-40-80 km</v>
      </c>
      <c r="D129" s="345" t="str">
        <f t="shared" si="57"/>
        <v>All (direct detect only)</v>
      </c>
      <c r="E129" s="517">
        <v>38.842078210703875</v>
      </c>
      <c r="F129" s="517">
        <v>69.339004041108097</v>
      </c>
      <c r="G129" s="517"/>
      <c r="H129" s="517"/>
      <c r="I129" s="517"/>
      <c r="J129" s="517"/>
      <c r="K129" s="517"/>
      <c r="L129" s="517"/>
      <c r="M129" s="517"/>
      <c r="N129" s="517"/>
      <c r="O129" s="517"/>
    </row>
    <row r="130" spans="2:15">
      <c r="B130" s="357" t="str">
        <f t="shared" si="57"/>
        <v>200G SR4</v>
      </c>
      <c r="C130" s="356" t="str">
        <f t="shared" si="57"/>
        <v>100 m</v>
      </c>
      <c r="D130" s="358" t="str">
        <f t="shared" si="57"/>
        <v>QSFP56</v>
      </c>
      <c r="E130" s="515">
        <v>0.35</v>
      </c>
      <c r="F130" s="515">
        <v>3</v>
      </c>
      <c r="G130" s="515"/>
      <c r="H130" s="515"/>
      <c r="I130" s="515"/>
      <c r="J130" s="515"/>
      <c r="K130" s="515"/>
      <c r="L130" s="515"/>
      <c r="M130" s="515"/>
      <c r="N130" s="515"/>
      <c r="O130" s="515"/>
    </row>
    <row r="131" spans="2:15">
      <c r="B131" s="359" t="str">
        <f t="shared" si="57"/>
        <v>200G DR</v>
      </c>
      <c r="C131" s="352" t="str">
        <f t="shared" si="57"/>
        <v>500 m</v>
      </c>
      <c r="D131" s="360" t="str">
        <f t="shared" si="57"/>
        <v>TBD</v>
      </c>
      <c r="E131" s="517">
        <v>0</v>
      </c>
      <c r="F131" s="517">
        <v>0</v>
      </c>
      <c r="G131" s="517"/>
      <c r="H131" s="517"/>
      <c r="I131" s="517"/>
      <c r="J131" s="517"/>
      <c r="K131" s="517"/>
      <c r="L131" s="517"/>
      <c r="M131" s="517"/>
      <c r="N131" s="517"/>
      <c r="O131" s="517"/>
    </row>
    <row r="132" spans="2:15">
      <c r="B132" s="359" t="str">
        <f t="shared" si="57"/>
        <v>200G FR4</v>
      </c>
      <c r="C132" s="352" t="str">
        <f t="shared" si="57"/>
        <v>3 km</v>
      </c>
      <c r="D132" s="360" t="str">
        <f t="shared" si="57"/>
        <v>QSFP56</v>
      </c>
      <c r="E132" s="517">
        <v>0.75</v>
      </c>
      <c r="F132" s="517">
        <v>3.0945</v>
      </c>
      <c r="G132" s="517"/>
      <c r="H132" s="517"/>
      <c r="I132" s="517"/>
      <c r="J132" s="517"/>
      <c r="K132" s="517"/>
      <c r="L132" s="517"/>
      <c r="M132" s="517"/>
      <c r="N132" s="517"/>
      <c r="O132" s="517"/>
    </row>
    <row r="133" spans="2:15">
      <c r="B133" s="359" t="str">
        <f t="shared" si="57"/>
        <v>200G LR</v>
      </c>
      <c r="C133" s="352" t="str">
        <f t="shared" si="57"/>
        <v>10 km</v>
      </c>
      <c r="D133" s="360" t="str">
        <f t="shared" si="57"/>
        <v>TBD</v>
      </c>
      <c r="E133" s="517">
        <v>0</v>
      </c>
      <c r="F133" s="517">
        <v>0</v>
      </c>
      <c r="G133" s="517"/>
      <c r="H133" s="517"/>
      <c r="I133" s="517"/>
      <c r="J133" s="517"/>
      <c r="K133" s="517"/>
      <c r="L133" s="517"/>
      <c r="M133" s="517"/>
      <c r="N133" s="517"/>
      <c r="O133" s="517"/>
    </row>
    <row r="134" spans="2:15">
      <c r="B134" s="361" t="str">
        <f t="shared" si="57"/>
        <v>200G ER4</v>
      </c>
      <c r="C134" s="355" t="str">
        <f t="shared" si="57"/>
        <v>40 km</v>
      </c>
      <c r="D134" s="362" t="str">
        <f t="shared" si="57"/>
        <v>TBD</v>
      </c>
      <c r="E134" s="519">
        <v>0</v>
      </c>
      <c r="F134" s="519">
        <v>0</v>
      </c>
      <c r="G134" s="519"/>
      <c r="H134" s="519"/>
      <c r="I134" s="519"/>
      <c r="J134" s="519"/>
      <c r="K134" s="519"/>
      <c r="L134" s="519"/>
      <c r="M134" s="519"/>
      <c r="N134" s="519"/>
      <c r="O134" s="519"/>
    </row>
    <row r="135" spans="2:15">
      <c r="B135" s="357" t="str">
        <f t="shared" si="57"/>
        <v>2x200 (400G-SR8)</v>
      </c>
      <c r="C135" s="356" t="str">
        <f t="shared" si="57"/>
        <v>100 m</v>
      </c>
      <c r="D135" s="358" t="str">
        <f t="shared" si="57"/>
        <v>OSFP, QSFP-DD</v>
      </c>
      <c r="E135" s="515">
        <v>14.811999999999999</v>
      </c>
      <c r="F135" s="515">
        <v>31.2</v>
      </c>
      <c r="G135" s="515"/>
      <c r="H135" s="515"/>
      <c r="I135" s="515"/>
      <c r="J135" s="515"/>
      <c r="K135" s="515"/>
      <c r="L135" s="515"/>
      <c r="M135" s="515"/>
      <c r="N135" s="515"/>
      <c r="O135" s="515"/>
    </row>
    <row r="136" spans="2:15">
      <c r="B136" s="359" t="str">
        <f t="shared" si="57"/>
        <v>400G SR4, SR4.2</v>
      </c>
      <c r="C136" s="341" t="str">
        <f t="shared" si="57"/>
        <v>100 m</v>
      </c>
      <c r="D136" s="360" t="str">
        <f t="shared" si="57"/>
        <v>OSFP, QSFP-DD</v>
      </c>
      <c r="E136" s="517">
        <v>0</v>
      </c>
      <c r="F136" s="517">
        <v>0</v>
      </c>
      <c r="G136" s="517"/>
      <c r="H136" s="517"/>
      <c r="I136" s="517"/>
      <c r="J136" s="517"/>
      <c r="K136" s="517"/>
      <c r="L136" s="517"/>
      <c r="M136" s="517"/>
      <c r="N136" s="517"/>
      <c r="O136" s="517"/>
    </row>
    <row r="137" spans="2:15">
      <c r="B137" s="351" t="str">
        <f t="shared" si="57"/>
        <v>400G DR4</v>
      </c>
      <c r="C137" s="341" t="str">
        <f t="shared" si="57"/>
        <v>500 m</v>
      </c>
      <c r="D137" s="341" t="str">
        <f t="shared" si="57"/>
        <v>OSFP, QSFP-DD, QSFP112</v>
      </c>
      <c r="E137" s="517">
        <v>2.2000000000000002</v>
      </c>
      <c r="F137" s="517">
        <v>23.873893630000001</v>
      </c>
      <c r="G137" s="517"/>
      <c r="H137" s="517"/>
      <c r="I137" s="517"/>
      <c r="J137" s="517"/>
      <c r="K137" s="517"/>
      <c r="L137" s="517"/>
      <c r="M137" s="517"/>
      <c r="N137" s="517"/>
      <c r="O137" s="517"/>
    </row>
    <row r="138" spans="2:15">
      <c r="B138" s="351" t="str">
        <f t="shared" si="57"/>
        <v>2x(200G FR4)</v>
      </c>
      <c r="C138" s="341" t="str">
        <f t="shared" si="57"/>
        <v>2 km</v>
      </c>
      <c r="D138" s="341" t="str">
        <f t="shared" si="57"/>
        <v>OSFP</v>
      </c>
      <c r="E138" s="517">
        <v>22.2</v>
      </c>
      <c r="F138" s="517">
        <v>53</v>
      </c>
      <c r="G138" s="517"/>
      <c r="H138" s="517"/>
      <c r="I138" s="517"/>
      <c r="J138" s="517"/>
      <c r="K138" s="517"/>
      <c r="L138" s="517"/>
      <c r="M138" s="517"/>
      <c r="N138" s="517"/>
      <c r="O138" s="517"/>
    </row>
    <row r="139" spans="2:15">
      <c r="B139" s="351" t="str">
        <f t="shared" si="57"/>
        <v>400G FR4</v>
      </c>
      <c r="C139" s="341" t="str">
        <f t="shared" si="57"/>
        <v>2 km</v>
      </c>
      <c r="D139" s="341" t="str">
        <f t="shared" si="57"/>
        <v>OSFP, QSFP-DD, QSFP112</v>
      </c>
      <c r="E139" s="517">
        <v>2</v>
      </c>
      <c r="F139" s="517">
        <v>3.8726706791818866</v>
      </c>
      <c r="G139" s="517"/>
      <c r="H139" s="517"/>
      <c r="I139" s="517"/>
      <c r="J139" s="517"/>
      <c r="K139" s="517"/>
      <c r="L139" s="517"/>
      <c r="M139" s="517"/>
      <c r="N139" s="517"/>
      <c r="O139" s="517"/>
    </row>
    <row r="140" spans="2:15">
      <c r="B140" s="351" t="str">
        <f t="shared" si="57"/>
        <v>400G LR8, LR4</v>
      </c>
      <c r="C140" s="341" t="str">
        <f t="shared" si="57"/>
        <v>10 km</v>
      </c>
      <c r="D140" s="341" t="str">
        <f t="shared" si="57"/>
        <v>OSFP, QSFP-DD, QSFP112</v>
      </c>
      <c r="E140" s="517">
        <v>8</v>
      </c>
      <c r="F140" s="517">
        <v>12.017405388</v>
      </c>
      <c r="G140" s="517"/>
      <c r="H140" s="517"/>
      <c r="I140" s="517"/>
      <c r="J140" s="517"/>
      <c r="K140" s="517"/>
      <c r="L140" s="517"/>
      <c r="M140" s="517"/>
      <c r="N140" s="517"/>
      <c r="O140" s="517"/>
    </row>
    <row r="141" spans="2:15">
      <c r="B141" s="363" t="str">
        <f t="shared" si="57"/>
        <v>400G ER4</v>
      </c>
      <c r="C141" s="345" t="str">
        <f t="shared" si="57"/>
        <v>40 km</v>
      </c>
      <c r="D141" s="345" t="str">
        <f t="shared" si="57"/>
        <v>TBD</v>
      </c>
      <c r="E141" s="519">
        <v>0</v>
      </c>
      <c r="F141" s="519">
        <v>0</v>
      </c>
      <c r="G141" s="519"/>
      <c r="H141" s="519"/>
      <c r="I141" s="519"/>
      <c r="J141" s="519"/>
      <c r="K141" s="519"/>
      <c r="L141" s="519"/>
      <c r="M141" s="519"/>
      <c r="N141" s="519"/>
      <c r="O141" s="519"/>
    </row>
    <row r="142" spans="2:15">
      <c r="B142" s="351" t="str">
        <f>B45</f>
        <v>800G SR8</v>
      </c>
      <c r="C142" s="341" t="str">
        <f>C45</f>
        <v>50 m</v>
      </c>
      <c r="D142" s="341" t="str">
        <f>D45</f>
        <v>OSFP, QSFP-DD800</v>
      </c>
      <c r="E142" s="517">
        <v>0</v>
      </c>
      <c r="F142" s="517">
        <v>0</v>
      </c>
      <c r="G142" s="517"/>
      <c r="H142" s="517"/>
      <c r="I142" s="517"/>
      <c r="J142" s="517"/>
      <c r="K142" s="517"/>
      <c r="L142" s="517"/>
      <c r="M142" s="517"/>
      <c r="N142" s="517"/>
      <c r="O142" s="517"/>
    </row>
    <row r="143" spans="2:15">
      <c r="B143" s="351" t="str">
        <f t="shared" ref="B143:D143" si="58">B46</f>
        <v>800G DR8</v>
      </c>
      <c r="C143" s="341" t="str">
        <f t="shared" si="58"/>
        <v>500 m</v>
      </c>
      <c r="D143" s="341" t="str">
        <f t="shared" si="58"/>
        <v>OSFP, QSFP-DD800</v>
      </c>
      <c r="E143" s="517">
        <v>0</v>
      </c>
      <c r="F143" s="517">
        <v>0</v>
      </c>
      <c r="G143" s="517"/>
      <c r="H143" s="517"/>
      <c r="I143" s="517"/>
      <c r="J143" s="517"/>
      <c r="K143" s="517"/>
      <c r="L143" s="517"/>
      <c r="M143" s="517"/>
      <c r="N143" s="517"/>
      <c r="O143" s="517"/>
    </row>
    <row r="144" spans="2:15">
      <c r="B144" s="351" t="str">
        <f t="shared" ref="B144:D144" si="59">B47</f>
        <v>2x(400G FR4), 800G FR4</v>
      </c>
      <c r="C144" s="341" t="str">
        <f t="shared" si="59"/>
        <v>2 km</v>
      </c>
      <c r="D144" s="341" t="str">
        <f t="shared" si="59"/>
        <v>OSFP, QSFP-DD800</v>
      </c>
      <c r="E144" s="517">
        <v>0</v>
      </c>
      <c r="F144" s="517">
        <v>0</v>
      </c>
      <c r="G144" s="517"/>
      <c r="H144" s="517"/>
      <c r="I144" s="517"/>
      <c r="J144" s="517"/>
      <c r="K144" s="517"/>
      <c r="L144" s="517"/>
      <c r="M144" s="517"/>
      <c r="N144" s="517"/>
      <c r="O144" s="517"/>
    </row>
    <row r="145" spans="2:15">
      <c r="B145" s="351" t="str">
        <f t="shared" ref="B145:D145" si="60">B48</f>
        <v>800G LR8, LR4</v>
      </c>
      <c r="C145" s="341" t="str">
        <f t="shared" si="60"/>
        <v>10 km</v>
      </c>
      <c r="D145" s="341" t="str">
        <f t="shared" si="60"/>
        <v>All</v>
      </c>
      <c r="E145" s="517">
        <v>0</v>
      </c>
      <c r="F145" s="517">
        <v>0</v>
      </c>
      <c r="G145" s="517"/>
      <c r="H145" s="517"/>
      <c r="I145" s="517"/>
      <c r="J145" s="517"/>
      <c r="K145" s="517"/>
      <c r="L145" s="517"/>
      <c r="M145" s="517"/>
      <c r="N145" s="517"/>
      <c r="O145" s="517"/>
    </row>
    <row r="146" spans="2:15" ht="26.4">
      <c r="B146" s="351" t="str">
        <f t="shared" ref="B146:D146" si="61">B49</f>
        <v>800G LR (ZRlite)</v>
      </c>
      <c r="C146" s="341" t="str">
        <f t="shared" si="61"/>
        <v>10 km, 20 km</v>
      </c>
      <c r="D146" s="341" t="str">
        <f t="shared" si="61"/>
        <v>All</v>
      </c>
      <c r="E146" s="517">
        <v>0</v>
      </c>
      <c r="F146" s="517">
        <v>0</v>
      </c>
      <c r="G146" s="517"/>
      <c r="H146" s="517"/>
      <c r="I146" s="517"/>
      <c r="J146" s="517"/>
      <c r="K146" s="517"/>
      <c r="L146" s="517"/>
      <c r="M146" s="517"/>
      <c r="N146" s="517"/>
      <c r="O146" s="517"/>
    </row>
    <row r="147" spans="2:15">
      <c r="B147" s="351" t="str">
        <f t="shared" ref="B147:D147" si="62">B50</f>
        <v>800G ER4</v>
      </c>
      <c r="C147" s="341" t="str">
        <f t="shared" si="62"/>
        <v>40 km</v>
      </c>
      <c r="D147" s="341" t="str">
        <f t="shared" si="62"/>
        <v>All</v>
      </c>
      <c r="E147" s="517">
        <v>0</v>
      </c>
      <c r="F147" s="517">
        <v>0</v>
      </c>
      <c r="G147" s="517"/>
      <c r="H147" s="517"/>
      <c r="I147" s="517"/>
      <c r="J147" s="517"/>
      <c r="K147" s="517"/>
      <c r="L147" s="517"/>
      <c r="M147" s="517"/>
      <c r="N147" s="517"/>
      <c r="O147" s="517"/>
    </row>
    <row r="148" spans="2:15">
      <c r="B148" s="349" t="str">
        <f t="shared" ref="B148:D149" si="63">B51</f>
        <v>1,6T</v>
      </c>
      <c r="C148" s="337" t="str">
        <f t="shared" si="63"/>
        <v>All</v>
      </c>
      <c r="D148" s="546" t="str">
        <f t="shared" si="63"/>
        <v>All</v>
      </c>
      <c r="E148" s="515">
        <v>0</v>
      </c>
      <c r="F148" s="515">
        <v>0</v>
      </c>
      <c r="G148" s="515"/>
      <c r="H148" s="515"/>
      <c r="I148" s="515"/>
      <c r="J148" s="515"/>
      <c r="K148" s="515"/>
      <c r="L148" s="515"/>
      <c r="M148" s="515"/>
      <c r="N148" s="515"/>
      <c r="O148" s="515"/>
    </row>
    <row r="149" spans="2:15">
      <c r="B149" s="363" t="str">
        <f t="shared" si="63"/>
        <v>3,2T</v>
      </c>
      <c r="C149" s="345" t="str">
        <f t="shared" si="63"/>
        <v>All</v>
      </c>
      <c r="D149" s="547" t="str">
        <f t="shared" si="63"/>
        <v>All</v>
      </c>
      <c r="E149" s="519">
        <v>0</v>
      </c>
      <c r="F149" s="519">
        <v>0</v>
      </c>
      <c r="G149" s="519"/>
      <c r="H149" s="519"/>
      <c r="I149" s="519"/>
      <c r="J149" s="519"/>
      <c r="K149" s="519"/>
      <c r="L149" s="519"/>
      <c r="M149" s="519"/>
      <c r="N149" s="519"/>
      <c r="O149" s="519"/>
    </row>
    <row r="150" spans="2:15">
      <c r="B150" s="365" t="s">
        <v>9</v>
      </c>
      <c r="C150" s="364" t="str">
        <f>C53</f>
        <v>All</v>
      </c>
      <c r="D150" s="364" t="str">
        <f>D53</f>
        <v>All</v>
      </c>
      <c r="E150" s="346">
        <f t="shared" ref="E150:F150" si="64">SUM(E105:E149)</f>
        <v>3383.8982428713425</v>
      </c>
      <c r="F150" s="366">
        <f t="shared" si="64"/>
        <v>2782.4703988713959</v>
      </c>
      <c r="G150" s="366"/>
      <c r="H150" s="366"/>
      <c r="I150" s="366"/>
      <c r="J150" s="366"/>
      <c r="K150" s="366"/>
      <c r="L150" s="366"/>
      <c r="M150" s="366"/>
      <c r="N150" s="366"/>
      <c r="O150" s="366"/>
    </row>
    <row r="151" spans="2:15">
      <c r="C151"/>
      <c r="E151" s="6">
        <v>6.6432125078593307E-2</v>
      </c>
      <c r="F151" s="6">
        <f t="shared" ref="F151" si="65">IF(E150=0,"",F150/E150-1)</f>
        <v>-0.17773224867708093</v>
      </c>
      <c r="G151" s="6"/>
      <c r="H151" s="6"/>
      <c r="I151" s="6"/>
      <c r="J151" s="6"/>
      <c r="K151" s="6"/>
      <c r="L151" s="6"/>
      <c r="M151" s="6"/>
      <c r="N151" s="6"/>
      <c r="O151" s="6"/>
    </row>
    <row r="152" spans="2:15">
      <c r="C152" s="399"/>
      <c r="D152" s="406" t="s">
        <v>361</v>
      </c>
      <c r="E152" s="407">
        <f>(SUM(E8:E8)+SUM(E9:E13)*10+E14*25+SUM(E17:E22)*40+E23*50+SUM(E26:E32)*100+(E33+E35)*200++SUM(E38:E43)*400+E45*800)</f>
        <v>998136380.77146792</v>
      </c>
      <c r="F152" s="407">
        <f>(SUM(F8:F8)+SUM(F9:F13)*10+F14*25+SUM(F17:F22)*40+F23*50+SUM(F26:F32)*100+(F33+F35)*200++SUM(F38:F43)*400+F45*800)</f>
        <v>1174159838.6635978</v>
      </c>
      <c r="G152" s="407"/>
      <c r="H152" s="407"/>
      <c r="I152" s="407"/>
      <c r="J152" s="407"/>
      <c r="K152" s="407"/>
      <c r="L152" s="407"/>
      <c r="M152" s="407"/>
      <c r="N152" s="407"/>
      <c r="O152" s="407"/>
    </row>
    <row r="153" spans="2:15">
      <c r="C153" s="399"/>
      <c r="D153" s="406" t="s">
        <v>358</v>
      </c>
      <c r="E153" s="430">
        <f t="shared" ref="E153:F153" si="66">E150*10^6/E152</f>
        <v>3.3902163151852052</v>
      </c>
      <c r="F153" s="430">
        <f t="shared" si="66"/>
        <v>2.3697543615853367</v>
      </c>
      <c r="G153" s="430"/>
      <c r="H153" s="430"/>
      <c r="I153" s="430"/>
      <c r="J153" s="430"/>
      <c r="K153" s="430"/>
      <c r="L153" s="430"/>
      <c r="M153" s="430"/>
      <c r="N153" s="430"/>
      <c r="O153" s="430"/>
    </row>
    <row r="154" spans="2:15">
      <c r="C154"/>
    </row>
    <row r="155" spans="2:15">
      <c r="C155"/>
    </row>
    <row r="156" spans="2:15">
      <c r="C156"/>
      <c r="E156" s="149"/>
      <c r="F156" s="149"/>
      <c r="G156" s="149"/>
      <c r="H156" s="149"/>
      <c r="I156" s="149"/>
      <c r="J156" s="149"/>
      <c r="K156" s="149"/>
      <c r="L156" s="149"/>
      <c r="M156" s="149"/>
      <c r="N156" s="149"/>
      <c r="O156" s="149"/>
    </row>
    <row r="157" spans="2:15">
      <c r="C157"/>
      <c r="E157" s="149"/>
      <c r="F157" s="149"/>
      <c r="G157" s="149"/>
      <c r="H157" s="149"/>
      <c r="I157" s="149"/>
      <c r="J157" s="149"/>
      <c r="K157" s="149"/>
      <c r="L157" s="149"/>
      <c r="M157" s="149"/>
      <c r="N157" s="149"/>
      <c r="O157" s="149"/>
    </row>
    <row r="158" spans="2:15">
      <c r="C158"/>
      <c r="E158" s="149"/>
      <c r="F158" s="149"/>
      <c r="G158" s="149"/>
      <c r="H158" s="149"/>
      <c r="I158" s="149"/>
      <c r="J158" s="149"/>
      <c r="K158" s="149"/>
      <c r="L158" s="149"/>
      <c r="M158" s="149"/>
      <c r="N158" s="149"/>
      <c r="O158" s="149"/>
    </row>
    <row r="159" spans="2:15">
      <c r="C159"/>
      <c r="E159" s="149"/>
      <c r="F159" s="149"/>
      <c r="G159" s="149"/>
      <c r="H159" s="149"/>
      <c r="I159" s="149"/>
      <c r="J159" s="149"/>
      <c r="K159" s="149"/>
      <c r="L159" s="149"/>
      <c r="M159" s="149"/>
      <c r="N159" s="149"/>
      <c r="O159" s="149"/>
    </row>
    <row r="160" spans="2:15">
      <c r="C160"/>
      <c r="E160" s="149"/>
      <c r="F160" s="149"/>
      <c r="G160" s="149"/>
      <c r="H160" s="149"/>
      <c r="I160" s="149"/>
      <c r="J160" s="149"/>
      <c r="K160" s="149"/>
      <c r="L160" s="149"/>
      <c r="M160" s="149"/>
      <c r="N160" s="149"/>
      <c r="O160" s="149"/>
    </row>
    <row r="161" spans="3:15">
      <c r="C161"/>
      <c r="E161" s="149"/>
      <c r="F161" s="149"/>
      <c r="G161" s="149"/>
      <c r="H161" s="149"/>
      <c r="I161" s="149"/>
      <c r="J161" s="149"/>
      <c r="K161" s="149"/>
      <c r="L161" s="149"/>
      <c r="M161" s="149"/>
      <c r="N161" s="149"/>
      <c r="O161" s="149"/>
    </row>
    <row r="162" spans="3:15">
      <c r="C162"/>
      <c r="E162" s="149"/>
      <c r="F162" s="149"/>
      <c r="G162" s="149"/>
      <c r="H162" s="149"/>
      <c r="I162" s="149"/>
      <c r="J162" s="149"/>
      <c r="K162" s="149"/>
      <c r="L162" s="149"/>
      <c r="M162" s="149"/>
      <c r="N162" s="149"/>
      <c r="O162" s="149"/>
    </row>
    <row r="163" spans="3:15">
      <c r="C163"/>
      <c r="E163" s="149"/>
      <c r="F163" s="149"/>
      <c r="G163" s="149"/>
      <c r="H163" s="149"/>
      <c r="I163" s="149"/>
      <c r="J163" s="149"/>
      <c r="K163" s="149"/>
      <c r="L163" s="149"/>
      <c r="M163" s="149"/>
      <c r="N163" s="149"/>
      <c r="O163" s="149"/>
    </row>
    <row r="164" spans="3:15">
      <c r="E164" s="149"/>
      <c r="F164" s="149"/>
      <c r="G164" s="149"/>
      <c r="H164" s="149"/>
      <c r="I164" s="149"/>
      <c r="J164" s="149"/>
      <c r="K164" s="149"/>
      <c r="L164" s="149"/>
      <c r="M164" s="149"/>
      <c r="N164" s="149"/>
      <c r="O164" s="149"/>
    </row>
    <row r="165" spans="3:15">
      <c r="C165"/>
      <c r="E165" s="149"/>
      <c r="F165" s="149"/>
      <c r="G165" s="149"/>
      <c r="H165" s="149"/>
      <c r="I165" s="149"/>
      <c r="J165" s="149"/>
      <c r="K165" s="149"/>
      <c r="L165" s="149"/>
      <c r="M165" s="149"/>
      <c r="N165" s="149"/>
      <c r="O165" s="149"/>
    </row>
    <row r="166" spans="3:15">
      <c r="C166"/>
      <c r="E166" s="149"/>
      <c r="F166" s="149"/>
      <c r="G166" s="149"/>
      <c r="H166" s="149"/>
      <c r="I166" s="149"/>
      <c r="J166" s="149"/>
      <c r="K166" s="149"/>
      <c r="L166" s="149"/>
      <c r="M166" s="149"/>
      <c r="N166" s="149"/>
      <c r="O166" s="149"/>
    </row>
    <row r="167" spans="3:15">
      <c r="C167"/>
      <c r="E167" s="149"/>
      <c r="F167" s="149"/>
      <c r="G167" s="149"/>
      <c r="H167" s="149"/>
      <c r="I167" s="149"/>
      <c r="J167" s="149"/>
      <c r="K167" s="149"/>
      <c r="L167" s="149"/>
      <c r="M167" s="149"/>
      <c r="N167" s="149"/>
      <c r="O167" s="149"/>
    </row>
    <row r="168" spans="3:15">
      <c r="C168"/>
      <c r="E168" s="149"/>
      <c r="F168" s="149"/>
      <c r="G168" s="149"/>
      <c r="H168" s="149"/>
      <c r="I168" s="149"/>
      <c r="J168" s="149"/>
      <c r="K168" s="149"/>
      <c r="L168" s="149"/>
      <c r="M168" s="149"/>
      <c r="N168" s="149"/>
      <c r="O168" s="149"/>
    </row>
    <row r="169" spans="3:15">
      <c r="C169"/>
      <c r="E169" s="149"/>
      <c r="F169" s="149"/>
      <c r="G169" s="149"/>
      <c r="H169" s="149"/>
      <c r="I169" s="149"/>
      <c r="J169" s="149"/>
      <c r="K169" s="149"/>
      <c r="L169" s="149"/>
      <c r="M169" s="149"/>
      <c r="N169" s="149"/>
      <c r="O169" s="149"/>
    </row>
    <row r="170" spans="3:15">
      <c r="C170"/>
      <c r="E170" s="149"/>
      <c r="F170" s="149"/>
      <c r="G170" s="149"/>
      <c r="H170" s="149"/>
      <c r="I170" s="149"/>
      <c r="J170" s="149"/>
      <c r="K170" s="149"/>
      <c r="L170" s="149"/>
      <c r="M170" s="149"/>
      <c r="N170" s="149"/>
      <c r="O170" s="149"/>
    </row>
    <row r="171" spans="3:15">
      <c r="C171"/>
      <c r="E171" s="149"/>
      <c r="F171" s="149"/>
      <c r="G171" s="149"/>
      <c r="H171" s="149"/>
      <c r="I171" s="149"/>
      <c r="J171" s="149"/>
      <c r="K171" s="149"/>
      <c r="L171" s="149"/>
      <c r="M171" s="149"/>
      <c r="N171" s="149"/>
      <c r="O171" s="149"/>
    </row>
    <row r="172" spans="3:15">
      <c r="C172"/>
      <c r="E172" s="149"/>
      <c r="F172" s="149"/>
      <c r="G172" s="149"/>
      <c r="H172" s="149"/>
      <c r="I172" s="149"/>
      <c r="J172" s="149"/>
      <c r="K172" s="149"/>
      <c r="L172" s="149"/>
      <c r="M172" s="149"/>
      <c r="N172" s="149"/>
      <c r="O172" s="149"/>
    </row>
    <row r="173" spans="3:15">
      <c r="C173"/>
      <c r="E173" s="149"/>
      <c r="F173" s="149"/>
      <c r="G173" s="149"/>
      <c r="H173" s="149"/>
      <c r="I173" s="149"/>
      <c r="J173" s="149"/>
      <c r="K173" s="149"/>
      <c r="L173" s="149"/>
      <c r="M173" s="149"/>
      <c r="N173" s="149"/>
      <c r="O173" s="149"/>
    </row>
    <row r="174" spans="3:15">
      <c r="C174"/>
      <c r="E174" s="149"/>
      <c r="F174" s="149"/>
      <c r="G174" s="149"/>
      <c r="H174" s="149"/>
      <c r="I174" s="149"/>
      <c r="J174" s="149"/>
      <c r="K174" s="149"/>
      <c r="L174" s="149"/>
      <c r="M174" s="149"/>
      <c r="N174" s="149"/>
      <c r="O174" s="149"/>
    </row>
    <row r="175" spans="3:15">
      <c r="C175"/>
      <c r="E175" s="149"/>
      <c r="F175" s="149"/>
      <c r="G175" s="149"/>
      <c r="H175" s="149"/>
      <c r="I175" s="149"/>
      <c r="J175" s="149"/>
      <c r="K175" s="149"/>
      <c r="L175" s="149"/>
      <c r="M175" s="149"/>
      <c r="N175" s="149"/>
      <c r="O175" s="149"/>
    </row>
    <row r="176" spans="3:15">
      <c r="C176"/>
      <c r="E176" s="149"/>
      <c r="F176" s="149"/>
      <c r="G176" s="149"/>
      <c r="H176" s="149"/>
      <c r="I176" s="149"/>
      <c r="J176" s="149"/>
      <c r="K176" s="149"/>
      <c r="L176" s="149"/>
      <c r="M176" s="149"/>
      <c r="N176" s="149"/>
      <c r="O176" s="149"/>
    </row>
    <row r="177" spans="3:15">
      <c r="C177"/>
      <c r="E177" s="149"/>
      <c r="F177" s="149"/>
      <c r="G177" s="149"/>
      <c r="H177" s="149"/>
      <c r="I177" s="149"/>
      <c r="J177" s="149"/>
      <c r="K177" s="149"/>
      <c r="L177" s="149"/>
      <c r="M177" s="149"/>
      <c r="N177" s="149"/>
      <c r="O177" s="149"/>
    </row>
    <row r="178" spans="3:15">
      <c r="C178"/>
      <c r="E178" s="149"/>
      <c r="F178" s="149"/>
      <c r="G178" s="149"/>
      <c r="H178" s="149"/>
      <c r="I178" s="149"/>
      <c r="J178" s="149"/>
      <c r="K178" s="149"/>
      <c r="L178" s="149"/>
      <c r="M178" s="149"/>
      <c r="N178" s="149"/>
      <c r="O178" s="149"/>
    </row>
    <row r="179" spans="3:15">
      <c r="C179"/>
      <c r="E179" s="149"/>
      <c r="F179" s="149"/>
      <c r="G179" s="149"/>
      <c r="H179" s="149"/>
      <c r="I179" s="149"/>
      <c r="J179" s="149"/>
      <c r="K179" s="149"/>
      <c r="L179" s="149"/>
      <c r="M179" s="149"/>
      <c r="N179" s="149"/>
      <c r="O179" s="149"/>
    </row>
    <row r="180" spans="3:15">
      <c r="C180"/>
      <c r="E180" s="149"/>
      <c r="F180" s="149"/>
      <c r="G180" s="149"/>
      <c r="H180" s="149"/>
      <c r="I180" s="149"/>
      <c r="J180" s="149"/>
      <c r="K180" s="149"/>
      <c r="L180" s="149"/>
      <c r="M180" s="149"/>
      <c r="N180" s="149"/>
      <c r="O180" s="149"/>
    </row>
    <row r="181" spans="3:15">
      <c r="C181"/>
      <c r="E181" s="149"/>
      <c r="F181" s="149"/>
      <c r="G181" s="149"/>
      <c r="H181" s="149"/>
      <c r="I181" s="149"/>
      <c r="J181" s="149"/>
      <c r="K181" s="149"/>
      <c r="L181" s="149"/>
      <c r="M181" s="149"/>
      <c r="N181" s="149"/>
      <c r="O181" s="149"/>
    </row>
    <row r="182" spans="3:15">
      <c r="C182"/>
      <c r="E182" s="149"/>
      <c r="F182" s="149"/>
      <c r="G182" s="149"/>
      <c r="H182" s="149"/>
      <c r="I182" s="149"/>
      <c r="J182" s="149"/>
      <c r="K182" s="149"/>
      <c r="L182" s="149"/>
      <c r="M182" s="149"/>
      <c r="N182" s="149"/>
      <c r="O182" s="149"/>
    </row>
    <row r="183" spans="3:15">
      <c r="C183"/>
      <c r="E183" s="149"/>
      <c r="F183" s="149"/>
      <c r="G183" s="149"/>
      <c r="H183" s="149"/>
      <c r="I183" s="149"/>
      <c r="J183" s="149"/>
      <c r="K183" s="149"/>
      <c r="L183" s="149"/>
      <c r="M183" s="149"/>
      <c r="N183" s="149"/>
      <c r="O183" s="149"/>
    </row>
    <row r="184" spans="3:15">
      <c r="C184"/>
      <c r="E184" s="149"/>
      <c r="F184" s="149"/>
      <c r="G184" s="149"/>
      <c r="H184" s="149"/>
      <c r="I184" s="149"/>
      <c r="J184" s="149"/>
      <c r="K184" s="149"/>
      <c r="L184" s="149"/>
      <c r="M184" s="149"/>
      <c r="N184" s="149"/>
      <c r="O184" s="149"/>
    </row>
    <row r="185" spans="3:15">
      <c r="C185"/>
      <c r="E185" s="149"/>
      <c r="F185" s="149"/>
      <c r="G185" s="149"/>
      <c r="H185" s="149"/>
      <c r="I185" s="149"/>
      <c r="J185" s="149"/>
      <c r="K185" s="149"/>
      <c r="L185" s="149"/>
      <c r="M185" s="149"/>
      <c r="N185" s="149"/>
      <c r="O185" s="149"/>
    </row>
    <row r="186" spans="3:15">
      <c r="C186"/>
      <c r="E186" s="149"/>
      <c r="F186" s="149"/>
      <c r="G186" s="149"/>
      <c r="H186" s="149"/>
      <c r="I186" s="149"/>
      <c r="J186" s="149"/>
      <c r="K186" s="149"/>
      <c r="L186" s="149"/>
      <c r="M186" s="149"/>
      <c r="N186" s="149"/>
      <c r="O186" s="149"/>
    </row>
    <row r="187" spans="3:15">
      <c r="C187"/>
      <c r="E187" s="149"/>
      <c r="F187" s="149"/>
      <c r="G187" s="149"/>
      <c r="H187" s="149"/>
      <c r="I187" s="149"/>
      <c r="J187" s="149"/>
      <c r="K187" s="149"/>
      <c r="L187" s="149"/>
      <c r="M187" s="149"/>
      <c r="N187" s="149"/>
      <c r="O187" s="149"/>
    </row>
    <row r="188" spans="3:15">
      <c r="C188"/>
    </row>
  </sheetData>
  <mergeCells count="1">
    <mergeCell ref="C68:C69"/>
  </mergeCells>
  <printOptions headings="1"/>
  <pageMargins left="0.7" right="0.7" top="0.75" bottom="0.75" header="0.3" footer="0.3"/>
  <pageSetup scale="1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Q50"/>
  <sheetViews>
    <sheetView showGridLines="0" zoomScale="70" zoomScaleNormal="70" zoomScalePageLayoutView="70" workbookViewId="0"/>
  </sheetViews>
  <sheetFormatPr defaultColWidth="9.21875" defaultRowHeight="13.2"/>
  <cols>
    <col min="1" max="1" width="4.44140625" customWidth="1"/>
    <col min="2" max="2" width="10.33203125" customWidth="1"/>
    <col min="3" max="3" width="11" customWidth="1"/>
    <col min="4" max="15" width="12.21875" customWidth="1"/>
  </cols>
  <sheetData>
    <row r="2" spans="2:17" ht="17.399999999999999">
      <c r="B2" s="70" t="str">
        <f>Introduction!B2</f>
        <v xml:space="preserve">LightCounting Optical Components Market Forecast </v>
      </c>
    </row>
    <row r="3" spans="2:17" ht="15">
      <c r="B3" s="588" t="str">
        <f>Introduction!B3</f>
        <v>Published 31 October 2023 - Sample - for illustrative purposes only</v>
      </c>
    </row>
    <row r="4" spans="2:17" ht="15.6">
      <c r="B4" s="181" t="s">
        <v>153</v>
      </c>
    </row>
    <row r="6" spans="2:17" ht="15">
      <c r="B6" s="185" t="s">
        <v>0</v>
      </c>
      <c r="D6" s="7"/>
      <c r="G6" s="409"/>
      <c r="J6" s="505"/>
    </row>
    <row r="7" spans="2:17">
      <c r="B7" s="4" t="s">
        <v>11</v>
      </c>
      <c r="C7" s="4" t="s">
        <v>12</v>
      </c>
      <c r="D7" s="4" t="s">
        <v>14</v>
      </c>
      <c r="E7" s="4">
        <v>2018</v>
      </c>
      <c r="F7" s="4">
        <v>2019</v>
      </c>
      <c r="G7" s="4">
        <v>2020</v>
      </c>
      <c r="H7" s="4">
        <v>2021</v>
      </c>
      <c r="I7" s="4">
        <v>2022</v>
      </c>
      <c r="J7" s="4">
        <v>2023</v>
      </c>
      <c r="K7" s="4">
        <v>2024</v>
      </c>
      <c r="L7" s="4">
        <v>2025</v>
      </c>
      <c r="M7" s="4">
        <v>2026</v>
      </c>
      <c r="N7" s="4">
        <v>2027</v>
      </c>
      <c r="O7" s="4">
        <v>2028</v>
      </c>
    </row>
    <row r="8" spans="2:17">
      <c r="B8" s="572" t="s">
        <v>37</v>
      </c>
      <c r="C8" s="41" t="s">
        <v>25</v>
      </c>
      <c r="D8" s="8" t="s">
        <v>15</v>
      </c>
      <c r="E8" s="503">
        <v>1265392</v>
      </c>
      <c r="F8" s="503">
        <v>461468.5</v>
      </c>
      <c r="G8" s="503"/>
      <c r="H8" s="503"/>
      <c r="I8" s="503"/>
      <c r="J8" s="503"/>
      <c r="K8" s="503"/>
      <c r="L8" s="503"/>
      <c r="M8" s="503"/>
      <c r="N8" s="503"/>
      <c r="O8" s="503"/>
      <c r="Q8" s="2"/>
    </row>
    <row r="9" spans="2:17">
      <c r="B9" s="573"/>
      <c r="C9" s="41" t="s">
        <v>28</v>
      </c>
      <c r="D9" s="10" t="s">
        <v>15</v>
      </c>
      <c r="E9" s="503">
        <v>41230</v>
      </c>
      <c r="F9" s="503">
        <v>26193.5</v>
      </c>
      <c r="G9" s="503"/>
      <c r="H9" s="503"/>
      <c r="I9" s="503"/>
      <c r="J9" s="503"/>
      <c r="K9" s="503"/>
      <c r="L9" s="503"/>
      <c r="M9" s="503"/>
      <c r="N9" s="503"/>
      <c r="O9" s="503"/>
      <c r="Q9" s="2"/>
    </row>
    <row r="10" spans="2:17">
      <c r="B10" s="572" t="s">
        <v>38</v>
      </c>
      <c r="C10" s="41" t="s">
        <v>25</v>
      </c>
      <c r="D10" s="9" t="s">
        <v>15</v>
      </c>
      <c r="E10" s="503">
        <v>5445119</v>
      </c>
      <c r="F10" s="503">
        <v>4816060</v>
      </c>
      <c r="G10" s="503"/>
      <c r="H10" s="503"/>
      <c r="I10" s="503"/>
      <c r="J10" s="503"/>
      <c r="K10" s="503"/>
      <c r="L10" s="503"/>
      <c r="M10" s="503"/>
      <c r="N10" s="503"/>
      <c r="O10" s="503"/>
      <c r="Q10" s="2"/>
    </row>
    <row r="11" spans="2:17">
      <c r="B11" s="573"/>
      <c r="C11" s="41" t="s">
        <v>28</v>
      </c>
      <c r="D11" s="10" t="s">
        <v>15</v>
      </c>
      <c r="E11" s="503">
        <v>232131</v>
      </c>
      <c r="F11" s="503">
        <v>183579.1</v>
      </c>
      <c r="G11" s="503"/>
      <c r="H11" s="503"/>
      <c r="I11" s="503"/>
      <c r="J11" s="503"/>
      <c r="K11" s="503"/>
      <c r="L11" s="503"/>
      <c r="M11" s="503"/>
      <c r="N11" s="503"/>
      <c r="O11" s="503"/>
      <c r="Q11" s="2"/>
    </row>
    <row r="12" spans="2:17">
      <c r="B12" s="572" t="s">
        <v>103</v>
      </c>
      <c r="C12" s="41" t="s">
        <v>25</v>
      </c>
      <c r="D12" s="10" t="s">
        <v>70</v>
      </c>
      <c r="E12" s="503">
        <v>823199</v>
      </c>
      <c r="F12" s="503">
        <v>2100753.95526841</v>
      </c>
      <c r="G12" s="503"/>
      <c r="H12" s="503"/>
      <c r="I12" s="503"/>
      <c r="J12" s="503"/>
      <c r="K12" s="503"/>
      <c r="L12" s="503"/>
      <c r="M12" s="503"/>
      <c r="N12" s="503"/>
      <c r="O12" s="503"/>
      <c r="Q12" s="2"/>
    </row>
    <row r="13" spans="2:17">
      <c r="B13" s="573"/>
      <c r="C13" s="41" t="s">
        <v>28</v>
      </c>
      <c r="D13" s="10" t="s">
        <v>70</v>
      </c>
      <c r="E13" s="503">
        <v>31799</v>
      </c>
      <c r="F13" s="503">
        <v>96379.502625868743</v>
      </c>
      <c r="G13" s="503"/>
      <c r="H13" s="503"/>
      <c r="I13" s="503"/>
      <c r="J13" s="503"/>
      <c r="K13" s="503"/>
      <c r="L13" s="503"/>
      <c r="M13" s="503"/>
      <c r="N13" s="503"/>
      <c r="O13" s="503"/>
      <c r="Q13" s="2"/>
    </row>
    <row r="14" spans="2:17">
      <c r="B14" s="572" t="s">
        <v>121</v>
      </c>
      <c r="C14" s="113" t="s">
        <v>25</v>
      </c>
      <c r="D14" s="10" t="s">
        <v>70</v>
      </c>
      <c r="E14" s="504">
        <v>300</v>
      </c>
      <c r="F14" s="504">
        <v>3000</v>
      </c>
      <c r="G14" s="504"/>
      <c r="H14" s="504"/>
      <c r="I14" s="504"/>
      <c r="J14" s="504"/>
      <c r="K14" s="504"/>
      <c r="L14" s="504"/>
      <c r="M14" s="504"/>
      <c r="N14" s="504"/>
      <c r="O14" s="504"/>
      <c r="Q14" s="2"/>
    </row>
    <row r="15" spans="2:17">
      <c r="B15" s="573"/>
      <c r="C15" s="113" t="s">
        <v>28</v>
      </c>
      <c r="D15" s="10" t="s">
        <v>70</v>
      </c>
      <c r="E15" s="504">
        <v>0</v>
      </c>
      <c r="F15" s="504">
        <v>300</v>
      </c>
      <c r="G15" s="504"/>
      <c r="H15" s="504"/>
      <c r="I15" s="504"/>
      <c r="J15" s="504"/>
      <c r="K15" s="504"/>
      <c r="L15" s="504"/>
      <c r="M15" s="504"/>
      <c r="N15" s="504"/>
      <c r="O15" s="504"/>
      <c r="Q15" s="2"/>
    </row>
    <row r="16" spans="2:17">
      <c r="B16" s="572" t="s">
        <v>489</v>
      </c>
      <c r="C16" s="41" t="s">
        <v>25</v>
      </c>
      <c r="D16" s="10" t="s">
        <v>70</v>
      </c>
      <c r="E16" s="503">
        <v>0</v>
      </c>
      <c r="F16" s="503">
        <v>0</v>
      </c>
      <c r="G16" s="503"/>
      <c r="H16" s="503"/>
      <c r="I16" s="503"/>
      <c r="J16" s="503"/>
      <c r="K16" s="503"/>
      <c r="L16" s="503"/>
      <c r="M16" s="503"/>
      <c r="N16" s="503"/>
      <c r="O16" s="503"/>
      <c r="Q16" s="2"/>
    </row>
    <row r="17" spans="2:17">
      <c r="B17" s="573"/>
      <c r="C17" s="41" t="s">
        <v>28</v>
      </c>
      <c r="D17" s="10" t="s">
        <v>70</v>
      </c>
      <c r="E17" s="503">
        <v>0</v>
      </c>
      <c r="F17" s="503">
        <v>0</v>
      </c>
      <c r="G17" s="503"/>
      <c r="H17" s="503"/>
      <c r="I17" s="503"/>
      <c r="J17" s="503"/>
      <c r="K17" s="503"/>
      <c r="L17" s="503"/>
      <c r="M17" s="503"/>
      <c r="N17" s="503"/>
      <c r="O17" s="503"/>
      <c r="Q17" s="2"/>
    </row>
    <row r="18" spans="2:17">
      <c r="B18" s="113" t="s">
        <v>23</v>
      </c>
      <c r="C18" s="188" t="s">
        <v>23</v>
      </c>
      <c r="D18" s="10" t="s">
        <v>23</v>
      </c>
      <c r="E18" s="28">
        <f>SUM(E8:E17)</f>
        <v>7839170</v>
      </c>
      <c r="F18" s="28">
        <f t="shared" ref="F18" si="0">SUM(F8:F17)</f>
        <v>7687734.5578942783</v>
      </c>
      <c r="G18" s="28"/>
      <c r="H18" s="28"/>
      <c r="I18" s="28"/>
      <c r="J18" s="28"/>
      <c r="K18" s="28"/>
      <c r="L18" s="28"/>
      <c r="M18" s="28"/>
      <c r="N18" s="28"/>
      <c r="O18" s="28"/>
    </row>
    <row r="19" spans="2:17">
      <c r="B19" s="3"/>
      <c r="C19" s="3"/>
      <c r="D19" s="7"/>
      <c r="E19" s="6">
        <v>1.7426968848512914E-2</v>
      </c>
      <c r="F19" s="6">
        <f t="shared" ref="F19" si="1">IF(E18=0,"",F18/E18-1)</f>
        <v>-1.9317790289752779E-2</v>
      </c>
      <c r="G19" s="6"/>
      <c r="H19" s="6"/>
      <c r="I19" s="6"/>
      <c r="J19" s="6"/>
      <c r="K19" s="6"/>
      <c r="L19" s="6"/>
      <c r="M19" s="6"/>
      <c r="N19" s="6"/>
      <c r="O19" s="6"/>
    </row>
    <row r="20" spans="2:17">
      <c r="B20" s="185" t="s">
        <v>65</v>
      </c>
      <c r="D20" s="7"/>
    </row>
    <row r="21" spans="2:17">
      <c r="B21" s="4" t="s">
        <v>11</v>
      </c>
      <c r="C21" s="4" t="s">
        <v>12</v>
      </c>
      <c r="D21" s="4" t="s">
        <v>14</v>
      </c>
      <c r="E21" s="4">
        <v>2018</v>
      </c>
      <c r="F21" s="4">
        <v>2019</v>
      </c>
      <c r="G21" s="4">
        <v>2020</v>
      </c>
      <c r="H21" s="4">
        <v>2021</v>
      </c>
      <c r="I21" s="4">
        <v>2022</v>
      </c>
      <c r="J21" s="4">
        <v>2023</v>
      </c>
      <c r="K21" s="4">
        <f t="shared" ref="K21:O21" si="2">K7</f>
        <v>2024</v>
      </c>
      <c r="L21" s="4">
        <f t="shared" si="2"/>
        <v>2025</v>
      </c>
      <c r="M21" s="4">
        <f t="shared" si="2"/>
        <v>2026</v>
      </c>
      <c r="N21" s="4">
        <f t="shared" si="2"/>
        <v>2027</v>
      </c>
      <c r="O21" s="4">
        <f t="shared" si="2"/>
        <v>2028</v>
      </c>
    </row>
    <row r="22" spans="2:17">
      <c r="B22" s="572" t="str">
        <f>B8</f>
        <v>8 Gbps</v>
      </c>
      <c r="C22" s="41" t="s">
        <v>25</v>
      </c>
      <c r="D22" s="55" t="s">
        <v>15</v>
      </c>
      <c r="E22" s="21">
        <f t="shared" ref="E22:F22" si="3">IF(E8=0,,E35*10^6/E8)</f>
        <v>11.541466067432083</v>
      </c>
      <c r="F22" s="21">
        <f t="shared" si="3"/>
        <v>11.567628017947055</v>
      </c>
      <c r="G22" s="21"/>
      <c r="H22" s="21"/>
      <c r="I22" s="21"/>
      <c r="J22" s="21"/>
      <c r="K22" s="21"/>
      <c r="L22" s="21"/>
      <c r="M22" s="21"/>
      <c r="N22" s="21"/>
      <c r="O22" s="21"/>
    </row>
    <row r="23" spans="2:17">
      <c r="B23" s="573"/>
      <c r="C23" s="41" t="s">
        <v>28</v>
      </c>
      <c r="D23" s="10" t="s">
        <v>15</v>
      </c>
      <c r="E23" s="21">
        <f t="shared" ref="E23:F23" si="4">IF(E9=0,,E36*10^6/E9)</f>
        <v>70.5413713315547</v>
      </c>
      <c r="F23" s="21">
        <f t="shared" si="4"/>
        <v>66.189970794281038</v>
      </c>
      <c r="G23" s="21"/>
      <c r="H23" s="21"/>
      <c r="I23" s="21"/>
      <c r="J23" s="21"/>
      <c r="K23" s="21"/>
      <c r="L23" s="21"/>
      <c r="M23" s="21"/>
      <c r="N23" s="21"/>
      <c r="O23" s="21"/>
    </row>
    <row r="24" spans="2:17">
      <c r="B24" s="572" t="str">
        <f>B10</f>
        <v>16 Gbps</v>
      </c>
      <c r="C24" s="41" t="s">
        <v>25</v>
      </c>
      <c r="D24" s="10" t="s">
        <v>15</v>
      </c>
      <c r="E24" s="21">
        <f t="shared" ref="E24:F24" si="5">IF(E10=0,,E37*10^6/E10)</f>
        <v>22.841589498778646</v>
      </c>
      <c r="F24" s="21">
        <f t="shared" si="5"/>
        <v>24.779028708114094</v>
      </c>
      <c r="G24" s="21"/>
      <c r="H24" s="21"/>
      <c r="I24" s="21"/>
      <c r="J24" s="21"/>
      <c r="K24" s="21"/>
      <c r="L24" s="21"/>
      <c r="M24" s="21"/>
      <c r="N24" s="21"/>
      <c r="O24" s="21"/>
    </row>
    <row r="25" spans="2:17">
      <c r="B25" s="573"/>
      <c r="C25" s="41" t="s">
        <v>28</v>
      </c>
      <c r="D25" s="10" t="s">
        <v>15</v>
      </c>
      <c r="E25" s="21">
        <f t="shared" ref="E25:F25" si="6">IF(E11=0,,E38*10^6/E11)</f>
        <v>93.199636196802672</v>
      </c>
      <c r="F25" s="21">
        <f t="shared" si="6"/>
        <v>85.505150640786439</v>
      </c>
      <c r="G25" s="21"/>
      <c r="H25" s="21"/>
      <c r="I25" s="21"/>
      <c r="J25" s="21"/>
      <c r="K25" s="21"/>
      <c r="L25" s="21"/>
      <c r="M25" s="21"/>
      <c r="N25" s="21"/>
      <c r="O25" s="21"/>
    </row>
    <row r="26" spans="2:17">
      <c r="B26" s="572" t="str">
        <f>B12</f>
        <v>32 Gbps</v>
      </c>
      <c r="C26" s="41" t="s">
        <v>25</v>
      </c>
      <c r="D26" s="10" t="s">
        <v>70</v>
      </c>
      <c r="E26" s="21">
        <f t="shared" ref="E26:F26" si="7">IF(E12=0,,E39*10^6/E12)</f>
        <v>57.372255420621265</v>
      </c>
      <c r="F26" s="21">
        <f t="shared" si="7"/>
        <v>52.938685152087913</v>
      </c>
      <c r="G26" s="21"/>
      <c r="H26" s="21"/>
      <c r="I26" s="21"/>
      <c r="J26" s="21"/>
      <c r="K26" s="21"/>
      <c r="L26" s="21"/>
      <c r="M26" s="21"/>
      <c r="N26" s="21"/>
      <c r="O26" s="21"/>
    </row>
    <row r="27" spans="2:17">
      <c r="B27" s="573"/>
      <c r="C27" s="41" t="s">
        <v>28</v>
      </c>
      <c r="D27" s="10" t="s">
        <v>70</v>
      </c>
      <c r="E27" s="21">
        <f t="shared" ref="E27:F27" si="8">IF(E13=0,,E40*10^6/E13)</f>
        <v>238.34701657284819</v>
      </c>
      <c r="F27" s="21">
        <f t="shared" si="8"/>
        <v>178.96655716439761</v>
      </c>
      <c r="G27" s="21"/>
      <c r="H27" s="21"/>
      <c r="I27" s="21"/>
      <c r="J27" s="21"/>
      <c r="K27" s="21"/>
      <c r="L27" s="21"/>
      <c r="M27" s="21"/>
      <c r="N27" s="21"/>
      <c r="O27" s="21"/>
    </row>
    <row r="28" spans="2:17">
      <c r="B28" s="572" t="str">
        <f>B14</f>
        <v>64 Gbps</v>
      </c>
      <c r="C28" s="113" t="str">
        <f t="shared" ref="C28:D29" si="9">C26</f>
        <v>100 m</v>
      </c>
      <c r="D28" s="237" t="str">
        <f t="shared" si="9"/>
        <v>all</v>
      </c>
      <c r="E28" s="21">
        <f t="shared" ref="E28:F28" si="10">IF(E14=0,,E41*10^6/E14)</f>
        <v>305.49768904118372</v>
      </c>
      <c r="F28" s="21">
        <f t="shared" si="10"/>
        <v>160</v>
      </c>
      <c r="G28" s="21"/>
      <c r="H28" s="21"/>
      <c r="I28" s="21"/>
      <c r="J28" s="21"/>
      <c r="K28" s="21"/>
      <c r="L28" s="21"/>
      <c r="M28" s="21"/>
      <c r="N28" s="21"/>
      <c r="O28" s="21"/>
    </row>
    <row r="29" spans="2:17">
      <c r="B29" s="573"/>
      <c r="C29" s="113" t="str">
        <f t="shared" si="9"/>
        <v>10 km</v>
      </c>
      <c r="D29" s="237" t="str">
        <f t="shared" si="9"/>
        <v>all</v>
      </c>
      <c r="E29" s="21">
        <f t="shared" ref="E29:F29" si="11">IF(E15=0,,E42*10^6/E15)</f>
        <v>0</v>
      </c>
      <c r="F29" s="21">
        <f t="shared" si="11"/>
        <v>0</v>
      </c>
      <c r="G29" s="21"/>
      <c r="H29" s="21"/>
      <c r="I29" s="21"/>
      <c r="J29" s="21"/>
      <c r="K29" s="21"/>
      <c r="L29" s="21"/>
      <c r="M29" s="21"/>
      <c r="N29" s="21"/>
      <c r="O29" s="21"/>
    </row>
    <row r="30" spans="2:17">
      <c r="B30" s="572" t="str">
        <f>B16</f>
        <v>128 Gbps</v>
      </c>
      <c r="C30" s="41" t="s">
        <v>25</v>
      </c>
      <c r="D30" s="237" t="s">
        <v>70</v>
      </c>
      <c r="E30" s="120">
        <f t="shared" ref="E30:F30" si="12">IF(E16=0,,E43*10^6/E16)</f>
        <v>0</v>
      </c>
      <c r="F30" s="120">
        <f t="shared" si="12"/>
        <v>0</v>
      </c>
      <c r="G30" s="120"/>
      <c r="H30" s="120"/>
      <c r="I30" s="120"/>
      <c r="J30" s="120"/>
      <c r="K30" s="120"/>
      <c r="L30" s="120"/>
      <c r="M30" s="120"/>
      <c r="N30" s="120"/>
      <c r="O30" s="120"/>
    </row>
    <row r="31" spans="2:17">
      <c r="B31" s="573"/>
      <c r="C31" s="41" t="s">
        <v>28</v>
      </c>
      <c r="D31" s="237" t="s">
        <v>70</v>
      </c>
      <c r="E31" s="120">
        <f t="shared" ref="E31:F31" si="13">IF(E17=0,,E44*10^6/E17)</f>
        <v>0</v>
      </c>
      <c r="F31" s="120">
        <f t="shared" si="13"/>
        <v>0</v>
      </c>
      <c r="G31" s="120"/>
      <c r="H31" s="120"/>
      <c r="I31" s="120"/>
      <c r="J31" s="120"/>
      <c r="K31" s="120"/>
      <c r="L31" s="120"/>
      <c r="M31" s="120"/>
      <c r="N31" s="120"/>
      <c r="O31" s="120"/>
    </row>
    <row r="32" spans="2:17">
      <c r="C32" s="3"/>
      <c r="D32" s="7"/>
    </row>
    <row r="33" spans="2:15">
      <c r="B33" s="185" t="s">
        <v>1</v>
      </c>
      <c r="D33" s="7"/>
    </row>
    <row r="34" spans="2:15">
      <c r="B34" s="4" t="s">
        <v>11</v>
      </c>
      <c r="C34" s="4" t="s">
        <v>12</v>
      </c>
      <c r="D34" s="4" t="s">
        <v>14</v>
      </c>
      <c r="E34" s="4">
        <v>2018</v>
      </c>
      <c r="F34" s="4">
        <v>2019</v>
      </c>
      <c r="G34" s="4">
        <v>2020</v>
      </c>
      <c r="H34" s="4">
        <v>2021</v>
      </c>
      <c r="I34" s="4">
        <v>2022</v>
      </c>
      <c r="J34" s="4">
        <v>2023</v>
      </c>
      <c r="K34" s="4">
        <f t="shared" ref="K34:O34" si="14">K7</f>
        <v>2024</v>
      </c>
      <c r="L34" s="4">
        <f t="shared" si="14"/>
        <v>2025</v>
      </c>
      <c r="M34" s="4">
        <f t="shared" si="14"/>
        <v>2026</v>
      </c>
      <c r="N34" s="4">
        <f t="shared" si="14"/>
        <v>2027</v>
      </c>
      <c r="O34" s="4">
        <f t="shared" si="14"/>
        <v>2028</v>
      </c>
    </row>
    <row r="35" spans="2:15">
      <c r="B35" s="572" t="str">
        <f>B8</f>
        <v>8 Gbps</v>
      </c>
      <c r="C35" s="41" t="s">
        <v>25</v>
      </c>
      <c r="D35" s="8" t="s">
        <v>15</v>
      </c>
      <c r="E35" s="501">
        <v>14.604478830000019</v>
      </c>
      <c r="F35" s="501">
        <v>5.3380959500000005</v>
      </c>
      <c r="G35" s="501"/>
      <c r="H35" s="501"/>
      <c r="I35" s="501"/>
      <c r="J35" s="501"/>
      <c r="K35" s="501"/>
      <c r="L35" s="501"/>
      <c r="M35" s="501"/>
      <c r="N35" s="501"/>
      <c r="O35" s="501"/>
    </row>
    <row r="36" spans="2:15">
      <c r="B36" s="573"/>
      <c r="C36" s="41" t="s">
        <v>28</v>
      </c>
      <c r="D36" s="10" t="s">
        <v>15</v>
      </c>
      <c r="E36" s="501">
        <v>2.9084207400000004</v>
      </c>
      <c r="F36" s="501">
        <v>1.7337470000000004</v>
      </c>
      <c r="G36" s="501"/>
      <c r="H36" s="501"/>
      <c r="I36" s="501"/>
      <c r="J36" s="501"/>
      <c r="K36" s="501"/>
      <c r="L36" s="501"/>
      <c r="M36" s="501"/>
      <c r="N36" s="501"/>
      <c r="O36" s="501"/>
    </row>
    <row r="37" spans="2:15">
      <c r="B37" s="572" t="str">
        <f>B10</f>
        <v>16 Gbps</v>
      </c>
      <c r="C37" s="41" t="s">
        <v>25</v>
      </c>
      <c r="D37" s="9" t="s">
        <v>15</v>
      </c>
      <c r="E37" s="501">
        <v>124.37517297000009</v>
      </c>
      <c r="F37" s="501">
        <v>119.33728899999997</v>
      </c>
      <c r="G37" s="501"/>
      <c r="H37" s="501"/>
      <c r="I37" s="501"/>
      <c r="J37" s="501"/>
      <c r="K37" s="501"/>
      <c r="L37" s="501"/>
      <c r="M37" s="501"/>
      <c r="N37" s="501"/>
      <c r="O37" s="501"/>
    </row>
    <row r="38" spans="2:15">
      <c r="B38" s="573"/>
      <c r="C38" s="41" t="s">
        <v>28</v>
      </c>
      <c r="D38" s="10" t="s">
        <v>15</v>
      </c>
      <c r="E38" s="501">
        <v>21.634524750000001</v>
      </c>
      <c r="F38" s="501">
        <v>15.696958599999999</v>
      </c>
      <c r="G38" s="501"/>
      <c r="H38" s="501"/>
      <c r="I38" s="501"/>
      <c r="J38" s="501"/>
      <c r="K38" s="501"/>
      <c r="L38" s="501"/>
      <c r="M38" s="501"/>
      <c r="N38" s="501"/>
      <c r="O38" s="501"/>
    </row>
    <row r="39" spans="2:15">
      <c r="B39" s="572" t="str">
        <f>B12</f>
        <v>32 Gbps</v>
      </c>
      <c r="C39" s="41" t="s">
        <v>25</v>
      </c>
      <c r="D39" s="10" t="s">
        <v>70</v>
      </c>
      <c r="E39" s="501">
        <v>47.22878329000001</v>
      </c>
      <c r="F39" s="501">
        <v>111.21115221995774</v>
      </c>
      <c r="G39" s="501"/>
      <c r="H39" s="501"/>
      <c r="I39" s="501"/>
      <c r="J39" s="501"/>
      <c r="K39" s="501"/>
      <c r="L39" s="501"/>
      <c r="M39" s="501"/>
      <c r="N39" s="501"/>
      <c r="O39" s="501"/>
    </row>
    <row r="40" spans="2:15">
      <c r="B40" s="573"/>
      <c r="C40" s="41" t="s">
        <v>28</v>
      </c>
      <c r="D40" s="10" t="s">
        <v>70</v>
      </c>
      <c r="E40" s="501">
        <v>7.5791967799999993</v>
      </c>
      <c r="F40" s="501">
        <v>17.248707766168746</v>
      </c>
      <c r="G40" s="501"/>
      <c r="H40" s="501"/>
      <c r="I40" s="501"/>
      <c r="J40" s="501"/>
      <c r="K40" s="501"/>
      <c r="L40" s="501"/>
      <c r="M40" s="501"/>
      <c r="N40" s="501"/>
      <c r="O40" s="501"/>
    </row>
    <row r="41" spans="2:15">
      <c r="B41" s="572" t="str">
        <f t="shared" ref="B41:D44" si="15">B14</f>
        <v>64 Gbps</v>
      </c>
      <c r="C41" s="113" t="str">
        <f t="shared" si="15"/>
        <v>100 m</v>
      </c>
      <c r="D41" s="242" t="str">
        <f t="shared" si="15"/>
        <v>all</v>
      </c>
      <c r="E41" s="502">
        <v>9.1649306712355119E-2</v>
      </c>
      <c r="F41" s="502">
        <v>0.48</v>
      </c>
      <c r="G41" s="502"/>
      <c r="H41" s="502"/>
      <c r="I41" s="502"/>
      <c r="J41" s="502"/>
      <c r="K41" s="502"/>
      <c r="L41" s="502"/>
      <c r="M41" s="502"/>
      <c r="N41" s="502"/>
      <c r="O41" s="502"/>
    </row>
    <row r="42" spans="2:15">
      <c r="B42" s="573"/>
      <c r="C42" s="113" t="str">
        <f t="shared" si="15"/>
        <v>10 km</v>
      </c>
      <c r="D42" s="242" t="str">
        <f t="shared" si="15"/>
        <v>all</v>
      </c>
      <c r="E42" s="502">
        <v>0</v>
      </c>
      <c r="F42" s="502">
        <v>0</v>
      </c>
      <c r="G42" s="502"/>
      <c r="H42" s="502"/>
      <c r="I42" s="502"/>
      <c r="J42" s="502"/>
      <c r="K42" s="502"/>
      <c r="L42" s="502"/>
      <c r="M42" s="502"/>
      <c r="N42" s="502"/>
      <c r="O42" s="502"/>
    </row>
    <row r="43" spans="2:15">
      <c r="B43" s="572" t="str">
        <f t="shared" si="15"/>
        <v>128 Gbps</v>
      </c>
      <c r="C43" s="41" t="str">
        <f t="shared" si="15"/>
        <v>100 m</v>
      </c>
      <c r="D43" s="10" t="str">
        <f t="shared" si="15"/>
        <v>all</v>
      </c>
      <c r="E43" s="501">
        <v>0</v>
      </c>
      <c r="F43" s="501">
        <v>0</v>
      </c>
      <c r="G43" s="501"/>
      <c r="H43" s="501"/>
      <c r="I43" s="501"/>
      <c r="J43" s="501"/>
      <c r="K43" s="501"/>
      <c r="L43" s="501"/>
      <c r="M43" s="501"/>
      <c r="N43" s="501"/>
      <c r="O43" s="501"/>
    </row>
    <row r="44" spans="2:15">
      <c r="B44" s="573"/>
      <c r="C44" s="41" t="str">
        <f t="shared" si="15"/>
        <v>10 km</v>
      </c>
      <c r="D44" s="10" t="str">
        <f t="shared" si="15"/>
        <v>all</v>
      </c>
      <c r="E44" s="501">
        <v>0</v>
      </c>
      <c r="F44" s="501">
        <v>0</v>
      </c>
      <c r="G44" s="501"/>
      <c r="H44" s="501"/>
      <c r="I44" s="501"/>
      <c r="J44" s="501"/>
      <c r="K44" s="501"/>
      <c r="L44" s="501"/>
      <c r="M44" s="501"/>
      <c r="N44" s="501"/>
      <c r="O44" s="501"/>
    </row>
    <row r="45" spans="2:15">
      <c r="B45" s="113" t="s">
        <v>23</v>
      </c>
      <c r="C45" s="188" t="s">
        <v>23</v>
      </c>
      <c r="D45" s="10" t="s">
        <v>23</v>
      </c>
      <c r="E45" s="241">
        <f>SUM(E35:E44)</f>
        <v>218.42222666671245</v>
      </c>
      <c r="F45" s="241">
        <f t="shared" ref="F45" si="16">SUM(F35:F44)</f>
        <v>271.0459505361265</v>
      </c>
      <c r="G45" s="241"/>
      <c r="H45" s="241"/>
      <c r="I45" s="241"/>
      <c r="J45" s="241"/>
      <c r="K45" s="241"/>
      <c r="L45" s="241"/>
      <c r="M45" s="241"/>
      <c r="N45" s="241"/>
      <c r="O45" s="241"/>
    </row>
    <row r="46" spans="2:15">
      <c r="E46" s="6">
        <v>-5.238717637597079E-2</v>
      </c>
      <c r="F46" s="6">
        <f t="shared" ref="F46" si="17">IF(E45=0,"",F45/E45-1)</f>
        <v>0.24092659740948386</v>
      </c>
      <c r="G46" s="6"/>
      <c r="H46" s="6"/>
      <c r="I46" s="6"/>
      <c r="J46" s="6"/>
      <c r="K46" s="6"/>
      <c r="L46" s="6"/>
      <c r="M46" s="6"/>
      <c r="N46" s="6"/>
      <c r="O46" s="6"/>
    </row>
    <row r="49" spans="5:15">
      <c r="E49" s="200"/>
      <c r="F49" s="200"/>
      <c r="G49" s="200"/>
      <c r="H49" s="200"/>
      <c r="I49" s="200"/>
      <c r="J49" s="200"/>
      <c r="K49" s="200"/>
      <c r="L49" s="200"/>
      <c r="M49" s="200"/>
      <c r="N49" s="200"/>
      <c r="O49" s="200"/>
    </row>
    <row r="50" spans="5:15">
      <c r="F50" s="200"/>
      <c r="G50" s="200"/>
      <c r="H50" s="200"/>
      <c r="I50" s="200"/>
      <c r="J50" s="200"/>
      <c r="K50" s="200"/>
      <c r="L50" s="200"/>
      <c r="M50" s="200"/>
      <c r="N50" s="200"/>
      <c r="O50" s="200"/>
    </row>
  </sheetData>
  <mergeCells count="15">
    <mergeCell ref="B8:B9"/>
    <mergeCell ref="B10:B11"/>
    <mergeCell ref="B12:B13"/>
    <mergeCell ref="B16:B17"/>
    <mergeCell ref="B22:B23"/>
    <mergeCell ref="B14:B15"/>
    <mergeCell ref="B39:B40"/>
    <mergeCell ref="B43:B44"/>
    <mergeCell ref="B24:B25"/>
    <mergeCell ref="B26:B27"/>
    <mergeCell ref="B30:B31"/>
    <mergeCell ref="B35:B36"/>
    <mergeCell ref="B37:B38"/>
    <mergeCell ref="B28:B29"/>
    <mergeCell ref="B41:B42"/>
  </mergeCell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2:P90"/>
  <sheetViews>
    <sheetView showGridLines="0" zoomScale="70" zoomScaleNormal="70" zoomScalePageLayoutView="70" workbookViewId="0"/>
  </sheetViews>
  <sheetFormatPr defaultColWidth="9.21875" defaultRowHeight="13.2"/>
  <cols>
    <col min="1" max="1" width="4.44140625" customWidth="1"/>
    <col min="2" max="2" width="11.77734375" customWidth="1"/>
    <col min="3" max="3" width="19" customWidth="1"/>
    <col min="4" max="4" width="12.5546875" customWidth="1"/>
    <col min="5" max="5" width="17.77734375" customWidth="1"/>
    <col min="6" max="16" width="12.21875" customWidth="1"/>
  </cols>
  <sheetData>
    <row r="2" spans="1:16" ht="17.399999999999999">
      <c r="B2" s="70" t="str">
        <f>Introduction!B2</f>
        <v xml:space="preserve">LightCounting Optical Components Market Forecast </v>
      </c>
    </row>
    <row r="3" spans="1:16" ht="15">
      <c r="B3" s="588" t="str">
        <f>Introduction!B3</f>
        <v>Published 31 October 2023 - Sample - for illustrative purposes only</v>
      </c>
    </row>
    <row r="4" spans="1:16" ht="15.6">
      <c r="B4" s="181" t="s">
        <v>150</v>
      </c>
      <c r="G4" t="s">
        <v>313</v>
      </c>
    </row>
    <row r="6" spans="1:16" ht="15">
      <c r="B6" s="185" t="s">
        <v>0</v>
      </c>
      <c r="C6" s="3"/>
      <c r="D6" s="3"/>
      <c r="E6" s="3"/>
      <c r="G6" s="408"/>
      <c r="K6" s="505"/>
    </row>
    <row r="7" spans="1:16">
      <c r="B7" s="4" t="s">
        <v>22</v>
      </c>
      <c r="C7" s="4" t="s">
        <v>11</v>
      </c>
      <c r="D7" s="233" t="s">
        <v>12</v>
      </c>
      <c r="E7" s="4" t="s">
        <v>14</v>
      </c>
      <c r="F7" s="1">
        <v>2018</v>
      </c>
      <c r="G7" s="1">
        <v>2019</v>
      </c>
      <c r="H7" s="1">
        <v>2020</v>
      </c>
      <c r="I7" s="1">
        <v>2021</v>
      </c>
      <c r="J7" s="1">
        <v>2022</v>
      </c>
      <c r="K7" s="1">
        <v>2023</v>
      </c>
      <c r="L7" s="1">
        <v>2024</v>
      </c>
      <c r="M7" s="1">
        <v>2025</v>
      </c>
      <c r="N7" s="1">
        <v>2026</v>
      </c>
      <c r="O7" s="1">
        <v>2027</v>
      </c>
      <c r="P7" s="1">
        <v>2028</v>
      </c>
    </row>
    <row r="8" spans="1:16">
      <c r="A8" s="476">
        <v>1</v>
      </c>
      <c r="B8" s="261" t="s">
        <v>19</v>
      </c>
      <c r="C8" s="239" t="s">
        <v>116</v>
      </c>
      <c r="D8" s="239" t="s">
        <v>29</v>
      </c>
      <c r="E8" s="239" t="s">
        <v>23</v>
      </c>
      <c r="F8" s="522">
        <v>326257</v>
      </c>
      <c r="G8" s="522">
        <v>376930.99999999994</v>
      </c>
      <c r="H8" s="522"/>
      <c r="I8" s="522"/>
      <c r="J8" s="522"/>
      <c r="K8" s="522"/>
      <c r="L8" s="522"/>
      <c r="M8" s="522"/>
      <c r="N8" s="522"/>
      <c r="O8" s="522"/>
      <c r="P8" s="522"/>
    </row>
    <row r="9" spans="1:16">
      <c r="A9" s="476">
        <v>2.5</v>
      </c>
      <c r="B9" s="261" t="s">
        <v>31</v>
      </c>
      <c r="C9" s="41" t="s">
        <v>124</v>
      </c>
      <c r="D9" s="239" t="s">
        <v>23</v>
      </c>
      <c r="E9" s="41" t="s">
        <v>23</v>
      </c>
      <c r="F9" s="522">
        <v>38304</v>
      </c>
      <c r="G9" s="522">
        <v>33359</v>
      </c>
      <c r="H9" s="522"/>
      <c r="I9" s="522"/>
      <c r="J9" s="522"/>
      <c r="K9" s="522"/>
      <c r="L9" s="522"/>
      <c r="M9" s="522"/>
      <c r="N9" s="522"/>
      <c r="O9" s="522"/>
      <c r="P9" s="522"/>
    </row>
    <row r="10" spans="1:16" ht="16.05" customHeight="1">
      <c r="A10" s="476">
        <v>10</v>
      </c>
      <c r="B10" s="262" t="s">
        <v>31</v>
      </c>
      <c r="C10" s="305" t="s">
        <v>78</v>
      </c>
      <c r="D10" s="239" t="s">
        <v>23</v>
      </c>
      <c r="E10" s="150" t="s">
        <v>23</v>
      </c>
      <c r="F10" s="522">
        <v>420136</v>
      </c>
      <c r="G10" s="522">
        <v>529485</v>
      </c>
      <c r="H10" s="522"/>
      <c r="I10" s="522"/>
      <c r="J10" s="522"/>
      <c r="K10" s="522"/>
      <c r="L10" s="522"/>
      <c r="M10" s="522"/>
      <c r="N10" s="522"/>
      <c r="O10" s="522"/>
      <c r="P10" s="522"/>
    </row>
    <row r="11" spans="1:16">
      <c r="A11" s="476">
        <v>40</v>
      </c>
      <c r="B11" s="262" t="s">
        <v>31</v>
      </c>
      <c r="C11" s="41" t="s">
        <v>89</v>
      </c>
      <c r="D11" s="239" t="s">
        <v>23</v>
      </c>
      <c r="E11" s="239" t="s">
        <v>23</v>
      </c>
      <c r="F11" s="522">
        <v>0</v>
      </c>
      <c r="G11" s="522">
        <v>0</v>
      </c>
      <c r="H11" s="522"/>
      <c r="I11" s="522"/>
      <c r="J11" s="522"/>
      <c r="K11" s="522"/>
      <c r="L11" s="522"/>
      <c r="M11" s="522"/>
      <c r="N11" s="522"/>
      <c r="O11" s="522"/>
      <c r="P11" s="522"/>
    </row>
    <row r="12" spans="1:16">
      <c r="A12" s="476">
        <v>100</v>
      </c>
      <c r="B12" s="262" t="s">
        <v>31</v>
      </c>
      <c r="C12" s="303" t="s">
        <v>283</v>
      </c>
      <c r="D12" s="239" t="s">
        <v>23</v>
      </c>
      <c r="E12" s="239" t="s">
        <v>251</v>
      </c>
      <c r="F12" s="523">
        <v>271842</v>
      </c>
      <c r="G12" s="523">
        <v>220820.20000000004</v>
      </c>
      <c r="H12" s="523"/>
      <c r="I12" s="523"/>
      <c r="J12" s="523"/>
      <c r="K12" s="523"/>
      <c r="L12" s="523"/>
      <c r="M12" s="523"/>
      <c r="N12" s="523"/>
      <c r="O12" s="523"/>
      <c r="P12" s="523"/>
    </row>
    <row r="13" spans="1:16">
      <c r="A13" s="476">
        <v>100</v>
      </c>
      <c r="B13" s="262" t="s">
        <v>31</v>
      </c>
      <c r="C13" s="304" t="s">
        <v>283</v>
      </c>
      <c r="D13" s="263" t="s">
        <v>23</v>
      </c>
      <c r="E13" s="263" t="s">
        <v>234</v>
      </c>
      <c r="F13" s="524">
        <v>27000</v>
      </c>
      <c r="G13" s="524">
        <v>38000</v>
      </c>
      <c r="H13" s="524"/>
      <c r="I13" s="524"/>
      <c r="J13" s="524"/>
      <c r="K13" s="524"/>
      <c r="L13" s="524"/>
      <c r="M13" s="524"/>
      <c r="N13" s="524"/>
      <c r="O13" s="524"/>
      <c r="P13" s="524"/>
    </row>
    <row r="14" spans="1:16">
      <c r="A14" s="476">
        <v>100</v>
      </c>
      <c r="B14" s="262" t="s">
        <v>31</v>
      </c>
      <c r="C14" s="304" t="s">
        <v>283</v>
      </c>
      <c r="D14" s="263" t="s">
        <v>23</v>
      </c>
      <c r="E14" s="263" t="s">
        <v>281</v>
      </c>
      <c r="F14" s="524">
        <v>39955</v>
      </c>
      <c r="G14" s="524">
        <v>77155.600000000006</v>
      </c>
      <c r="H14" s="524"/>
      <c r="I14" s="524"/>
      <c r="J14" s="524"/>
      <c r="K14" s="524"/>
      <c r="L14" s="524"/>
      <c r="M14" s="524"/>
      <c r="N14" s="524"/>
      <c r="O14" s="524"/>
      <c r="P14" s="524"/>
    </row>
    <row r="15" spans="1:16">
      <c r="A15" s="476">
        <v>100</v>
      </c>
      <c r="B15" s="262" t="s">
        <v>31</v>
      </c>
      <c r="C15" s="304" t="s">
        <v>283</v>
      </c>
      <c r="D15" s="263" t="s">
        <v>13</v>
      </c>
      <c r="E15" s="263" t="s">
        <v>381</v>
      </c>
      <c r="F15" s="524">
        <v>0</v>
      </c>
      <c r="G15" s="524">
        <v>0</v>
      </c>
      <c r="H15" s="524"/>
      <c r="I15" s="524"/>
      <c r="J15" s="524"/>
      <c r="K15" s="524"/>
      <c r="L15" s="524"/>
      <c r="M15" s="524"/>
      <c r="N15" s="524"/>
      <c r="O15" s="524"/>
      <c r="P15" s="524"/>
    </row>
    <row r="16" spans="1:16">
      <c r="A16" s="476">
        <v>100</v>
      </c>
      <c r="B16" s="262" t="s">
        <v>31</v>
      </c>
      <c r="C16" s="213" t="s">
        <v>283</v>
      </c>
      <c r="D16" s="283" t="s">
        <v>23</v>
      </c>
      <c r="E16" s="283" t="s">
        <v>282</v>
      </c>
      <c r="F16" s="525">
        <v>18203</v>
      </c>
      <c r="G16" s="525">
        <v>9024.2000000000007</v>
      </c>
      <c r="H16" s="525"/>
      <c r="I16" s="525"/>
      <c r="J16" s="525"/>
      <c r="K16" s="525"/>
      <c r="L16" s="525"/>
      <c r="M16" s="525"/>
      <c r="N16" s="525"/>
      <c r="O16" s="525"/>
      <c r="P16" s="525"/>
    </row>
    <row r="17" spans="1:16">
      <c r="A17" s="476">
        <v>200</v>
      </c>
      <c r="B17" s="262" t="s">
        <v>31</v>
      </c>
      <c r="C17" s="304" t="s">
        <v>248</v>
      </c>
      <c r="D17" s="263" t="s">
        <v>23</v>
      </c>
      <c r="E17" s="263" t="s">
        <v>443</v>
      </c>
      <c r="F17" s="524">
        <v>73052</v>
      </c>
      <c r="G17" s="524">
        <v>95170.199999999983</v>
      </c>
      <c r="H17" s="524"/>
      <c r="I17" s="524"/>
      <c r="J17" s="524"/>
      <c r="K17" s="524"/>
      <c r="L17" s="524"/>
      <c r="M17" s="524"/>
      <c r="N17" s="524"/>
      <c r="O17" s="524"/>
      <c r="P17" s="524"/>
    </row>
    <row r="18" spans="1:16">
      <c r="A18" s="476">
        <v>200</v>
      </c>
      <c r="B18" s="262" t="s">
        <v>31</v>
      </c>
      <c r="C18" s="304" t="s">
        <v>248</v>
      </c>
      <c r="D18" s="263" t="s">
        <v>23</v>
      </c>
      <c r="E18" s="263" t="s">
        <v>284</v>
      </c>
      <c r="F18" s="524">
        <v>30745.000000000004</v>
      </c>
      <c r="G18" s="524">
        <v>85733.000000000015</v>
      </c>
      <c r="H18" s="524"/>
      <c r="I18" s="524"/>
      <c r="J18" s="524"/>
      <c r="K18" s="524"/>
      <c r="L18" s="524"/>
      <c r="M18" s="524"/>
      <c r="N18" s="524"/>
      <c r="O18" s="524"/>
      <c r="P18" s="524"/>
    </row>
    <row r="19" spans="1:16">
      <c r="A19" s="476">
        <v>200</v>
      </c>
      <c r="B19" s="262" t="s">
        <v>31</v>
      </c>
      <c r="C19" s="213" t="s">
        <v>248</v>
      </c>
      <c r="D19" s="283" t="s">
        <v>23</v>
      </c>
      <c r="E19" s="283" t="s">
        <v>282</v>
      </c>
      <c r="F19" s="525">
        <v>18203</v>
      </c>
      <c r="G19" s="525">
        <v>36096.800000000003</v>
      </c>
      <c r="H19" s="525"/>
      <c r="I19" s="525"/>
      <c r="J19" s="525"/>
      <c r="K19" s="525"/>
      <c r="L19" s="525"/>
      <c r="M19" s="525"/>
      <c r="N19" s="525"/>
      <c r="O19" s="525"/>
      <c r="P19" s="525"/>
    </row>
    <row r="20" spans="1:16">
      <c r="A20" s="476">
        <v>400</v>
      </c>
      <c r="B20" s="262" t="s">
        <v>31</v>
      </c>
      <c r="C20" s="304" t="s">
        <v>123</v>
      </c>
      <c r="D20" s="263" t="s">
        <v>23</v>
      </c>
      <c r="E20" s="263" t="s">
        <v>443</v>
      </c>
      <c r="F20" s="524">
        <v>17500</v>
      </c>
      <c r="G20" s="524">
        <v>38700</v>
      </c>
      <c r="H20" s="524"/>
      <c r="I20" s="524"/>
      <c r="J20" s="524"/>
      <c r="K20" s="524"/>
      <c r="L20" s="524"/>
      <c r="M20" s="524"/>
      <c r="N20" s="524"/>
      <c r="O20" s="524"/>
      <c r="P20" s="524"/>
    </row>
    <row r="21" spans="1:16">
      <c r="A21" s="476">
        <v>400</v>
      </c>
      <c r="B21" s="262" t="s">
        <v>31</v>
      </c>
      <c r="C21" s="304" t="s">
        <v>123</v>
      </c>
      <c r="D21" s="263" t="s">
        <v>380</v>
      </c>
      <c r="E21" s="263" t="s">
        <v>291</v>
      </c>
      <c r="F21" s="524">
        <v>0</v>
      </c>
      <c r="G21" s="524">
        <v>200</v>
      </c>
      <c r="H21" s="524"/>
      <c r="I21" s="524"/>
      <c r="J21" s="524"/>
      <c r="K21" s="524"/>
      <c r="L21" s="524"/>
      <c r="M21" s="524"/>
      <c r="N21" s="524"/>
      <c r="O21" s="524"/>
      <c r="P21" s="524"/>
    </row>
    <row r="22" spans="1:16">
      <c r="A22" s="476">
        <v>400</v>
      </c>
      <c r="B22" s="262" t="s">
        <v>31</v>
      </c>
      <c r="C22" s="304" t="s">
        <v>123</v>
      </c>
      <c r="D22" s="263" t="s">
        <v>379</v>
      </c>
      <c r="E22" s="263" t="s">
        <v>404</v>
      </c>
      <c r="F22" s="524">
        <v>0</v>
      </c>
      <c r="G22" s="524">
        <v>100</v>
      </c>
      <c r="H22" s="524"/>
      <c r="I22" s="524"/>
      <c r="J22" s="524"/>
      <c r="K22" s="524"/>
      <c r="L22" s="524"/>
      <c r="M22" s="524"/>
      <c r="N22" s="524"/>
      <c r="O22" s="524"/>
      <c r="P22" s="524"/>
    </row>
    <row r="23" spans="1:16">
      <c r="A23" s="476">
        <v>400</v>
      </c>
      <c r="B23" s="262" t="s">
        <v>31</v>
      </c>
      <c r="C23" s="213" t="s">
        <v>123</v>
      </c>
      <c r="D23" s="283" t="s">
        <v>379</v>
      </c>
      <c r="E23" s="283" t="s">
        <v>405</v>
      </c>
      <c r="F23" s="525">
        <v>0</v>
      </c>
      <c r="G23" s="525">
        <v>0</v>
      </c>
      <c r="H23" s="525"/>
      <c r="I23" s="525"/>
      <c r="J23" s="525"/>
      <c r="K23" s="525"/>
      <c r="L23" s="525"/>
      <c r="M23" s="525"/>
      <c r="N23" s="525"/>
      <c r="O23" s="525"/>
      <c r="P23" s="525"/>
    </row>
    <row r="24" spans="1:16">
      <c r="A24" s="476">
        <v>600</v>
      </c>
      <c r="B24" s="262" t="s">
        <v>31</v>
      </c>
      <c r="C24" s="303" t="s">
        <v>473</v>
      </c>
      <c r="D24" s="239" t="s">
        <v>23</v>
      </c>
      <c r="E24" s="239" t="s">
        <v>443</v>
      </c>
      <c r="F24" s="524">
        <v>0</v>
      </c>
      <c r="G24" s="524">
        <v>82</v>
      </c>
      <c r="H24" s="524"/>
      <c r="I24" s="524"/>
      <c r="J24" s="524"/>
      <c r="K24" s="524"/>
      <c r="L24" s="524"/>
      <c r="M24" s="524"/>
      <c r="N24" s="524"/>
      <c r="O24" s="524"/>
      <c r="P24" s="524"/>
    </row>
    <row r="25" spans="1:16" ht="12.75" customHeight="1">
      <c r="A25" s="476">
        <v>800</v>
      </c>
      <c r="B25" s="262" t="s">
        <v>31</v>
      </c>
      <c r="C25" s="239" t="s">
        <v>403</v>
      </c>
      <c r="D25" s="239" t="s">
        <v>23</v>
      </c>
      <c r="E25" s="239" t="s">
        <v>443</v>
      </c>
      <c r="F25" s="523">
        <v>0</v>
      </c>
      <c r="G25" s="523">
        <v>0</v>
      </c>
      <c r="H25" s="523"/>
      <c r="I25" s="523"/>
      <c r="J25" s="523"/>
      <c r="K25" s="523"/>
      <c r="L25" s="523"/>
      <c r="M25" s="523"/>
      <c r="N25" s="523"/>
      <c r="O25" s="523"/>
      <c r="P25" s="523"/>
    </row>
    <row r="26" spans="1:16" ht="12.75" customHeight="1">
      <c r="A26" s="476">
        <v>800</v>
      </c>
      <c r="B26" s="262" t="s">
        <v>31</v>
      </c>
      <c r="C26" s="283" t="s">
        <v>403</v>
      </c>
      <c r="D26" s="283" t="s">
        <v>380</v>
      </c>
      <c r="E26" s="283" t="s">
        <v>475</v>
      </c>
      <c r="F26" s="525">
        <v>0</v>
      </c>
      <c r="G26" s="525">
        <v>0</v>
      </c>
      <c r="H26" s="525"/>
      <c r="I26" s="525"/>
      <c r="J26" s="525"/>
      <c r="K26" s="525"/>
      <c r="L26" s="525"/>
      <c r="M26" s="525"/>
      <c r="N26" s="525"/>
      <c r="O26" s="525"/>
      <c r="P26" s="525"/>
    </row>
    <row r="27" spans="1:16" ht="12.75" customHeight="1">
      <c r="A27" s="476">
        <v>1200</v>
      </c>
      <c r="B27" s="262" t="s">
        <v>31</v>
      </c>
      <c r="C27" s="304" t="s">
        <v>474</v>
      </c>
      <c r="D27" s="263" t="s">
        <v>23</v>
      </c>
      <c r="E27" s="283" t="s">
        <v>443</v>
      </c>
      <c r="F27" s="526">
        <v>0</v>
      </c>
      <c r="G27" s="526">
        <v>0</v>
      </c>
      <c r="H27" s="526"/>
      <c r="I27" s="526"/>
      <c r="J27" s="526"/>
      <c r="K27" s="526"/>
      <c r="L27" s="526"/>
      <c r="M27" s="526"/>
      <c r="N27" s="526"/>
      <c r="O27" s="526"/>
      <c r="P27" s="526"/>
    </row>
    <row r="28" spans="1:16" ht="12.75" customHeight="1">
      <c r="A28" s="476">
        <v>1600</v>
      </c>
      <c r="B28" s="262" t="s">
        <v>31</v>
      </c>
      <c r="C28" s="173" t="s">
        <v>459</v>
      </c>
      <c r="D28" s="113" t="s">
        <v>23</v>
      </c>
      <c r="E28" s="113" t="s">
        <v>443</v>
      </c>
      <c r="F28" s="524">
        <v>0</v>
      </c>
      <c r="G28" s="524">
        <v>0</v>
      </c>
      <c r="H28" s="524"/>
      <c r="I28" s="524"/>
      <c r="J28" s="524"/>
      <c r="K28" s="524"/>
      <c r="L28" s="524"/>
      <c r="M28" s="524"/>
      <c r="N28" s="524"/>
      <c r="O28" s="524"/>
      <c r="P28" s="524"/>
    </row>
    <row r="29" spans="1:16">
      <c r="B29" s="187" t="s">
        <v>32</v>
      </c>
      <c r="C29" s="41" t="s">
        <v>23</v>
      </c>
      <c r="D29" s="113" t="s">
        <v>23</v>
      </c>
      <c r="E29" s="41" t="s">
        <v>23</v>
      </c>
      <c r="F29" s="28">
        <f t="shared" ref="F29:G29" si="0">SUM(F8:F28)</f>
        <v>1281197</v>
      </c>
      <c r="G29" s="28">
        <f t="shared" si="0"/>
        <v>1540857</v>
      </c>
      <c r="H29" s="28"/>
      <c r="I29" s="28"/>
      <c r="J29" s="28"/>
      <c r="K29" s="28"/>
      <c r="L29" s="28"/>
      <c r="M29" s="28"/>
      <c r="N29" s="28"/>
      <c r="O29" s="28"/>
      <c r="P29" s="28"/>
    </row>
    <row r="30" spans="1:16">
      <c r="B30" s="3"/>
      <c r="C30" s="3"/>
      <c r="D30" s="3"/>
      <c r="E30" s="3"/>
      <c r="F30" s="51">
        <v>-4.9535905775362266E-2</v>
      </c>
      <c r="G30" s="51">
        <f>IF(F29=0,"",G29/F29-1)</f>
        <v>0.20266984702586721</v>
      </c>
      <c r="H30" s="51"/>
      <c r="I30" s="51"/>
      <c r="J30" s="51"/>
      <c r="K30" s="51"/>
      <c r="L30" s="51"/>
      <c r="M30" s="51"/>
      <c r="N30" s="51"/>
      <c r="O30" s="51"/>
      <c r="P30" s="51"/>
    </row>
    <row r="31" spans="1:16">
      <c r="B31" s="185" t="s">
        <v>65</v>
      </c>
      <c r="C31" s="3"/>
    </row>
    <row r="32" spans="1:16">
      <c r="B32" s="4" t="s">
        <v>22</v>
      </c>
      <c r="C32" s="4" t="s">
        <v>11</v>
      </c>
      <c r="D32" s="4" t="s">
        <v>12</v>
      </c>
      <c r="E32" s="4" t="s">
        <v>14</v>
      </c>
      <c r="F32" s="1">
        <v>2018</v>
      </c>
      <c r="G32" s="1">
        <v>2019</v>
      </c>
      <c r="H32" s="1">
        <v>2020</v>
      </c>
      <c r="I32" s="1">
        <v>2021</v>
      </c>
      <c r="J32" s="1">
        <v>2022</v>
      </c>
      <c r="K32" s="1">
        <v>2023</v>
      </c>
      <c r="L32" s="1">
        <f t="shared" ref="L32:P32" si="1">L7</f>
        <v>2024</v>
      </c>
      <c r="M32" s="1">
        <f t="shared" si="1"/>
        <v>2025</v>
      </c>
      <c r="N32" s="1">
        <f t="shared" si="1"/>
        <v>2026</v>
      </c>
      <c r="O32" s="1">
        <f t="shared" si="1"/>
        <v>2027</v>
      </c>
      <c r="P32" s="1">
        <f t="shared" si="1"/>
        <v>2028</v>
      </c>
    </row>
    <row r="33" spans="2:16">
      <c r="B33" s="261" t="str">
        <f t="shared" ref="B33:E53" si="2">B8</f>
        <v>CWDM</v>
      </c>
      <c r="C33" s="239" t="str">
        <f t="shared" si="2"/>
        <v>up to 10 Gbps</v>
      </c>
      <c r="D33" s="239" t="str">
        <f t="shared" si="2"/>
        <v>40 km</v>
      </c>
      <c r="E33" s="239" t="str">
        <f t="shared" si="2"/>
        <v>All</v>
      </c>
      <c r="F33" s="527">
        <v>194.66719181504152</v>
      </c>
      <c r="G33" s="527">
        <v>197.66865137878591</v>
      </c>
      <c r="H33" s="527"/>
      <c r="I33" s="527"/>
      <c r="J33" s="527"/>
      <c r="K33" s="527"/>
      <c r="L33" s="527"/>
      <c r="M33" s="527"/>
      <c r="N33" s="527"/>
      <c r="O33" s="527"/>
      <c r="P33" s="527"/>
    </row>
    <row r="34" spans="2:16">
      <c r="B34" s="261" t="str">
        <f t="shared" si="2"/>
        <v>DWDM</v>
      </c>
      <c r="C34" s="41" t="str">
        <f t="shared" si="2"/>
        <v>2.5 Gbps</v>
      </c>
      <c r="D34" s="239" t="str">
        <f t="shared" si="2"/>
        <v>All</v>
      </c>
      <c r="E34" s="41" t="str">
        <f t="shared" si="2"/>
        <v>All</v>
      </c>
      <c r="F34" s="527">
        <v>226</v>
      </c>
      <c r="G34" s="527">
        <v>176.82061812404447</v>
      </c>
      <c r="H34" s="527"/>
      <c r="I34" s="527"/>
      <c r="J34" s="527"/>
      <c r="K34" s="527"/>
      <c r="L34" s="527"/>
      <c r="M34" s="527"/>
      <c r="N34" s="527"/>
      <c r="O34" s="527"/>
      <c r="P34" s="527"/>
    </row>
    <row r="35" spans="2:16">
      <c r="B35" s="262" t="str">
        <f t="shared" si="2"/>
        <v>DWDM</v>
      </c>
      <c r="C35" s="305" t="str">
        <f t="shared" si="2"/>
        <v>10 Gbps</v>
      </c>
      <c r="D35" s="239" t="str">
        <f t="shared" si="2"/>
        <v>All</v>
      </c>
      <c r="E35" s="150" t="str">
        <f t="shared" si="2"/>
        <v>All</v>
      </c>
      <c r="F35" s="527">
        <v>479.07420454329076</v>
      </c>
      <c r="G35" s="527">
        <v>391.63085052651763</v>
      </c>
      <c r="H35" s="527"/>
      <c r="I35" s="527"/>
      <c r="J35" s="527"/>
      <c r="K35" s="527"/>
      <c r="L35" s="527"/>
      <c r="M35" s="527"/>
      <c r="N35" s="527"/>
      <c r="O35" s="527"/>
      <c r="P35" s="527"/>
    </row>
    <row r="36" spans="2:16">
      <c r="B36" s="262" t="str">
        <f t="shared" si="2"/>
        <v>DWDM</v>
      </c>
      <c r="C36" s="41" t="str">
        <f t="shared" si="2"/>
        <v>40 Gbps</v>
      </c>
      <c r="D36" s="239" t="str">
        <f t="shared" si="2"/>
        <v>All</v>
      </c>
      <c r="E36" s="239" t="str">
        <f t="shared" si="2"/>
        <v>All</v>
      </c>
      <c r="F36" s="527">
        <v>0</v>
      </c>
      <c r="G36" s="527">
        <v>0</v>
      </c>
      <c r="H36" s="527"/>
      <c r="I36" s="527"/>
      <c r="J36" s="527"/>
      <c r="K36" s="527"/>
      <c r="L36" s="527"/>
      <c r="M36" s="527"/>
      <c r="N36" s="527"/>
      <c r="O36" s="527"/>
      <c r="P36" s="527"/>
    </row>
    <row r="37" spans="2:16">
      <c r="B37" s="262" t="str">
        <f t="shared" si="2"/>
        <v>DWDM</v>
      </c>
      <c r="C37" s="303" t="str">
        <f t="shared" si="2"/>
        <v>100Gbps</v>
      </c>
      <c r="D37" s="239" t="str">
        <f t="shared" si="2"/>
        <v>All</v>
      </c>
      <c r="E37" s="239" t="str">
        <f t="shared" si="2"/>
        <v>On board</v>
      </c>
      <c r="F37" s="528">
        <v>8000</v>
      </c>
      <c r="G37" s="528">
        <v>6400</v>
      </c>
      <c r="H37" s="528"/>
      <c r="I37" s="528"/>
      <c r="J37" s="528"/>
      <c r="K37" s="528"/>
      <c r="L37" s="528"/>
      <c r="M37" s="528"/>
      <c r="N37" s="528"/>
      <c r="O37" s="528"/>
      <c r="P37" s="528"/>
    </row>
    <row r="38" spans="2:16">
      <c r="B38" s="262" t="str">
        <f t="shared" si="2"/>
        <v>DWDM</v>
      </c>
      <c r="C38" s="304" t="str">
        <f t="shared" si="2"/>
        <v>100Gbps</v>
      </c>
      <c r="D38" s="263" t="str">
        <f t="shared" si="2"/>
        <v>All</v>
      </c>
      <c r="E38" s="263" t="str">
        <f t="shared" si="2"/>
        <v>Direct detect</v>
      </c>
      <c r="F38" s="529">
        <v>2642</v>
      </c>
      <c r="G38" s="529">
        <v>2458.3333333333335</v>
      </c>
      <c r="H38" s="529"/>
      <c r="I38" s="529"/>
      <c r="J38" s="529"/>
      <c r="K38" s="529"/>
      <c r="L38" s="529"/>
      <c r="M38" s="529"/>
      <c r="N38" s="529"/>
      <c r="O38" s="529"/>
      <c r="P38" s="529"/>
    </row>
    <row r="39" spans="2:16">
      <c r="B39" s="262" t="str">
        <f t="shared" si="2"/>
        <v>DWDM</v>
      </c>
      <c r="C39" s="304" t="str">
        <f t="shared" si="2"/>
        <v>100Gbps</v>
      </c>
      <c r="D39" s="263" t="str">
        <f t="shared" si="2"/>
        <v>All</v>
      </c>
      <c r="E39" s="263" t="str">
        <f t="shared" si="2"/>
        <v>CFP-DCO</v>
      </c>
      <c r="F39" s="529">
        <v>5500</v>
      </c>
      <c r="G39" s="529">
        <v>4400</v>
      </c>
      <c r="H39" s="529"/>
      <c r="I39" s="529"/>
      <c r="J39" s="529"/>
      <c r="K39" s="529"/>
      <c r="L39" s="529"/>
      <c r="M39" s="529"/>
      <c r="N39" s="529"/>
      <c r="O39" s="529"/>
      <c r="P39" s="529"/>
    </row>
    <row r="40" spans="2:16">
      <c r="B40" s="262" t="str">
        <f t="shared" si="2"/>
        <v>DWDM</v>
      </c>
      <c r="C40" s="304" t="str">
        <f t="shared" si="2"/>
        <v>100Gbps</v>
      </c>
      <c r="D40" s="263" t="str">
        <f t="shared" si="2"/>
        <v>80 km</v>
      </c>
      <c r="E40" s="263" t="str">
        <f t="shared" si="2"/>
        <v>100GbE ZR</v>
      </c>
      <c r="F40" s="529">
        <v>0</v>
      </c>
      <c r="G40" s="529">
        <v>0</v>
      </c>
      <c r="H40" s="529"/>
      <c r="I40" s="529"/>
      <c r="J40" s="529"/>
      <c r="K40" s="529"/>
      <c r="L40" s="529"/>
      <c r="M40" s="529"/>
      <c r="N40" s="529"/>
      <c r="O40" s="529"/>
      <c r="P40" s="529"/>
    </row>
    <row r="41" spans="2:16">
      <c r="B41" s="262" t="str">
        <f t="shared" si="2"/>
        <v>DWDM</v>
      </c>
      <c r="C41" s="213" t="str">
        <f t="shared" si="2"/>
        <v>100Gbps</v>
      </c>
      <c r="D41" s="283" t="str">
        <f t="shared" si="2"/>
        <v>All</v>
      </c>
      <c r="E41" s="283" t="str">
        <f t="shared" si="2"/>
        <v>CFP2-ACO</v>
      </c>
      <c r="F41" s="530">
        <v>5170</v>
      </c>
      <c r="G41" s="530">
        <v>3900</v>
      </c>
      <c r="H41" s="530"/>
      <c r="I41" s="530"/>
      <c r="J41" s="530"/>
      <c r="K41" s="530"/>
      <c r="L41" s="530"/>
      <c r="M41" s="530"/>
      <c r="N41" s="530"/>
      <c r="O41" s="530"/>
      <c r="P41" s="530"/>
    </row>
    <row r="42" spans="2:16">
      <c r="B42" s="262" t="str">
        <f t="shared" si="2"/>
        <v>DWDM</v>
      </c>
      <c r="C42" s="304" t="str">
        <f t="shared" si="2"/>
        <v>200 Gbps</v>
      </c>
      <c r="D42" s="263" t="str">
        <f t="shared" si="2"/>
        <v>All</v>
      </c>
      <c r="E42" s="263" t="str">
        <f t="shared" si="2"/>
        <v>On-board</v>
      </c>
      <c r="F42" s="529">
        <v>8727.2727272727279</v>
      </c>
      <c r="G42" s="529">
        <v>6981.818181818182</v>
      </c>
      <c r="H42" s="529"/>
      <c r="I42" s="529"/>
      <c r="J42" s="529"/>
      <c r="K42" s="529"/>
      <c r="L42" s="529"/>
      <c r="M42" s="529"/>
      <c r="N42" s="529"/>
      <c r="O42" s="529"/>
      <c r="P42" s="529"/>
    </row>
    <row r="43" spans="2:16">
      <c r="B43" s="262" t="str">
        <f t="shared" si="2"/>
        <v>DWDM</v>
      </c>
      <c r="C43" s="304" t="str">
        <f t="shared" si="2"/>
        <v>200 Gbps</v>
      </c>
      <c r="D43" s="263" t="str">
        <f t="shared" si="2"/>
        <v>All</v>
      </c>
      <c r="E43" s="263" t="str">
        <f t="shared" si="2"/>
        <v>CFP2-DCO</v>
      </c>
      <c r="F43" s="529">
        <v>6000</v>
      </c>
      <c r="G43" s="529">
        <v>4800</v>
      </c>
      <c r="H43" s="529"/>
      <c r="I43" s="529"/>
      <c r="J43" s="529"/>
      <c r="K43" s="529"/>
      <c r="L43" s="529"/>
      <c r="M43" s="529"/>
      <c r="N43" s="529"/>
      <c r="O43" s="529"/>
      <c r="P43" s="529"/>
    </row>
    <row r="44" spans="2:16">
      <c r="B44" s="262" t="str">
        <f t="shared" si="2"/>
        <v>DWDM</v>
      </c>
      <c r="C44" s="213" t="str">
        <f t="shared" si="2"/>
        <v>200 Gbps</v>
      </c>
      <c r="D44" s="283" t="str">
        <f t="shared" si="2"/>
        <v>All</v>
      </c>
      <c r="E44" s="283" t="str">
        <f t="shared" si="2"/>
        <v>CFP2-ACO</v>
      </c>
      <c r="F44" s="530">
        <v>5600</v>
      </c>
      <c r="G44" s="530">
        <v>4300</v>
      </c>
      <c r="H44" s="530"/>
      <c r="I44" s="530"/>
      <c r="J44" s="530"/>
      <c r="K44" s="530"/>
      <c r="L44" s="530"/>
      <c r="M44" s="530"/>
      <c r="N44" s="530"/>
      <c r="O44" s="530"/>
      <c r="P44" s="530"/>
    </row>
    <row r="45" spans="2:16">
      <c r="B45" s="262" t="str">
        <f t="shared" si="2"/>
        <v>DWDM</v>
      </c>
      <c r="C45" s="304" t="str">
        <f t="shared" si="2"/>
        <v>400 Gbps</v>
      </c>
      <c r="D45" s="263" t="str">
        <f t="shared" si="2"/>
        <v>All</v>
      </c>
      <c r="E45" s="263" t="str">
        <f t="shared" si="2"/>
        <v>On-board</v>
      </c>
      <c r="F45" s="529">
        <v>0</v>
      </c>
      <c r="G45" s="529">
        <v>8727.2727272727279</v>
      </c>
      <c r="H45" s="529"/>
      <c r="I45" s="529"/>
      <c r="J45" s="529"/>
      <c r="K45" s="529"/>
      <c r="L45" s="529"/>
      <c r="M45" s="529"/>
      <c r="N45" s="529"/>
      <c r="O45" s="529"/>
      <c r="P45" s="529"/>
    </row>
    <row r="46" spans="2:16">
      <c r="B46" s="262" t="str">
        <f t="shared" si="2"/>
        <v>DWDM</v>
      </c>
      <c r="C46" s="304" t="str">
        <f t="shared" si="2"/>
        <v>400 Gbps</v>
      </c>
      <c r="D46" s="263" t="str">
        <f t="shared" si="2"/>
        <v>120 km</v>
      </c>
      <c r="E46" s="263" t="str">
        <f t="shared" si="2"/>
        <v>400ZR</v>
      </c>
      <c r="F46" s="529">
        <v>0</v>
      </c>
      <c r="G46" s="529">
        <v>6000</v>
      </c>
      <c r="H46" s="529"/>
      <c r="I46" s="529"/>
      <c r="J46" s="529"/>
      <c r="K46" s="529"/>
      <c r="L46" s="529"/>
      <c r="M46" s="529"/>
      <c r="N46" s="529"/>
      <c r="O46" s="529"/>
      <c r="P46" s="529"/>
    </row>
    <row r="47" spans="2:16">
      <c r="B47" s="262" t="str">
        <f t="shared" si="2"/>
        <v>DWDM</v>
      </c>
      <c r="C47" s="304" t="str">
        <f t="shared" si="2"/>
        <v>400 Gbps</v>
      </c>
      <c r="D47" s="263" t="str">
        <f t="shared" si="2"/>
        <v>&gt;120 km</v>
      </c>
      <c r="E47" s="263" t="str">
        <f t="shared" si="2"/>
        <v>400ZR+   OSPF/QSFP-DD</v>
      </c>
      <c r="F47" s="529">
        <v>0</v>
      </c>
      <c r="G47" s="529">
        <v>8200</v>
      </c>
      <c r="H47" s="529"/>
      <c r="I47" s="529"/>
      <c r="J47" s="529"/>
      <c r="K47" s="529"/>
      <c r="L47" s="529"/>
      <c r="M47" s="529"/>
      <c r="N47" s="529"/>
      <c r="O47" s="529"/>
      <c r="P47" s="529"/>
    </row>
    <row r="48" spans="2:16">
      <c r="B48" s="262" t="str">
        <f t="shared" si="2"/>
        <v>DWDM</v>
      </c>
      <c r="C48" s="213" t="str">
        <f t="shared" si="2"/>
        <v>400 Gbps</v>
      </c>
      <c r="D48" s="283" t="str">
        <f t="shared" si="2"/>
        <v>&gt;120 km</v>
      </c>
      <c r="E48" s="283" t="str">
        <f t="shared" si="2"/>
        <v>400ZR+ CFP2</v>
      </c>
      <c r="F48" s="530">
        <v>0</v>
      </c>
      <c r="G48" s="530">
        <v>0</v>
      </c>
      <c r="H48" s="530"/>
      <c r="I48" s="530"/>
      <c r="J48" s="530"/>
      <c r="K48" s="530"/>
      <c r="L48" s="530"/>
      <c r="M48" s="530"/>
      <c r="N48" s="530"/>
      <c r="O48" s="530"/>
      <c r="P48" s="530"/>
    </row>
    <row r="49" spans="2:16">
      <c r="B49" s="262" t="str">
        <f t="shared" si="2"/>
        <v>DWDM</v>
      </c>
      <c r="C49" s="263" t="str">
        <f t="shared" si="2"/>
        <v>600 Gbps</v>
      </c>
      <c r="D49" s="283" t="str">
        <f t="shared" si="2"/>
        <v>All</v>
      </c>
      <c r="E49" s="283" t="str">
        <f t="shared" si="2"/>
        <v>On-board</v>
      </c>
      <c r="F49" s="518">
        <v>16000</v>
      </c>
      <c r="G49" s="518">
        <v>10000</v>
      </c>
      <c r="H49" s="518"/>
      <c r="I49" s="518"/>
      <c r="J49" s="518"/>
      <c r="K49" s="518"/>
      <c r="L49" s="518"/>
      <c r="M49" s="518"/>
      <c r="N49" s="518"/>
      <c r="O49" s="518"/>
      <c r="P49" s="518"/>
    </row>
    <row r="50" spans="2:16">
      <c r="B50" s="262" t="str">
        <f t="shared" si="2"/>
        <v>DWDM</v>
      </c>
      <c r="C50" s="303" t="str">
        <f t="shared" si="2"/>
        <v>800 Gbps</v>
      </c>
      <c r="D50" s="239" t="str">
        <f t="shared" si="2"/>
        <v>All</v>
      </c>
      <c r="E50" s="239" t="str">
        <f t="shared" si="2"/>
        <v>On-board</v>
      </c>
      <c r="F50" s="514">
        <v>0</v>
      </c>
      <c r="G50" s="514">
        <v>0</v>
      </c>
      <c r="H50" s="514"/>
      <c r="I50" s="514"/>
      <c r="J50" s="514"/>
      <c r="K50" s="514"/>
      <c r="L50" s="514"/>
      <c r="M50" s="514"/>
      <c r="N50" s="514"/>
      <c r="O50" s="514"/>
      <c r="P50" s="514"/>
    </row>
    <row r="51" spans="2:16">
      <c r="B51" s="262" t="str">
        <f t="shared" si="2"/>
        <v>DWDM</v>
      </c>
      <c r="C51" s="213" t="str">
        <f t="shared" si="2"/>
        <v>800 Gbps</v>
      </c>
      <c r="D51" s="283" t="str">
        <f t="shared" si="2"/>
        <v>120 km</v>
      </c>
      <c r="E51" s="283" t="str">
        <f t="shared" si="2"/>
        <v>800ZR/ZR+</v>
      </c>
      <c r="F51" s="518">
        <v>0</v>
      </c>
      <c r="G51" s="518">
        <v>0</v>
      </c>
      <c r="H51" s="518"/>
      <c r="I51" s="518"/>
      <c r="J51" s="518"/>
      <c r="K51" s="518"/>
      <c r="L51" s="518"/>
      <c r="M51" s="518"/>
      <c r="N51" s="518"/>
      <c r="O51" s="518"/>
      <c r="P51" s="518"/>
    </row>
    <row r="52" spans="2:16">
      <c r="B52" s="262" t="str">
        <f t="shared" si="2"/>
        <v>DWDM</v>
      </c>
      <c r="C52" s="173" t="str">
        <f t="shared" si="2"/>
        <v>1.2T</v>
      </c>
      <c r="D52" s="113" t="str">
        <f t="shared" si="2"/>
        <v>All</v>
      </c>
      <c r="E52" s="113" t="str">
        <f t="shared" si="2"/>
        <v>On-board</v>
      </c>
      <c r="F52" s="502">
        <v>0</v>
      </c>
      <c r="G52" s="502">
        <v>0</v>
      </c>
      <c r="H52" s="502"/>
      <c r="I52" s="502"/>
      <c r="J52" s="502"/>
      <c r="K52" s="502"/>
      <c r="L52" s="502"/>
      <c r="M52" s="502"/>
      <c r="N52" s="502"/>
      <c r="O52" s="502"/>
      <c r="P52" s="502"/>
    </row>
    <row r="53" spans="2:16">
      <c r="B53" s="460" t="str">
        <f t="shared" si="2"/>
        <v>DWDM</v>
      </c>
      <c r="C53" s="173" t="str">
        <f t="shared" si="2"/>
        <v>1.6T</v>
      </c>
      <c r="D53" s="113" t="str">
        <f t="shared" si="2"/>
        <v>All</v>
      </c>
      <c r="E53" s="113" t="str">
        <f t="shared" si="2"/>
        <v>On-board</v>
      </c>
      <c r="F53" s="502">
        <v>0</v>
      </c>
      <c r="G53" s="502">
        <v>0</v>
      </c>
      <c r="H53" s="502"/>
      <c r="I53" s="502"/>
      <c r="J53" s="502"/>
      <c r="K53" s="502"/>
      <c r="L53" s="502"/>
      <c r="M53" s="502"/>
      <c r="N53" s="502"/>
      <c r="O53" s="502"/>
      <c r="P53" s="502"/>
    </row>
    <row r="55" spans="2:16">
      <c r="B55" s="185" t="s">
        <v>1</v>
      </c>
      <c r="C55" s="3"/>
      <c r="D55" s="3"/>
      <c r="E55" s="3"/>
    </row>
    <row r="56" spans="2:16">
      <c r="B56" s="4" t="s">
        <v>22</v>
      </c>
      <c r="C56" s="4" t="s">
        <v>11</v>
      </c>
      <c r="D56" s="4" t="s">
        <v>12</v>
      </c>
      <c r="E56" s="4" t="s">
        <v>14</v>
      </c>
      <c r="F56" s="5">
        <v>2018</v>
      </c>
      <c r="G56" s="5">
        <v>2019</v>
      </c>
      <c r="H56" s="5">
        <v>2020</v>
      </c>
      <c r="I56" s="5">
        <v>2021</v>
      </c>
      <c r="J56" s="5">
        <v>2022</v>
      </c>
      <c r="K56" s="5">
        <v>2023</v>
      </c>
      <c r="L56" s="5">
        <f t="shared" ref="L56:P56" si="3">L7</f>
        <v>2024</v>
      </c>
      <c r="M56" s="5">
        <f t="shared" si="3"/>
        <v>2025</v>
      </c>
      <c r="N56" s="5">
        <f t="shared" si="3"/>
        <v>2026</v>
      </c>
      <c r="O56" s="5">
        <f t="shared" si="3"/>
        <v>2027</v>
      </c>
      <c r="P56" s="5">
        <f t="shared" si="3"/>
        <v>2028</v>
      </c>
    </row>
    <row r="57" spans="2:16">
      <c r="B57" s="261" t="str">
        <f t="shared" ref="B57:E72" si="4">B8</f>
        <v>CWDM</v>
      </c>
      <c r="C57" s="239" t="str">
        <f t="shared" si="4"/>
        <v>up to 10 Gbps</v>
      </c>
      <c r="D57" s="239" t="str">
        <f t="shared" si="4"/>
        <v>40 km</v>
      </c>
      <c r="E57" s="239" t="str">
        <f t="shared" si="4"/>
        <v>All</v>
      </c>
      <c r="F57" s="21">
        <f t="shared" ref="F57:G57" si="5">IF(F8=0,,F33*F8/10^6)</f>
        <v>63.511533999999997</v>
      </c>
      <c r="G57" s="21">
        <f t="shared" si="5"/>
        <v>74.507442432857147</v>
      </c>
      <c r="H57" s="21"/>
      <c r="I57" s="21"/>
      <c r="J57" s="21"/>
      <c r="K57" s="21"/>
      <c r="L57" s="21"/>
      <c r="M57" s="21"/>
      <c r="N57" s="21"/>
      <c r="O57" s="21"/>
      <c r="P57" s="21"/>
    </row>
    <row r="58" spans="2:16">
      <c r="B58" s="261" t="str">
        <f t="shared" si="4"/>
        <v>DWDM</v>
      </c>
      <c r="C58" s="41" t="str">
        <f t="shared" si="4"/>
        <v>2.5 Gbps</v>
      </c>
      <c r="D58" s="239" t="str">
        <f t="shared" si="4"/>
        <v>All</v>
      </c>
      <c r="E58" s="41" t="str">
        <f t="shared" si="4"/>
        <v>All</v>
      </c>
      <c r="F58" s="21">
        <f t="shared" ref="F58:G58" si="6">IF(F9=0,,F34*F9/10^6)</f>
        <v>8.6567039999999995</v>
      </c>
      <c r="G58" s="21">
        <f t="shared" si="6"/>
        <v>5.8985589999999997</v>
      </c>
      <c r="H58" s="21"/>
      <c r="I58" s="21"/>
      <c r="J58" s="21"/>
      <c r="K58" s="21"/>
      <c r="L58" s="21"/>
      <c r="M58" s="21"/>
      <c r="N58" s="21"/>
      <c r="O58" s="21"/>
      <c r="P58" s="21"/>
    </row>
    <row r="59" spans="2:16" ht="12.75" customHeight="1">
      <c r="B59" s="262" t="str">
        <f t="shared" si="4"/>
        <v>DWDM</v>
      </c>
      <c r="C59" s="305" t="str">
        <f t="shared" si="4"/>
        <v>10 Gbps</v>
      </c>
      <c r="D59" s="239" t="str">
        <f t="shared" si="4"/>
        <v>All</v>
      </c>
      <c r="E59" s="150" t="str">
        <f t="shared" si="4"/>
        <v>All</v>
      </c>
      <c r="F59" s="21">
        <f t="shared" ref="F59:G59" si="7">IF(F10=0,,F35*F10/10^6)</f>
        <v>201.27632</v>
      </c>
      <c r="G59" s="21">
        <f t="shared" si="7"/>
        <v>207.36266089103322</v>
      </c>
      <c r="H59" s="21"/>
      <c r="I59" s="21"/>
      <c r="J59" s="21"/>
      <c r="K59" s="21"/>
      <c r="L59" s="21"/>
      <c r="M59" s="21"/>
      <c r="N59" s="21"/>
      <c r="O59" s="21"/>
      <c r="P59" s="21"/>
    </row>
    <row r="60" spans="2:16">
      <c r="B60" s="262" t="str">
        <f t="shared" si="4"/>
        <v>DWDM</v>
      </c>
      <c r="C60" s="41" t="str">
        <f t="shared" si="4"/>
        <v>40 Gbps</v>
      </c>
      <c r="D60" s="239" t="str">
        <f t="shared" si="4"/>
        <v>All</v>
      </c>
      <c r="E60" s="239" t="str">
        <f t="shared" si="4"/>
        <v>All</v>
      </c>
      <c r="F60" s="21"/>
      <c r="G60" s="21">
        <f t="shared" ref="G60" si="8">IF(G11=0,,G36*G11/10^6)</f>
        <v>0</v>
      </c>
      <c r="H60" s="21"/>
      <c r="I60" s="21"/>
      <c r="J60" s="21"/>
      <c r="K60" s="21"/>
      <c r="L60" s="21"/>
      <c r="M60" s="21"/>
      <c r="N60" s="21"/>
      <c r="O60" s="21"/>
      <c r="P60" s="21"/>
    </row>
    <row r="61" spans="2:16">
      <c r="B61" s="262" t="str">
        <f t="shared" si="4"/>
        <v>DWDM</v>
      </c>
      <c r="C61" s="303" t="str">
        <f t="shared" si="4"/>
        <v>100Gbps</v>
      </c>
      <c r="D61" s="239" t="str">
        <f t="shared" si="4"/>
        <v>All</v>
      </c>
      <c r="E61" s="239" t="str">
        <f t="shared" si="4"/>
        <v>On board</v>
      </c>
      <c r="F61" s="161">
        <f>IF(F12=0,,F37*F12/10^6)</f>
        <v>2174.7359999999999</v>
      </c>
      <c r="G61" s="161">
        <f t="shared" ref="G61" si="9">IF(G12=0,,G37*G12/10^6)</f>
        <v>1413.2492800000002</v>
      </c>
      <c r="H61" s="161"/>
      <c r="I61" s="161"/>
      <c r="J61" s="161"/>
      <c r="K61" s="161"/>
      <c r="L61" s="161"/>
      <c r="M61" s="161"/>
      <c r="N61" s="161"/>
      <c r="O61" s="161"/>
      <c r="P61" s="161"/>
    </row>
    <row r="62" spans="2:16">
      <c r="B62" s="262" t="str">
        <f t="shared" si="4"/>
        <v>DWDM</v>
      </c>
      <c r="C62" s="304" t="str">
        <f t="shared" si="4"/>
        <v>100Gbps</v>
      </c>
      <c r="D62" s="263" t="str">
        <f t="shared" si="4"/>
        <v>All</v>
      </c>
      <c r="E62" s="263" t="str">
        <f t="shared" si="4"/>
        <v>Direct detect</v>
      </c>
      <c r="F62" s="24">
        <f>IF(F13=0,,F38*F13/10^6)</f>
        <v>71.334000000000003</v>
      </c>
      <c r="G62" s="24">
        <f t="shared" ref="G62" si="10">IF(G13=0,,G38*G13/10^6)</f>
        <v>93.416666666666671</v>
      </c>
      <c r="H62" s="24"/>
      <c r="I62" s="24"/>
      <c r="J62" s="24"/>
      <c r="K62" s="24"/>
      <c r="L62" s="24"/>
      <c r="M62" s="24"/>
      <c r="N62" s="24"/>
      <c r="O62" s="24"/>
      <c r="P62" s="24"/>
    </row>
    <row r="63" spans="2:16">
      <c r="B63" s="262" t="str">
        <f t="shared" si="4"/>
        <v>DWDM</v>
      </c>
      <c r="C63" s="304" t="str">
        <f t="shared" si="4"/>
        <v>100Gbps</v>
      </c>
      <c r="D63" s="263" t="str">
        <f t="shared" si="4"/>
        <v>All</v>
      </c>
      <c r="E63" s="263" t="str">
        <f t="shared" si="4"/>
        <v>CFP-DCO</v>
      </c>
      <c r="F63" s="24">
        <f>IF(F14=0,,F39*F14/10^6)</f>
        <v>219.7525</v>
      </c>
      <c r="G63" s="24">
        <f t="shared" ref="G63" si="11">IF(G14=0,,G39*G14/10^6)</f>
        <v>339.48464000000001</v>
      </c>
      <c r="H63" s="24"/>
      <c r="I63" s="24"/>
      <c r="J63" s="24"/>
      <c r="K63" s="24"/>
      <c r="L63" s="24"/>
      <c r="M63" s="24"/>
      <c r="N63" s="24"/>
      <c r="O63" s="24"/>
      <c r="P63" s="24"/>
    </row>
    <row r="64" spans="2:16">
      <c r="B64" s="262" t="str">
        <f t="shared" si="4"/>
        <v>DWDM</v>
      </c>
      <c r="C64" s="304" t="str">
        <f t="shared" si="4"/>
        <v>100Gbps</v>
      </c>
      <c r="D64" s="263" t="str">
        <f t="shared" si="4"/>
        <v>80 km</v>
      </c>
      <c r="E64" s="263" t="str">
        <f t="shared" si="4"/>
        <v>100GbE ZR</v>
      </c>
      <c r="F64" s="24"/>
      <c r="G64" s="24">
        <f t="shared" ref="G64" si="12">IF(G15=0,,G40*G15/10^6)</f>
        <v>0</v>
      </c>
      <c r="H64" s="24"/>
      <c r="I64" s="24"/>
      <c r="J64" s="24"/>
      <c r="K64" s="24"/>
      <c r="L64" s="24"/>
      <c r="M64" s="24"/>
      <c r="N64" s="24"/>
      <c r="O64" s="24"/>
      <c r="P64" s="24"/>
    </row>
    <row r="65" spans="2:16">
      <c r="B65" s="262" t="str">
        <f t="shared" si="4"/>
        <v>DWDM</v>
      </c>
      <c r="C65" s="213" t="str">
        <f t="shared" si="4"/>
        <v>100Gbps</v>
      </c>
      <c r="D65" s="283" t="str">
        <f t="shared" si="4"/>
        <v>All</v>
      </c>
      <c r="E65" s="283" t="str">
        <f t="shared" si="4"/>
        <v>CFP2-ACO</v>
      </c>
      <c r="F65" s="27">
        <f>IF(F16=0,,F41*F16/10^6)</f>
        <v>94.10951</v>
      </c>
      <c r="G65" s="27">
        <f t="shared" ref="G65" si="13">IF(G16=0,,G41*G16/10^6)</f>
        <v>35.194380000000002</v>
      </c>
      <c r="H65" s="27"/>
      <c r="I65" s="27"/>
      <c r="J65" s="27"/>
      <c r="K65" s="27"/>
      <c r="L65" s="27"/>
      <c r="M65" s="27"/>
      <c r="N65" s="27"/>
      <c r="O65" s="27"/>
      <c r="P65" s="27"/>
    </row>
    <row r="66" spans="2:16">
      <c r="B66" s="262" t="str">
        <f t="shared" si="4"/>
        <v>DWDM</v>
      </c>
      <c r="C66" s="304" t="str">
        <f t="shared" si="4"/>
        <v>200 Gbps</v>
      </c>
      <c r="D66" s="263" t="str">
        <f t="shared" si="4"/>
        <v>All</v>
      </c>
      <c r="E66" s="263" t="str">
        <f t="shared" si="4"/>
        <v>On-board</v>
      </c>
      <c r="F66" s="24">
        <f>IF(F17=0,,F42*F17/10^6)</f>
        <v>637.54472727272741</v>
      </c>
      <c r="G66" s="24">
        <f t="shared" ref="G66" si="14">IF(G17=0,,G42*G17/10^6)</f>
        <v>664.4610327272726</v>
      </c>
      <c r="H66" s="24"/>
      <c r="I66" s="24"/>
      <c r="J66" s="24"/>
      <c r="K66" s="24"/>
      <c r="L66" s="24"/>
      <c r="M66" s="24"/>
      <c r="N66" s="24"/>
      <c r="O66" s="24"/>
      <c r="P66" s="24"/>
    </row>
    <row r="67" spans="2:16">
      <c r="B67" s="262" t="str">
        <f t="shared" si="4"/>
        <v>DWDM</v>
      </c>
      <c r="C67" s="304" t="str">
        <f t="shared" si="4"/>
        <v>200 Gbps</v>
      </c>
      <c r="D67" s="263" t="str">
        <f t="shared" si="4"/>
        <v>All</v>
      </c>
      <c r="E67" s="263" t="str">
        <f t="shared" si="4"/>
        <v>CFP2-DCO</v>
      </c>
      <c r="F67" s="24">
        <f>IF(F18=0,,F43*F18/10^6)</f>
        <v>184.47000000000003</v>
      </c>
      <c r="G67" s="24">
        <f t="shared" ref="G67" si="15">IF(G18=0,,G43*G18/10^6)</f>
        <v>411.51840000000004</v>
      </c>
      <c r="H67" s="24"/>
      <c r="I67" s="24"/>
      <c r="J67" s="24"/>
      <c r="K67" s="24"/>
      <c r="L67" s="24"/>
      <c r="M67" s="24"/>
      <c r="N67" s="24"/>
      <c r="O67" s="24"/>
      <c r="P67" s="24"/>
    </row>
    <row r="68" spans="2:16" ht="13.05" customHeight="1">
      <c r="B68" s="262" t="str">
        <f t="shared" si="4"/>
        <v>DWDM</v>
      </c>
      <c r="C68" s="213" t="str">
        <f t="shared" si="4"/>
        <v>200 Gbps</v>
      </c>
      <c r="D68" s="283" t="str">
        <f t="shared" si="4"/>
        <v>All</v>
      </c>
      <c r="E68" s="283" t="str">
        <f t="shared" si="4"/>
        <v>CFP2-ACO</v>
      </c>
      <c r="F68" s="27">
        <f>IF(F19=0,,F44*F19/10^6)</f>
        <v>101.93680000000001</v>
      </c>
      <c r="G68" s="27">
        <f t="shared" ref="G68" si="16">IF(G19=0,,G44*G19/10^6)</f>
        <v>155.21624</v>
      </c>
      <c r="H68" s="27"/>
      <c r="I68" s="27"/>
      <c r="J68" s="27"/>
      <c r="K68" s="27"/>
      <c r="L68" s="27"/>
      <c r="M68" s="27"/>
      <c r="N68" s="27"/>
      <c r="O68" s="27"/>
      <c r="P68" s="27"/>
    </row>
    <row r="69" spans="2:16" ht="13.05" customHeight="1">
      <c r="B69" s="262" t="str">
        <f t="shared" si="4"/>
        <v>DWDM</v>
      </c>
      <c r="C69" s="304" t="str">
        <f t="shared" si="4"/>
        <v>400 Gbps</v>
      </c>
      <c r="D69" s="263" t="str">
        <f t="shared" si="4"/>
        <v>All</v>
      </c>
      <c r="E69" s="263" t="str">
        <f t="shared" si="4"/>
        <v>On-board</v>
      </c>
      <c r="F69" s="24"/>
      <c r="G69" s="24">
        <f t="shared" ref="G69" si="17">IF(G20=0,,G45*G20/10^6)</f>
        <v>337.74545454545455</v>
      </c>
      <c r="H69" s="24"/>
      <c r="I69" s="24"/>
      <c r="J69" s="24"/>
      <c r="K69" s="24"/>
      <c r="L69" s="24"/>
      <c r="M69" s="24"/>
      <c r="N69" s="24"/>
      <c r="O69" s="24"/>
      <c r="P69" s="24"/>
    </row>
    <row r="70" spans="2:16">
      <c r="B70" s="262" t="str">
        <f t="shared" si="4"/>
        <v>DWDM</v>
      </c>
      <c r="C70" s="304" t="str">
        <f t="shared" si="4"/>
        <v>400 Gbps</v>
      </c>
      <c r="D70" s="263" t="str">
        <f t="shared" si="4"/>
        <v>120 km</v>
      </c>
      <c r="E70" s="263" t="str">
        <f t="shared" si="4"/>
        <v>400ZR</v>
      </c>
      <c r="F70" s="24"/>
      <c r="G70" s="24">
        <f t="shared" ref="G70" si="18">IF(G21=0,,G46*G21/10^6)</f>
        <v>1.2</v>
      </c>
      <c r="H70" s="24"/>
      <c r="I70" s="24"/>
      <c r="J70" s="24"/>
      <c r="K70" s="24"/>
      <c r="L70" s="24"/>
      <c r="M70" s="24"/>
      <c r="N70" s="24"/>
      <c r="O70" s="24"/>
      <c r="P70" s="24"/>
    </row>
    <row r="71" spans="2:16">
      <c r="B71" s="262" t="str">
        <f t="shared" si="4"/>
        <v>DWDM</v>
      </c>
      <c r="C71" s="304" t="str">
        <f t="shared" si="4"/>
        <v>400 Gbps</v>
      </c>
      <c r="D71" s="263" t="str">
        <f t="shared" si="4"/>
        <v>&gt;120 km</v>
      </c>
      <c r="E71" s="263" t="str">
        <f t="shared" si="4"/>
        <v>400ZR+   OSPF/QSFP-DD</v>
      </c>
      <c r="F71" s="24"/>
      <c r="G71" s="24">
        <f t="shared" ref="G71" si="19">IF(G22=0,,G47*G22/10^6)</f>
        <v>0.82</v>
      </c>
      <c r="H71" s="24"/>
      <c r="I71" s="24"/>
      <c r="J71" s="24"/>
      <c r="K71" s="24"/>
      <c r="L71" s="24"/>
      <c r="M71" s="24"/>
      <c r="N71" s="24"/>
      <c r="O71" s="24"/>
      <c r="P71" s="24"/>
    </row>
    <row r="72" spans="2:16">
      <c r="B72" s="262" t="str">
        <f t="shared" si="4"/>
        <v>DWDM</v>
      </c>
      <c r="C72" s="213" t="str">
        <f t="shared" si="4"/>
        <v>400 Gbps</v>
      </c>
      <c r="D72" s="283" t="str">
        <f t="shared" si="4"/>
        <v>&gt;120 km</v>
      </c>
      <c r="E72" s="283" t="str">
        <f t="shared" si="4"/>
        <v>400ZR+ CFP2</v>
      </c>
      <c r="F72" s="27"/>
      <c r="G72" s="27">
        <f t="shared" ref="G72" si="20">IF(G23=0,,G48*G23/10^6)</f>
        <v>0</v>
      </c>
      <c r="H72" s="27"/>
      <c r="I72" s="27"/>
      <c r="J72" s="27"/>
      <c r="K72" s="27"/>
      <c r="L72" s="27"/>
      <c r="M72" s="27"/>
      <c r="N72" s="27"/>
      <c r="O72" s="27"/>
      <c r="P72" s="27"/>
    </row>
    <row r="73" spans="2:16">
      <c r="B73" s="262" t="str">
        <f>B26</f>
        <v>DWDM</v>
      </c>
      <c r="C73" s="303" t="str">
        <f t="shared" ref="C73:E77" si="21">C24</f>
        <v>600 Gbps</v>
      </c>
      <c r="D73" s="239" t="str">
        <f t="shared" si="21"/>
        <v>All</v>
      </c>
      <c r="E73" s="239" t="str">
        <f t="shared" si="21"/>
        <v>On-board</v>
      </c>
      <c r="F73" s="273"/>
      <c r="G73" s="273">
        <f t="shared" ref="G73" si="22">IF(G24=0,,G49*G24/10^6)</f>
        <v>0.82</v>
      </c>
      <c r="H73" s="273"/>
      <c r="I73" s="273"/>
      <c r="J73" s="273"/>
      <c r="K73" s="273"/>
      <c r="L73" s="273"/>
      <c r="M73" s="273"/>
      <c r="N73" s="273"/>
      <c r="O73" s="273"/>
      <c r="P73" s="273"/>
    </row>
    <row r="74" spans="2:16" ht="12.75" customHeight="1">
      <c r="B74" s="262" t="str">
        <f>B24</f>
        <v>DWDM</v>
      </c>
      <c r="C74" s="239" t="str">
        <f t="shared" si="21"/>
        <v>800 Gbps</v>
      </c>
      <c r="D74" s="239" t="str">
        <f t="shared" si="21"/>
        <v>All</v>
      </c>
      <c r="E74" s="239" t="str">
        <f t="shared" si="21"/>
        <v>On-board</v>
      </c>
      <c r="F74" s="255"/>
      <c r="G74" s="255">
        <f t="shared" ref="G74" si="23">IF(G25=0,,G50*G25/10^6)</f>
        <v>0</v>
      </c>
      <c r="H74" s="255"/>
      <c r="I74" s="255"/>
      <c r="J74" s="255"/>
      <c r="K74" s="255"/>
      <c r="L74" s="255"/>
      <c r="M74" s="255"/>
      <c r="N74" s="255"/>
      <c r="O74" s="255"/>
      <c r="P74" s="255"/>
    </row>
    <row r="75" spans="2:16" ht="12.75" customHeight="1">
      <c r="B75" s="262" t="str">
        <f>B25</f>
        <v>DWDM</v>
      </c>
      <c r="C75" s="283" t="str">
        <f t="shared" si="21"/>
        <v>800 Gbps</v>
      </c>
      <c r="D75" s="283" t="str">
        <f t="shared" si="21"/>
        <v>120 km</v>
      </c>
      <c r="E75" s="283" t="str">
        <f t="shared" si="21"/>
        <v>800ZR/ZR+</v>
      </c>
      <c r="F75" s="146"/>
      <c r="G75" s="146">
        <f t="shared" ref="G75" si="24">IF(G26=0,,G51*G26/10^6)</f>
        <v>0</v>
      </c>
      <c r="H75" s="146"/>
      <c r="I75" s="146"/>
      <c r="J75" s="146"/>
      <c r="K75" s="146"/>
      <c r="L75" s="146"/>
      <c r="M75" s="146"/>
      <c r="N75" s="146"/>
      <c r="O75" s="146"/>
      <c r="P75" s="146"/>
    </row>
    <row r="76" spans="2:16" ht="12.75" customHeight="1">
      <c r="B76" s="262" t="str">
        <f>B26</f>
        <v>DWDM</v>
      </c>
      <c r="C76" s="304" t="str">
        <f t="shared" si="21"/>
        <v>1.2T</v>
      </c>
      <c r="D76" s="263" t="str">
        <f t="shared" si="21"/>
        <v>All</v>
      </c>
      <c r="E76" s="283" t="str">
        <f t="shared" si="21"/>
        <v>On-board</v>
      </c>
      <c r="F76" s="492"/>
      <c r="G76" s="492">
        <f t="shared" ref="G76" si="25">IF(G27=0,,G52*G27/10^6)</f>
        <v>0</v>
      </c>
      <c r="H76" s="492"/>
      <c r="I76" s="492"/>
      <c r="J76" s="492"/>
      <c r="K76" s="492"/>
      <c r="L76" s="492"/>
      <c r="M76" s="492"/>
      <c r="N76" s="492"/>
      <c r="O76" s="492"/>
      <c r="P76" s="492"/>
    </row>
    <row r="77" spans="2:16" ht="12.75" customHeight="1">
      <c r="B77" s="262" t="str">
        <f>B28</f>
        <v>DWDM</v>
      </c>
      <c r="C77" s="173" t="str">
        <f t="shared" si="21"/>
        <v>1.6T</v>
      </c>
      <c r="D77" s="113" t="str">
        <f t="shared" si="21"/>
        <v>All</v>
      </c>
      <c r="E77" s="113" t="str">
        <f t="shared" si="21"/>
        <v>On-board</v>
      </c>
      <c r="F77" s="255"/>
      <c r="G77" s="255">
        <f t="shared" ref="G77" si="26">IF(G28=0,,G53*G28/10^6)</f>
        <v>0</v>
      </c>
      <c r="H77" s="255"/>
      <c r="I77" s="255"/>
      <c r="J77" s="255"/>
      <c r="K77" s="255"/>
      <c r="L77" s="255"/>
      <c r="M77" s="255"/>
      <c r="N77" s="255"/>
      <c r="O77" s="255"/>
      <c r="P77" s="255"/>
    </row>
    <row r="78" spans="2:16">
      <c r="B78" s="187" t="s">
        <v>32</v>
      </c>
      <c r="C78" s="41" t="s">
        <v>23</v>
      </c>
      <c r="D78" s="113" t="s">
        <v>23</v>
      </c>
      <c r="E78" s="41" t="s">
        <v>23</v>
      </c>
      <c r="F78" s="192">
        <f t="shared" ref="F78:G78" si="27">SUM(F57:F77)</f>
        <v>3757.3280952727268</v>
      </c>
      <c r="G78" s="192">
        <f t="shared" si="27"/>
        <v>3740.8947562632848</v>
      </c>
      <c r="H78" s="192"/>
      <c r="I78" s="192"/>
      <c r="J78" s="192"/>
      <c r="K78" s="192"/>
      <c r="L78" s="192"/>
      <c r="M78" s="192"/>
      <c r="N78" s="192"/>
      <c r="O78" s="192"/>
      <c r="P78" s="192"/>
    </row>
    <row r="79" spans="2:16">
      <c r="F79" s="51">
        <v>-0.23556064849351765</v>
      </c>
      <c r="G79" s="51">
        <f>IF(F78=0,"",G78/F78-1)</f>
        <v>-4.3736768769587764E-3</v>
      </c>
      <c r="H79" s="51"/>
      <c r="I79" s="51"/>
      <c r="J79" s="51"/>
      <c r="K79" s="51"/>
      <c r="L79" s="51"/>
      <c r="M79" s="51"/>
      <c r="N79" s="51"/>
      <c r="O79" s="51"/>
      <c r="P79" s="51"/>
    </row>
    <row r="80" spans="2:16" ht="15.6">
      <c r="D80" s="405" t="s">
        <v>364</v>
      </c>
      <c r="E80" s="399"/>
      <c r="F80" s="401">
        <f t="shared" ref="F80:G80" si="28">SUMPRODUCT($A$8:$A$28,F8:F28)</f>
        <v>71723377</v>
      </c>
      <c r="G80" s="401">
        <f t="shared" si="28"/>
        <v>99304378.5</v>
      </c>
      <c r="H80" s="401"/>
      <c r="I80" s="401"/>
      <c r="J80" s="401"/>
      <c r="K80" s="401"/>
      <c r="L80" s="401"/>
      <c r="M80" s="401"/>
      <c r="N80" s="401"/>
      <c r="O80" s="401"/>
      <c r="P80" s="401"/>
    </row>
    <row r="81" spans="4:16">
      <c r="D81" s="399"/>
      <c r="E81" s="399"/>
      <c r="F81" s="404">
        <f>F78*10^6/F80</f>
        <v>52.386380179404085</v>
      </c>
      <c r="G81" s="404">
        <f t="shared" ref="G81" si="29">G78*10^6/G80</f>
        <v>37.670995103839097</v>
      </c>
      <c r="H81" s="404"/>
      <c r="I81" s="404"/>
      <c r="J81" s="404"/>
      <c r="K81" s="404"/>
      <c r="L81" s="404"/>
      <c r="M81" s="404"/>
      <c r="N81" s="404"/>
      <c r="O81" s="404"/>
      <c r="P81" s="404"/>
    </row>
    <row r="84" spans="4:16">
      <c r="F84" s="250">
        <f>SUM(F59:F59)*10^6/SUM(F10:F10)</f>
        <v>479.07420454329076</v>
      </c>
      <c r="G84" s="250">
        <f>SUM(G59:G59)*10^6/SUM(G10:G10)</f>
        <v>391.63085052651763</v>
      </c>
    </row>
    <row r="85" spans="4:16" ht="15.6">
      <c r="D85" s="480" t="s">
        <v>450</v>
      </c>
      <c r="E85" s="480"/>
    </row>
    <row r="86" spans="4:16">
      <c r="D86" s="477" t="s">
        <v>452</v>
      </c>
      <c r="E86" s="477"/>
      <c r="F86" s="478">
        <v>73.386002500000004</v>
      </c>
      <c r="G86" s="478">
        <f t="shared" ref="G86:P86" si="30">SUMPRODUCT($A$8:$A$28,G$8:G$28)/10^6</f>
        <v>99.304378499999999</v>
      </c>
      <c r="H86" s="478">
        <f t="shared" si="30"/>
        <v>0</v>
      </c>
      <c r="I86" s="478">
        <f t="shared" si="30"/>
        <v>0</v>
      </c>
      <c r="J86" s="478">
        <f t="shared" si="30"/>
        <v>0</v>
      </c>
      <c r="K86" s="478">
        <f t="shared" si="30"/>
        <v>0</v>
      </c>
      <c r="L86" s="478">
        <f t="shared" si="30"/>
        <v>0</v>
      </c>
      <c r="M86" s="478">
        <f t="shared" si="30"/>
        <v>0</v>
      </c>
      <c r="N86" s="478">
        <f t="shared" si="30"/>
        <v>0</v>
      </c>
      <c r="O86" s="478">
        <f t="shared" si="30"/>
        <v>0</v>
      </c>
      <c r="P86" s="478">
        <f t="shared" si="30"/>
        <v>0</v>
      </c>
    </row>
    <row r="87" spans="4:16">
      <c r="D87" s="482" t="s">
        <v>451</v>
      </c>
      <c r="E87" s="482"/>
      <c r="F87" s="481">
        <v>600</v>
      </c>
      <c r="G87" s="481">
        <f>F87+25</f>
        <v>625</v>
      </c>
      <c r="H87" s="481">
        <f>G87+25</f>
        <v>650</v>
      </c>
      <c r="I87" s="481">
        <f t="shared" ref="I87:P87" si="31">H87+50</f>
        <v>700</v>
      </c>
      <c r="J87" s="481">
        <f>I87+50</f>
        <v>750</v>
      </c>
      <c r="K87" s="481">
        <f t="shared" si="31"/>
        <v>800</v>
      </c>
      <c r="L87" s="481">
        <f t="shared" si="31"/>
        <v>850</v>
      </c>
      <c r="M87" s="481">
        <f t="shared" si="31"/>
        <v>900</v>
      </c>
      <c r="N87" s="481">
        <f t="shared" si="31"/>
        <v>950</v>
      </c>
      <c r="O87" s="481">
        <f>N87+50</f>
        <v>1000</v>
      </c>
      <c r="P87" s="481">
        <f t="shared" si="31"/>
        <v>1050</v>
      </c>
    </row>
    <row r="88" spans="4:16">
      <c r="D88" s="477" t="s">
        <v>453</v>
      </c>
      <c r="E88" s="477"/>
      <c r="F88" s="478">
        <v>1.8</v>
      </c>
      <c r="G88" s="478">
        <f t="shared" ref="G88:P88" si="32">G87*G24/10^6</f>
        <v>5.1249999999999997E-2</v>
      </c>
      <c r="H88" s="478">
        <f t="shared" si="32"/>
        <v>0</v>
      </c>
      <c r="I88" s="478">
        <f t="shared" si="32"/>
        <v>0</v>
      </c>
      <c r="J88" s="478">
        <f t="shared" si="32"/>
        <v>0</v>
      </c>
      <c r="K88" s="478">
        <f t="shared" si="32"/>
        <v>0</v>
      </c>
      <c r="L88" s="478">
        <f t="shared" si="32"/>
        <v>0</v>
      </c>
      <c r="M88" s="478">
        <f t="shared" si="32"/>
        <v>0</v>
      </c>
      <c r="N88" s="478">
        <f t="shared" si="32"/>
        <v>0</v>
      </c>
      <c r="O88" s="478">
        <f t="shared" si="32"/>
        <v>0</v>
      </c>
      <c r="P88" s="478">
        <f t="shared" si="32"/>
        <v>0</v>
      </c>
    </row>
    <row r="89" spans="4:16">
      <c r="D89" s="477" t="s">
        <v>454</v>
      </c>
      <c r="E89" s="477">
        <v>86</v>
      </c>
      <c r="F89" s="478">
        <v>265.71387682846699</v>
      </c>
      <c r="G89" s="478">
        <f t="shared" ref="G89:P89" si="33">G86+G88+F89</f>
        <v>365.06950532846702</v>
      </c>
      <c r="H89" s="478">
        <f t="shared" si="33"/>
        <v>365.06950532846702</v>
      </c>
      <c r="I89" s="478">
        <f t="shared" si="33"/>
        <v>365.06950532846702</v>
      </c>
      <c r="J89" s="478">
        <f t="shared" si="33"/>
        <v>365.06950532846702</v>
      </c>
      <c r="K89" s="478">
        <f t="shared" si="33"/>
        <v>365.06950532846702</v>
      </c>
      <c r="L89" s="478">
        <f t="shared" si="33"/>
        <v>365.06950532846702</v>
      </c>
      <c r="M89" s="478">
        <f t="shared" si="33"/>
        <v>365.06950532846702</v>
      </c>
      <c r="N89" s="478">
        <f t="shared" si="33"/>
        <v>365.06950532846702</v>
      </c>
      <c r="O89" s="478">
        <f t="shared" si="33"/>
        <v>365.06950532846702</v>
      </c>
      <c r="P89" s="478">
        <f t="shared" si="33"/>
        <v>365.06950532846702</v>
      </c>
    </row>
    <row r="90" spans="4:16">
      <c r="D90" s="477"/>
      <c r="E90" s="477"/>
      <c r="F90" s="479">
        <v>0.39461943699839175</v>
      </c>
      <c r="G90" s="479">
        <f t="shared" ref="G90:P90" si="34">G89/F89-1</f>
        <v>0.37391960738331931</v>
      </c>
      <c r="H90" s="479">
        <f t="shared" si="34"/>
        <v>0</v>
      </c>
      <c r="I90" s="479">
        <f t="shared" si="34"/>
        <v>0</v>
      </c>
      <c r="J90" s="479">
        <f t="shared" si="34"/>
        <v>0</v>
      </c>
      <c r="K90" s="479">
        <f t="shared" si="34"/>
        <v>0</v>
      </c>
      <c r="L90" s="479">
        <f t="shared" si="34"/>
        <v>0</v>
      </c>
      <c r="M90" s="479">
        <f t="shared" si="34"/>
        <v>0</v>
      </c>
      <c r="N90" s="479">
        <f t="shared" si="34"/>
        <v>0</v>
      </c>
      <c r="O90" s="479">
        <f t="shared" si="34"/>
        <v>0</v>
      </c>
      <c r="P90" s="479">
        <f t="shared" si="34"/>
        <v>0</v>
      </c>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N35"/>
  <sheetViews>
    <sheetView showGridLines="0" zoomScale="70" zoomScaleNormal="70" zoomScalePageLayoutView="70" workbookViewId="0"/>
  </sheetViews>
  <sheetFormatPr defaultColWidth="8.44140625" defaultRowHeight="13.2"/>
  <cols>
    <col min="1" max="1" width="4.44140625" customWidth="1"/>
    <col min="2" max="2" width="16.77734375" customWidth="1"/>
    <col min="3" max="3" width="15.44140625" customWidth="1"/>
    <col min="4" max="14" width="13.21875" customWidth="1"/>
  </cols>
  <sheetData>
    <row r="2" spans="2:14" ht="17.399999999999999">
      <c r="B2" s="70" t="str">
        <f>Introduction!B2</f>
        <v xml:space="preserve">LightCounting Optical Components Market Forecast </v>
      </c>
    </row>
    <row r="3" spans="2:14" ht="15">
      <c r="B3" s="588" t="str">
        <f>Introduction!B3</f>
        <v>Published 31 October 2023 - Sample - for illustrative purposes only</v>
      </c>
    </row>
    <row r="4" spans="2:14" ht="15.6">
      <c r="B4" s="180" t="s">
        <v>148</v>
      </c>
    </row>
    <row r="5" spans="2:14" ht="15.6">
      <c r="B5" s="77"/>
    </row>
    <row r="6" spans="2:14" ht="15">
      <c r="B6" s="260" t="s">
        <v>0</v>
      </c>
      <c r="E6" s="417"/>
      <c r="I6" s="500"/>
    </row>
    <row r="7" spans="2:14">
      <c r="B7" s="184" t="s">
        <v>80</v>
      </c>
      <c r="C7" s="418" t="s">
        <v>81</v>
      </c>
      <c r="D7" s="1">
        <v>2018</v>
      </c>
      <c r="E7" s="1">
        <v>2019</v>
      </c>
      <c r="F7" s="1">
        <v>2020</v>
      </c>
      <c r="G7" s="1">
        <v>2021</v>
      </c>
      <c r="H7" s="1">
        <v>2022</v>
      </c>
      <c r="I7" s="1">
        <v>2023</v>
      </c>
      <c r="J7" s="1">
        <v>2024</v>
      </c>
      <c r="K7" s="1">
        <v>2025</v>
      </c>
      <c r="L7" s="1">
        <v>2026</v>
      </c>
      <c r="M7" s="1">
        <v>2027</v>
      </c>
      <c r="N7" s="1">
        <v>2028</v>
      </c>
    </row>
    <row r="8" spans="2:14">
      <c r="B8" s="426" t="s">
        <v>306</v>
      </c>
      <c r="C8" s="426" t="s">
        <v>299</v>
      </c>
      <c r="D8" s="427">
        <v>14467</v>
      </c>
      <c r="E8" s="427">
        <v>17118</v>
      </c>
      <c r="F8" s="427"/>
      <c r="G8" s="427"/>
      <c r="H8" s="427"/>
      <c r="I8" s="427"/>
      <c r="J8" s="427"/>
      <c r="K8" s="427"/>
      <c r="L8" s="427"/>
      <c r="M8" s="427"/>
      <c r="N8" s="427"/>
    </row>
    <row r="9" spans="2:14">
      <c r="B9" s="426" t="s">
        <v>307</v>
      </c>
      <c r="C9" s="426" t="s">
        <v>308</v>
      </c>
      <c r="D9" s="427">
        <v>43136</v>
      </c>
      <c r="E9" s="427">
        <v>77356</v>
      </c>
      <c r="F9" s="427"/>
      <c r="G9" s="427"/>
      <c r="H9" s="427"/>
      <c r="I9" s="427"/>
      <c r="J9" s="427"/>
      <c r="K9" s="427"/>
      <c r="L9" s="427"/>
      <c r="M9" s="427"/>
      <c r="N9" s="427"/>
    </row>
    <row r="10" spans="2:14">
      <c r="B10" s="428" t="s">
        <v>309</v>
      </c>
      <c r="C10" s="428" t="s">
        <v>310</v>
      </c>
      <c r="D10" s="420">
        <v>5964</v>
      </c>
      <c r="E10" s="420">
        <v>8376</v>
      </c>
      <c r="F10" s="420"/>
      <c r="G10" s="420"/>
      <c r="H10" s="420"/>
      <c r="I10" s="420"/>
      <c r="J10" s="420"/>
      <c r="K10" s="420"/>
      <c r="L10" s="420"/>
      <c r="M10" s="420"/>
      <c r="N10" s="420"/>
    </row>
    <row r="11" spans="2:14">
      <c r="B11" s="428" t="s">
        <v>307</v>
      </c>
      <c r="C11" s="428" t="s">
        <v>311</v>
      </c>
      <c r="D11" s="420">
        <v>25010</v>
      </c>
      <c r="E11" s="420">
        <v>52226</v>
      </c>
      <c r="F11" s="420"/>
      <c r="G11" s="420"/>
      <c r="H11" s="420"/>
      <c r="I11" s="420"/>
      <c r="J11" s="420"/>
      <c r="K11" s="420"/>
      <c r="L11" s="420"/>
      <c r="M11" s="420"/>
      <c r="N11" s="420"/>
    </row>
    <row r="12" spans="2:14">
      <c r="B12" s="425" t="s">
        <v>307</v>
      </c>
      <c r="C12" s="425" t="s">
        <v>407</v>
      </c>
      <c r="D12" s="420">
        <v>0</v>
      </c>
      <c r="E12" s="420">
        <v>0</v>
      </c>
      <c r="F12" s="420"/>
      <c r="G12" s="420"/>
      <c r="H12" s="420"/>
      <c r="I12" s="420"/>
      <c r="J12" s="420"/>
      <c r="K12" s="420"/>
      <c r="L12" s="420"/>
      <c r="M12" s="420"/>
      <c r="N12" s="420"/>
    </row>
    <row r="13" spans="2:14">
      <c r="B13" s="425" t="s">
        <v>307</v>
      </c>
      <c r="C13" s="265" t="s">
        <v>312</v>
      </c>
      <c r="D13" s="111">
        <v>0</v>
      </c>
      <c r="E13" s="111">
        <v>0</v>
      </c>
      <c r="F13" s="111"/>
      <c r="G13" s="111"/>
      <c r="H13" s="111"/>
      <c r="I13" s="111"/>
      <c r="J13" s="111"/>
      <c r="K13" s="111"/>
      <c r="L13" s="111"/>
      <c r="M13" s="111"/>
      <c r="N13" s="111"/>
    </row>
    <row r="14" spans="2:14">
      <c r="B14" s="195" t="s">
        <v>93</v>
      </c>
      <c r="C14" s="195" t="s">
        <v>23</v>
      </c>
      <c r="D14" s="421">
        <f>SUM(D8:D13)</f>
        <v>88577</v>
      </c>
      <c r="E14" s="421">
        <f t="shared" ref="E14" si="0">SUM(E8:E13)</f>
        <v>155076</v>
      </c>
      <c r="F14" s="421"/>
      <c r="G14" s="421"/>
      <c r="H14" s="421"/>
      <c r="I14" s="421"/>
      <c r="J14" s="421"/>
      <c r="K14" s="421"/>
      <c r="L14" s="421"/>
      <c r="M14" s="421"/>
      <c r="N14" s="421"/>
    </row>
    <row r="15" spans="2:14">
      <c r="D15" s="51">
        <v>0.46806218509679121</v>
      </c>
      <c r="E15" s="51">
        <f t="shared" ref="E15" si="1">IF(D14=0,"",E14/D14-1)</f>
        <v>0.75074793682332897</v>
      </c>
      <c r="F15" s="51"/>
      <c r="G15" s="51"/>
      <c r="H15" s="51"/>
      <c r="I15" s="51"/>
      <c r="J15" s="51"/>
      <c r="K15" s="51"/>
      <c r="L15" s="51"/>
      <c r="M15" s="51"/>
      <c r="N15" s="51"/>
    </row>
    <row r="16" spans="2:14">
      <c r="B16" s="260" t="s">
        <v>104</v>
      </c>
    </row>
    <row r="17" spans="2:14">
      <c r="B17" s="184" t="s">
        <v>80</v>
      </c>
      <c r="C17" s="418" t="s">
        <v>81</v>
      </c>
      <c r="D17" s="1">
        <v>2018</v>
      </c>
      <c r="E17" s="1">
        <v>2019</v>
      </c>
      <c r="F17" s="1"/>
      <c r="G17" s="1"/>
      <c r="H17" s="1"/>
      <c r="I17" s="1"/>
      <c r="J17" s="1"/>
      <c r="K17" s="1"/>
      <c r="L17" s="1"/>
      <c r="M17" s="1"/>
      <c r="N17" s="1"/>
    </row>
    <row r="18" spans="2:14">
      <c r="B18" s="419" t="str">
        <f t="shared" ref="B18:C22" si="2">B8</f>
        <v>Fixed Grid</v>
      </c>
      <c r="C18" s="419" t="str">
        <f t="shared" si="2"/>
        <v>legacy</v>
      </c>
      <c r="D18" s="105">
        <v>2698.3524508129121</v>
      </c>
      <c r="E18" s="105">
        <v>2253.037153873116</v>
      </c>
      <c r="F18" s="105"/>
      <c r="G18" s="105"/>
      <c r="H18" s="105"/>
      <c r="I18" s="105"/>
      <c r="J18" s="105"/>
      <c r="K18" s="105"/>
      <c r="L18" s="105"/>
      <c r="M18" s="105"/>
      <c r="N18" s="105"/>
    </row>
    <row r="19" spans="2:14">
      <c r="B19" s="426" t="str">
        <f t="shared" si="2"/>
        <v>Flex Grid</v>
      </c>
      <c r="C19" s="426" t="str">
        <f t="shared" si="2"/>
        <v>single 1x9</v>
      </c>
      <c r="D19" s="104">
        <v>3285.3989891360379</v>
      </c>
      <c r="E19" s="104">
        <v>2575.1280293113782</v>
      </c>
      <c r="F19" s="104"/>
      <c r="G19" s="104"/>
      <c r="H19" s="104"/>
      <c r="I19" s="104"/>
      <c r="J19" s="104"/>
      <c r="K19" s="104"/>
      <c r="L19" s="104"/>
      <c r="M19" s="104"/>
      <c r="N19" s="104"/>
    </row>
    <row r="20" spans="2:14">
      <c r="B20" s="428" t="str">
        <f t="shared" si="2"/>
        <v xml:space="preserve">Flex Grid </v>
      </c>
      <c r="C20" s="428" t="str">
        <f t="shared" si="2"/>
        <v>twin 1x9</v>
      </c>
      <c r="D20" s="64">
        <v>4639.5145471280339</v>
      </c>
      <c r="E20" s="64">
        <v>4354.926323685092</v>
      </c>
      <c r="F20" s="64"/>
      <c r="G20" s="64"/>
      <c r="H20" s="64"/>
      <c r="I20" s="64"/>
      <c r="J20" s="64"/>
      <c r="K20" s="64"/>
      <c r="L20" s="64"/>
      <c r="M20" s="64"/>
      <c r="N20" s="64"/>
    </row>
    <row r="21" spans="2:14">
      <c r="B21" s="428" t="str">
        <f t="shared" si="2"/>
        <v>Flex Grid</v>
      </c>
      <c r="C21" s="428" t="str">
        <f t="shared" si="2"/>
        <v xml:space="preserve">twin 1x20 </v>
      </c>
      <c r="D21" s="64">
        <v>6273.1787733420033</v>
      </c>
      <c r="E21" s="64">
        <v>4680.3587381231673</v>
      </c>
      <c r="F21" s="64"/>
      <c r="G21" s="64"/>
      <c r="H21" s="64"/>
      <c r="I21" s="64"/>
      <c r="J21" s="64"/>
      <c r="K21" s="64"/>
      <c r="L21" s="64"/>
      <c r="M21" s="64"/>
      <c r="N21" s="64"/>
    </row>
    <row r="22" spans="2:14">
      <c r="B22" s="425" t="str">
        <f t="shared" si="2"/>
        <v>Flex Grid</v>
      </c>
      <c r="C22" s="425" t="str">
        <f t="shared" si="2"/>
        <v>L-band</v>
      </c>
      <c r="D22" s="65">
        <v>0</v>
      </c>
      <c r="E22" s="65">
        <v>0</v>
      </c>
      <c r="F22" s="65"/>
      <c r="G22" s="65"/>
      <c r="H22" s="65"/>
      <c r="I22" s="65"/>
      <c r="J22" s="65"/>
      <c r="K22" s="65"/>
      <c r="L22" s="65"/>
      <c r="M22" s="65"/>
      <c r="N22" s="65"/>
    </row>
    <row r="23" spans="2:14">
      <c r="B23" s="195" t="str">
        <f t="shared" ref="B23:C23" si="3">B13</f>
        <v>Flex Grid</v>
      </c>
      <c r="C23" s="195" t="str">
        <f t="shared" si="3"/>
        <v>Next Generation</v>
      </c>
      <c r="D23" s="64">
        <v>0</v>
      </c>
      <c r="E23" s="64">
        <v>0</v>
      </c>
      <c r="F23" s="64"/>
      <c r="G23" s="64"/>
      <c r="H23" s="64"/>
      <c r="I23" s="64"/>
      <c r="J23" s="64"/>
      <c r="K23" s="64"/>
      <c r="L23" s="64"/>
      <c r="M23" s="64"/>
      <c r="N23" s="64"/>
    </row>
    <row r="24" spans="2:14">
      <c r="B24" s="195" t="s">
        <v>93</v>
      </c>
      <c r="C24" s="195" t="s">
        <v>23</v>
      </c>
      <c r="D24" s="105">
        <f>D34*10^6/D14</f>
        <v>4124.3020375677388</v>
      </c>
      <c r="E24" s="105">
        <f t="shared" ref="E24" si="4">E34*10^6/E14</f>
        <v>3344.6979041232553</v>
      </c>
      <c r="F24" s="105"/>
      <c r="G24" s="105"/>
      <c r="H24" s="105"/>
      <c r="I24" s="105"/>
      <c r="J24" s="105"/>
      <c r="K24" s="105"/>
      <c r="L24" s="105"/>
      <c r="M24" s="105"/>
      <c r="N24" s="105"/>
    </row>
    <row r="26" spans="2:14">
      <c r="B26" s="260" t="s">
        <v>1</v>
      </c>
      <c r="D26" s="51"/>
      <c r="E26" s="51"/>
      <c r="F26" s="51"/>
      <c r="G26" s="51"/>
      <c r="H26" s="51"/>
      <c r="I26" s="51"/>
      <c r="J26" s="51"/>
      <c r="K26" s="51"/>
      <c r="L26" s="51"/>
      <c r="M26" s="51"/>
      <c r="N26" s="51"/>
    </row>
    <row r="27" spans="2:14">
      <c r="B27" s="184" t="s">
        <v>80</v>
      </c>
      <c r="C27" s="418" t="s">
        <v>81</v>
      </c>
      <c r="D27" s="1">
        <v>2018</v>
      </c>
      <c r="E27" s="1">
        <v>2019</v>
      </c>
      <c r="F27" s="1"/>
      <c r="G27" s="1"/>
      <c r="H27" s="1"/>
      <c r="I27" s="1"/>
      <c r="J27" s="1"/>
      <c r="K27" s="1"/>
      <c r="L27" s="1"/>
      <c r="M27" s="1"/>
      <c r="N27" s="1"/>
    </row>
    <row r="28" spans="2:14">
      <c r="B28" s="419" t="str">
        <f t="shared" ref="B28:C34" si="5">B8</f>
        <v>Fixed Grid</v>
      </c>
      <c r="C28" s="419" t="str">
        <f t="shared" si="5"/>
        <v>legacy</v>
      </c>
      <c r="D28" s="105">
        <f>IF(D8=0,,D8*D18/10^6)</f>
        <v>39.037064905910405</v>
      </c>
      <c r="E28" s="105">
        <f t="shared" ref="E28" si="6">IF(E8=0,,E8*E18/10^6)</f>
        <v>38.567489999999999</v>
      </c>
      <c r="F28" s="105"/>
      <c r="G28" s="105"/>
      <c r="H28" s="105"/>
      <c r="I28" s="105"/>
      <c r="J28" s="105"/>
      <c r="K28" s="105"/>
      <c r="L28" s="105"/>
      <c r="M28" s="105"/>
      <c r="N28" s="105"/>
    </row>
    <row r="29" spans="2:14">
      <c r="B29" s="426" t="str">
        <f t="shared" si="5"/>
        <v>Flex Grid</v>
      </c>
      <c r="C29" s="426" t="str">
        <f t="shared" si="5"/>
        <v>single 1x9</v>
      </c>
      <c r="D29" s="104">
        <f t="shared" ref="D29" si="7">IF(D9=0,,D9*D19/10^6)</f>
        <v>141.71897079537212</v>
      </c>
      <c r="E29" s="104">
        <f t="shared" ref="E29" si="8">IF(E9=0,,E9*E19/10^6)</f>
        <v>199.20160383541099</v>
      </c>
      <c r="F29" s="104"/>
      <c r="G29" s="104"/>
      <c r="H29" s="104"/>
      <c r="I29" s="104"/>
      <c r="J29" s="104"/>
      <c r="K29" s="104"/>
      <c r="L29" s="104"/>
      <c r="M29" s="104"/>
      <c r="N29" s="104"/>
    </row>
    <row r="30" spans="2:14">
      <c r="B30" s="428" t="str">
        <f t="shared" si="5"/>
        <v xml:space="preserve">Flex Grid </v>
      </c>
      <c r="C30" s="428" t="str">
        <f t="shared" si="5"/>
        <v>twin 1x9</v>
      </c>
      <c r="D30" s="64">
        <f t="shared" ref="D30" si="9">IF(D10=0,,D10*D20/10^6)</f>
        <v>27.670064759071593</v>
      </c>
      <c r="E30" s="64">
        <f t="shared" ref="E30" si="10">IF(E10=0,,E10*E20/10^6)</f>
        <v>36.476862887186336</v>
      </c>
      <c r="F30" s="64"/>
      <c r="G30" s="64"/>
      <c r="H30" s="64"/>
      <c r="I30" s="64"/>
      <c r="J30" s="64"/>
      <c r="K30" s="64"/>
      <c r="L30" s="64"/>
      <c r="M30" s="64"/>
      <c r="N30" s="64"/>
    </row>
    <row r="31" spans="2:14">
      <c r="B31" s="428" t="str">
        <f t="shared" si="5"/>
        <v>Flex Grid</v>
      </c>
      <c r="C31" s="428" t="str">
        <f t="shared" si="5"/>
        <v xml:space="preserve">twin 1x20 </v>
      </c>
      <c r="D31" s="64">
        <f t="shared" ref="D31" si="11">IF(D11=0,,D11*D21/10^6)</f>
        <v>156.89220112128351</v>
      </c>
      <c r="E31" s="64">
        <f t="shared" ref="E31" si="12">IF(E11=0,,E11*E21/10^6)</f>
        <v>244.43641545722053</v>
      </c>
      <c r="F31" s="64"/>
      <c r="G31" s="64"/>
      <c r="H31" s="64"/>
      <c r="I31" s="64"/>
      <c r="J31" s="64"/>
      <c r="K31" s="64"/>
      <c r="L31" s="64"/>
      <c r="M31" s="64"/>
      <c r="N31" s="64"/>
    </row>
    <row r="32" spans="2:14">
      <c r="B32" s="425" t="str">
        <f t="shared" si="5"/>
        <v>Flex Grid</v>
      </c>
      <c r="C32" s="425" t="str">
        <f t="shared" si="5"/>
        <v>L-band</v>
      </c>
      <c r="D32" s="65">
        <f t="shared" ref="D32" si="13">IF(D12=0,,D12*D22/10^6)</f>
        <v>0</v>
      </c>
      <c r="E32" s="65">
        <f t="shared" ref="E32" si="14">IF(E12=0,,E12*E22/10^6)</f>
        <v>0</v>
      </c>
      <c r="F32" s="65"/>
      <c r="G32" s="65"/>
      <c r="H32" s="65"/>
      <c r="I32" s="65"/>
      <c r="J32" s="65"/>
      <c r="K32" s="65"/>
      <c r="L32" s="65"/>
      <c r="M32" s="65"/>
      <c r="N32" s="65"/>
    </row>
    <row r="33" spans="2:14">
      <c r="B33" s="195" t="str">
        <f t="shared" si="5"/>
        <v>Flex Grid</v>
      </c>
      <c r="C33" s="195" t="str">
        <f t="shared" si="5"/>
        <v>Next Generation</v>
      </c>
      <c r="D33" s="64">
        <f t="shared" ref="D33" si="15">IF(D13=0,,D13*D23/10^6)</f>
        <v>0</v>
      </c>
      <c r="E33" s="64">
        <f t="shared" ref="E33" si="16">IF(E13=0,,E13*E23/10^6)</f>
        <v>0</v>
      </c>
      <c r="F33" s="64"/>
      <c r="G33" s="64"/>
      <c r="H33" s="64"/>
      <c r="I33" s="64"/>
      <c r="J33" s="64"/>
      <c r="K33" s="64"/>
      <c r="L33" s="64"/>
      <c r="M33" s="64"/>
      <c r="N33" s="64"/>
    </row>
    <row r="34" spans="2:14">
      <c r="B34" s="195" t="str">
        <f t="shared" si="5"/>
        <v>Total</v>
      </c>
      <c r="C34" s="195" t="str">
        <f t="shared" si="5"/>
        <v>All</v>
      </c>
      <c r="D34" s="105">
        <f t="shared" ref="D34:E34" si="17">SUM(D28:D33)</f>
        <v>365.31830158163763</v>
      </c>
      <c r="E34" s="105">
        <f t="shared" si="17"/>
        <v>518.68237217981789</v>
      </c>
      <c r="F34" s="105"/>
      <c r="G34" s="105"/>
      <c r="H34" s="105"/>
      <c r="I34" s="105"/>
      <c r="J34" s="105"/>
      <c r="K34" s="105"/>
      <c r="L34" s="105"/>
      <c r="M34" s="105"/>
      <c r="N34" s="105"/>
    </row>
    <row r="35" spans="2:14">
      <c r="D35" s="51">
        <v>0.46073367017025979</v>
      </c>
      <c r="E35" s="51">
        <f t="shared" ref="E35" si="18">IF(D34=0,"",E34/D34-1)</f>
        <v>0.41980943723375996</v>
      </c>
      <c r="F35" s="51"/>
      <c r="G35" s="51"/>
      <c r="H35" s="51"/>
      <c r="I35" s="51"/>
      <c r="J35" s="51"/>
      <c r="K35" s="51"/>
      <c r="L35" s="51"/>
      <c r="M35" s="51"/>
      <c r="N35" s="51"/>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M23"/>
  <sheetViews>
    <sheetView showGridLines="0" zoomScale="70" zoomScaleNormal="70" zoomScalePageLayoutView="70" workbookViewId="0"/>
  </sheetViews>
  <sheetFormatPr defaultColWidth="8.44140625" defaultRowHeight="13.2"/>
  <cols>
    <col min="1" max="1" width="4.44140625" customWidth="1"/>
    <col min="2" max="2" width="20.44140625" customWidth="1"/>
    <col min="3" max="8" width="11.44140625" customWidth="1"/>
    <col min="9" max="13" width="13.21875" customWidth="1"/>
  </cols>
  <sheetData>
    <row r="2" spans="2:13" ht="17.399999999999999">
      <c r="B2" s="70" t="str">
        <f>Introduction!B2</f>
        <v xml:space="preserve">LightCounting Optical Components Market Forecast </v>
      </c>
    </row>
    <row r="3" spans="2:13" ht="15">
      <c r="B3" s="588" t="str">
        <f>Introduction!B3</f>
        <v>Published 31 October 2023 - Sample - for illustrative purposes only</v>
      </c>
    </row>
    <row r="4" spans="2:13" ht="15.6">
      <c r="B4" s="180" t="s">
        <v>149</v>
      </c>
    </row>
    <row r="6" spans="2:13" ht="15">
      <c r="B6" s="260" t="s">
        <v>0</v>
      </c>
      <c r="D6" s="408"/>
      <c r="I6" s="500"/>
    </row>
    <row r="7" spans="2:13">
      <c r="B7" s="184" t="s">
        <v>64</v>
      </c>
      <c r="C7" s="1">
        <v>2018</v>
      </c>
      <c r="D7" s="1">
        <v>2019</v>
      </c>
      <c r="E7" s="1">
        <v>2020</v>
      </c>
      <c r="F7" s="1">
        <v>2021</v>
      </c>
      <c r="G7" s="1">
        <v>2022</v>
      </c>
      <c r="H7" s="1">
        <v>2023</v>
      </c>
      <c r="I7" s="1">
        <v>2024</v>
      </c>
      <c r="J7" s="1">
        <v>2025</v>
      </c>
      <c r="K7" s="1">
        <v>2026</v>
      </c>
      <c r="L7" s="1">
        <v>2027</v>
      </c>
      <c r="M7" s="1">
        <v>2028</v>
      </c>
    </row>
    <row r="8" spans="2:13">
      <c r="B8" s="58" t="s">
        <v>531</v>
      </c>
      <c r="C8" s="210">
        <v>537965</v>
      </c>
      <c r="D8" s="210">
        <v>615483</v>
      </c>
      <c r="E8" s="210"/>
      <c r="F8" s="210"/>
      <c r="G8" s="210"/>
      <c r="H8" s="210"/>
      <c r="I8" s="210"/>
      <c r="J8" s="210"/>
      <c r="K8" s="210"/>
      <c r="L8" s="210"/>
      <c r="M8" s="210"/>
    </row>
    <row r="9" spans="2:13">
      <c r="B9" s="58" t="s">
        <v>532</v>
      </c>
      <c r="C9" s="210">
        <v>0</v>
      </c>
      <c r="D9" s="210">
        <v>68387</v>
      </c>
      <c r="E9" s="210"/>
      <c r="F9" s="210"/>
      <c r="G9" s="210"/>
      <c r="H9" s="210"/>
      <c r="I9" s="210"/>
      <c r="J9" s="210"/>
      <c r="K9" s="210"/>
      <c r="L9" s="210"/>
      <c r="M9" s="210"/>
    </row>
    <row r="10" spans="2:13">
      <c r="B10" s="195" t="s">
        <v>93</v>
      </c>
      <c r="C10" s="111">
        <f>SUM(C8:C9)</f>
        <v>537965</v>
      </c>
      <c r="D10" s="111">
        <f t="shared" ref="D10" si="0">SUM(D8:D9)</f>
        <v>683870</v>
      </c>
      <c r="E10" s="111"/>
      <c r="F10" s="111"/>
      <c r="G10" s="111"/>
      <c r="H10" s="111"/>
      <c r="I10" s="111"/>
      <c r="J10" s="111"/>
      <c r="K10" s="111"/>
      <c r="L10" s="111"/>
      <c r="M10" s="111"/>
    </row>
    <row r="11" spans="2:13">
      <c r="C11" s="51"/>
      <c r="D11" s="51">
        <f t="shared" ref="D11" si="1">IF(C10=0,"",D10/C10-1)</f>
        <v>0.27121652895634485</v>
      </c>
      <c r="E11" s="51"/>
      <c r="F11" s="51"/>
      <c r="G11" s="51"/>
      <c r="H11" s="51"/>
      <c r="I11" s="51"/>
      <c r="J11" s="51"/>
      <c r="K11" s="51"/>
      <c r="L11" s="51"/>
      <c r="M11" s="51"/>
    </row>
    <row r="12" spans="2:13">
      <c r="B12" s="260" t="s">
        <v>104</v>
      </c>
    </row>
    <row r="13" spans="2:13">
      <c r="B13" s="184" t="s">
        <v>64</v>
      </c>
      <c r="C13" s="1">
        <v>2018</v>
      </c>
      <c r="D13" s="1">
        <v>2019</v>
      </c>
      <c r="E13" s="1">
        <v>2020</v>
      </c>
      <c r="F13" s="1">
        <v>2021</v>
      </c>
      <c r="G13" s="1">
        <v>2022</v>
      </c>
      <c r="H13" s="1">
        <v>2023</v>
      </c>
      <c r="I13" s="1">
        <f t="shared" ref="I13:M13" si="2">I7</f>
        <v>2024</v>
      </c>
      <c r="J13" s="1">
        <f t="shared" si="2"/>
        <v>2025</v>
      </c>
      <c r="K13" s="1">
        <f t="shared" si="2"/>
        <v>2026</v>
      </c>
      <c r="L13" s="1">
        <f t="shared" si="2"/>
        <v>2027</v>
      </c>
      <c r="M13" s="1">
        <f t="shared" si="2"/>
        <v>2028</v>
      </c>
    </row>
    <row r="14" spans="2:13">
      <c r="B14" s="58" t="str">
        <f>B8</f>
        <v>Narrow Linewidth LP</v>
      </c>
      <c r="C14" s="66">
        <v>438.53529988934673</v>
      </c>
      <c r="D14" s="66">
        <v>407.02505744114166</v>
      </c>
      <c r="E14" s="66"/>
      <c r="F14" s="66"/>
      <c r="G14" s="66"/>
      <c r="H14" s="66"/>
      <c r="I14" s="66"/>
      <c r="J14" s="66"/>
      <c r="K14" s="66"/>
      <c r="L14" s="66"/>
      <c r="M14" s="66"/>
    </row>
    <row r="15" spans="2:13">
      <c r="B15" s="58" t="str">
        <f>B9</f>
        <v>Narrow Linewidth HP</v>
      </c>
      <c r="C15" s="66">
        <v>0</v>
      </c>
      <c r="D15" s="66">
        <v>480</v>
      </c>
      <c r="E15" s="66"/>
      <c r="F15" s="66"/>
      <c r="G15" s="66"/>
      <c r="H15" s="66"/>
      <c r="I15" s="66"/>
      <c r="J15" s="66"/>
      <c r="K15" s="66"/>
      <c r="L15" s="66"/>
      <c r="M15" s="66"/>
    </row>
    <row r="16" spans="2:13">
      <c r="C16" s="61"/>
      <c r="D16" s="61"/>
      <c r="E16" s="61"/>
      <c r="F16" s="61"/>
      <c r="G16" s="61"/>
      <c r="H16" s="61"/>
      <c r="I16" s="61"/>
      <c r="J16" s="61"/>
      <c r="K16" s="61"/>
      <c r="L16" s="61"/>
      <c r="M16" s="61"/>
    </row>
    <row r="17" spans="2:13">
      <c r="B17" s="260" t="s">
        <v>1</v>
      </c>
    </row>
    <row r="18" spans="2:13">
      <c r="B18" s="184" t="s">
        <v>64</v>
      </c>
      <c r="C18" s="1">
        <v>2018</v>
      </c>
      <c r="D18" s="1">
        <v>2019</v>
      </c>
      <c r="E18" s="1">
        <v>2020</v>
      </c>
      <c r="F18" s="1">
        <v>2021</v>
      </c>
      <c r="G18" s="1">
        <v>2022</v>
      </c>
      <c r="H18" s="1">
        <v>2023</v>
      </c>
      <c r="I18" s="1">
        <f t="shared" ref="I18:M18" si="3">I7</f>
        <v>2024</v>
      </c>
      <c r="J18" s="1">
        <f t="shared" si="3"/>
        <v>2025</v>
      </c>
      <c r="K18" s="1">
        <f t="shared" si="3"/>
        <v>2026</v>
      </c>
      <c r="L18" s="1">
        <f t="shared" si="3"/>
        <v>2027</v>
      </c>
      <c r="M18" s="1">
        <f t="shared" si="3"/>
        <v>2028</v>
      </c>
    </row>
    <row r="19" spans="2:13">
      <c r="B19" s="58" t="str">
        <f>B8</f>
        <v>Narrow Linewidth LP</v>
      </c>
      <c r="C19" s="192">
        <f>IF(C8=0,,C8*C14/10^6)</f>
        <v>235.91664260497242</v>
      </c>
      <c r="D19" s="192">
        <f t="shared" ref="D19" si="4">IF(D8=0,,D8*D14/10^6)</f>
        <v>250.51700342904618</v>
      </c>
      <c r="E19" s="192"/>
      <c r="F19" s="192"/>
      <c r="G19" s="192"/>
      <c r="H19" s="192"/>
      <c r="I19" s="192"/>
      <c r="J19" s="192"/>
      <c r="K19" s="192"/>
      <c r="L19" s="192"/>
      <c r="M19" s="192"/>
    </row>
    <row r="20" spans="2:13">
      <c r="B20" s="195" t="str">
        <f>B9</f>
        <v>Narrow Linewidth HP</v>
      </c>
      <c r="C20" s="192">
        <f>IF(C9=0,,C9*C15/10^6)</f>
        <v>0</v>
      </c>
      <c r="D20" s="192">
        <f t="shared" ref="D20" si="5">IF(D9=0,,D9*D15/10^6)</f>
        <v>32.825760000000002</v>
      </c>
      <c r="E20" s="192"/>
      <c r="F20" s="192"/>
      <c r="G20" s="192"/>
      <c r="H20" s="192"/>
      <c r="I20" s="192"/>
      <c r="J20" s="192"/>
      <c r="K20" s="192"/>
      <c r="L20" s="192"/>
      <c r="M20" s="192"/>
    </row>
    <row r="21" spans="2:13">
      <c r="B21" s="58" t="str">
        <f>B10</f>
        <v>Total</v>
      </c>
      <c r="C21" s="105">
        <f>SUM(C19:C20)</f>
        <v>235.91664260497242</v>
      </c>
      <c r="D21" s="105">
        <f t="shared" ref="D21" si="6">SUM(D19:D20)</f>
        <v>283.34276342904616</v>
      </c>
      <c r="E21" s="105"/>
      <c r="F21" s="105"/>
      <c r="G21" s="105"/>
      <c r="H21" s="105"/>
      <c r="I21" s="105"/>
      <c r="J21" s="105"/>
      <c r="K21" s="105"/>
      <c r="L21" s="105"/>
      <c r="M21" s="105"/>
    </row>
    <row r="22" spans="2:13">
      <c r="C22" s="51"/>
      <c r="D22" s="51">
        <f t="shared" ref="D22" si="7">IF(C21=0,"",D21/C21-1)</f>
        <v>0.20102914444864228</v>
      </c>
      <c r="E22" s="51"/>
      <c r="F22" s="51"/>
      <c r="G22" s="51"/>
      <c r="H22" s="51"/>
      <c r="I22" s="51"/>
      <c r="J22" s="51"/>
      <c r="K22" s="51"/>
      <c r="L22" s="51"/>
      <c r="M22" s="51"/>
    </row>
    <row r="23" spans="2:13">
      <c r="B23" s="251"/>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Methodology</vt:lpstr>
      <vt:lpstr>Definitions</vt:lpstr>
      <vt:lpstr>Summary</vt:lpstr>
      <vt:lpstr>Ethernet</vt:lpstr>
      <vt:lpstr>Fibre Channel</vt:lpstr>
      <vt:lpstr>CWDM and DWDM</vt:lpstr>
      <vt:lpstr>WSS</vt:lpstr>
      <vt:lpstr>Tunable lasers</vt:lpstr>
      <vt:lpstr>Modulators and Receivers</vt:lpstr>
      <vt:lpstr>Fronthaul</vt:lpstr>
      <vt:lpstr>Backhaul</vt:lpstr>
      <vt:lpstr>FTTx</vt:lpstr>
      <vt:lpstr>AOC</vt:lpstr>
      <vt:lpstr>Cost_bit</vt:lpstr>
      <vt:lpstr>Port Count</vt:lpstr>
      <vt:lpstr>Additional Report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2014-01-06T21:38:47Z</cp:lastPrinted>
  <dcterms:created xsi:type="dcterms:W3CDTF">2009-02-04T20:40:14Z</dcterms:created>
  <dcterms:modified xsi:type="dcterms:W3CDTF">2023-10-31T21:32:52Z</dcterms:modified>
</cp:coreProperties>
</file>