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charts/chart2.xml" ContentType="application/vnd.openxmlformats-officedocument.drawingml.chart+xml"/>
  <Override PartName="/xl/drawings/drawing6.xml" ContentType="application/vnd.openxmlformats-officedocument.drawingml.chartshapes+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style1.xml" ContentType="application/vnd.ms-office.chartstyle+xml"/>
  <Override PartName="/xl/charts/colors1.xml" ContentType="application/vnd.ms-office.chartcolorstyle+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08"/>
  <workbookPr showInkAnnotation="0" updateLinks="never" autoCompressPictures="0" defaultThemeVersion="124226"/>
  <mc:AlternateContent xmlns:mc="http://schemas.openxmlformats.org/markup-compatibility/2006">
    <mc:Choice Requires="x15">
      <x15ac:absPath xmlns:x15ac="http://schemas.microsoft.com/office/spreadsheetml/2010/11/ac" url="/Users/Vlad/Dropbox/LC Reports/AOC-EOM Report/HS Cables Report/2020/Deliverables/"/>
    </mc:Choice>
  </mc:AlternateContent>
  <xr:revisionPtr revIDLastSave="0" documentId="8_{EBD86FCF-D790-674F-93E6-D120409F8A20}" xr6:coauthVersionLast="45" xr6:coauthVersionMax="45" xr10:uidLastSave="{00000000-0000-0000-0000-000000000000}"/>
  <bookViews>
    <workbookView xWindow="0" yWindow="460" windowWidth="19420" windowHeight="11020" tabRatio="779" xr2:uid="{00000000-000D-0000-FFFF-FFFF00000000}"/>
  </bookViews>
  <sheets>
    <sheet name="Introduction" sheetId="9" r:id="rId1"/>
    <sheet name="Segmentation" sheetId="52" r:id="rId2"/>
    <sheet name="Methodology" sheetId="10" r:id="rId3"/>
    <sheet name="Dashboard" sheetId="46" r:id="rId4"/>
    <sheet name="Summary" sheetId="97" r:id="rId5"/>
    <sheet name="Combined forecast" sheetId="36" r:id="rId6"/>
    <sheet name="AOC forecast" sheetId="63" r:id="rId7"/>
    <sheet name="EOM forecast" sheetId="64" r:id="rId8"/>
    <sheet name="CPO forecast" sheetId="93" r:id="rId9"/>
    <sheet name="Copper cable forecast" sheetId="102" r:id="rId10"/>
    <sheet name="Segment forecast" sheetId="42" r:id="rId11"/>
  </sheets>
  <definedNames>
    <definedName name="COBO_Comments">#REF!</definedName>
    <definedName name="CoboRevNew">#REF!</definedName>
    <definedName name="CoboVolNew">#REF!</definedName>
    <definedName name="Comments">#REF!</definedName>
    <definedName name="LongRevApr19">#REF!</definedName>
    <definedName name="LongRevApr2020">#REF!</definedName>
    <definedName name="LongRevAug19">#REF!</definedName>
    <definedName name="LongRevDec19">#REF!</definedName>
    <definedName name="LongRevNew">'Combined forecast'!$G$87:$P$125</definedName>
    <definedName name="LongVolApr19">#REF!</definedName>
    <definedName name="LongVolApr2020">#REF!</definedName>
    <definedName name="LongVolAug19">#REF!</definedName>
    <definedName name="LongVolDec19">#REF!</definedName>
    <definedName name="LongVolNew">'Combined forecast'!$G$7:$P$45</definedName>
    <definedName name="Price">'Combined forecast'!$B$47:$P$85</definedName>
    <definedName name="Revenue">'Combined forecast'!$D$87:$P$125</definedName>
    <definedName name="VolCore">'Segment forecast'!$G$114:$P$152</definedName>
    <definedName name="VolDCS">'Segment forecast'!$G$195:$P$233</definedName>
    <definedName name="VolHPC">'Segment forecast'!$G$74:$P$112</definedName>
    <definedName name="VolOther">'Segment forecast'!$G$154:$P$192</definedName>
    <definedName name="Volume">'Combined forecast'!$G$7:$P$45</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25" i="97" l="1"/>
  <c r="C125" i="97"/>
  <c r="D85" i="97"/>
  <c r="C85" i="97"/>
  <c r="D84" i="97"/>
  <c r="C84" i="97"/>
  <c r="E20" i="102"/>
  <c r="D20" i="102"/>
  <c r="C20" i="102"/>
  <c r="P235" i="97" l="1"/>
  <c r="Q235" i="97"/>
  <c r="R235" i="97"/>
  <c r="S235" i="97"/>
  <c r="T235" i="97"/>
  <c r="U235" i="97"/>
  <c r="C235" i="97"/>
  <c r="D235" i="97"/>
  <c r="E235" i="97"/>
  <c r="D121" i="97" l="1"/>
  <c r="C121" i="97"/>
  <c r="B115" i="97"/>
  <c r="B116" i="97"/>
  <c r="B117" i="97"/>
  <c r="B118" i="97"/>
  <c r="B119" i="97"/>
  <c r="B120" i="97"/>
  <c r="B121" i="97"/>
  <c r="B122" i="97"/>
  <c r="B123" i="97"/>
  <c r="B124" i="97"/>
  <c r="B292" i="97"/>
  <c r="B173" i="97" l="1"/>
  <c r="F98" i="42" l="1"/>
  <c r="O233" i="97" l="1"/>
  <c r="O234" i="97"/>
  <c r="V234" i="97"/>
  <c r="B61" i="93"/>
  <c r="B62" i="93"/>
  <c r="B46" i="93"/>
  <c r="B47" i="93"/>
  <c r="B48" i="93"/>
  <c r="B50" i="93"/>
  <c r="B64" i="93" s="1"/>
  <c r="B51" i="93"/>
  <c r="B65" i="93" s="1"/>
  <c r="B52" i="93"/>
  <c r="B30" i="93"/>
  <c r="B31" i="93"/>
  <c r="B32" i="93"/>
  <c r="B33" i="93"/>
  <c r="B34" i="93"/>
  <c r="B35" i="93"/>
  <c r="B36" i="93"/>
  <c r="G18" i="93" l="1"/>
  <c r="G19" i="93"/>
  <c r="G20" i="93" l="1"/>
  <c r="G12" i="93"/>
  <c r="G14" i="93"/>
  <c r="I233" i="97" s="1"/>
  <c r="G16" i="93" l="1"/>
  <c r="I235" i="97"/>
  <c r="B2" i="93" l="1"/>
  <c r="K6" i="63" l="1"/>
  <c r="K35" i="63"/>
  <c r="K64" i="63"/>
  <c r="D60" i="102" l="1"/>
  <c r="C61" i="102"/>
  <c r="D61" i="102"/>
  <c r="D63" i="102"/>
  <c r="D64" i="102"/>
  <c r="D65" i="102"/>
  <c r="E65" i="102"/>
  <c r="N20" i="102"/>
  <c r="N8" i="102"/>
  <c r="N9" i="102"/>
  <c r="N10" i="102"/>
  <c r="N11" i="102"/>
  <c r="N12" i="102"/>
  <c r="N13" i="102"/>
  <c r="N14" i="102"/>
  <c r="N15" i="102"/>
  <c r="N16" i="102"/>
  <c r="N17" i="102"/>
  <c r="N18" i="102"/>
  <c r="N19" i="102"/>
  <c r="B48" i="102"/>
  <c r="B71" i="102" s="1"/>
  <c r="B47" i="102"/>
  <c r="B70" i="102" s="1"/>
  <c r="B46" i="102"/>
  <c r="B69" i="102" s="1"/>
  <c r="C65" i="102"/>
  <c r="P206" i="97" s="1"/>
  <c r="C126" i="97" s="1"/>
  <c r="E61" i="102"/>
  <c r="B3" i="102"/>
  <c r="B2" i="102"/>
  <c r="Q204" i="97" l="1"/>
  <c r="D123" i="97"/>
  <c r="Q206" i="97"/>
  <c r="D126" i="97" s="1"/>
  <c r="C206" i="97"/>
  <c r="D204" i="97"/>
  <c r="D86" i="97" s="1"/>
  <c r="D206" i="97"/>
  <c r="E205" i="97"/>
  <c r="E87" i="97" s="1"/>
  <c r="C60" i="102"/>
  <c r="C123" i="97" s="1"/>
  <c r="C204" i="97"/>
  <c r="C86" i="97" s="1"/>
  <c r="D62" i="102"/>
  <c r="Q205" i="97" s="1"/>
  <c r="D124" i="97" s="1"/>
  <c r="D205" i="97"/>
  <c r="D87" i="97" s="1"/>
  <c r="E64" i="102"/>
  <c r="R206" i="97" s="1"/>
  <c r="E126" i="97" s="1"/>
  <c r="E206" i="97"/>
  <c r="C62" i="102"/>
  <c r="P205" i="97" s="1"/>
  <c r="C124" i="97" s="1"/>
  <c r="C205" i="97"/>
  <c r="C87" i="97" s="1"/>
  <c r="E60" i="102"/>
  <c r="E123" i="97" s="1"/>
  <c r="E204" i="97"/>
  <c r="E86" i="97" s="1"/>
  <c r="B31" i="102"/>
  <c r="B54" i="102"/>
  <c r="B35" i="102"/>
  <c r="B58" i="102"/>
  <c r="B39" i="102"/>
  <c r="B62" i="102"/>
  <c r="B32" i="102"/>
  <c r="B55" i="102"/>
  <c r="B36" i="102"/>
  <c r="B59" i="102"/>
  <c r="B40" i="102"/>
  <c r="B63" i="102"/>
  <c r="B64" i="102"/>
  <c r="B41" i="102"/>
  <c r="B65" i="102"/>
  <c r="B42" i="102"/>
  <c r="B33" i="102"/>
  <c r="B56" i="102"/>
  <c r="B60" i="102"/>
  <c r="B37" i="102"/>
  <c r="B53" i="102"/>
  <c r="B68" i="102" s="1"/>
  <c r="B45" i="102"/>
  <c r="B30" i="102"/>
  <c r="B34" i="102"/>
  <c r="B57" i="102"/>
  <c r="B61" i="102"/>
  <c r="B38" i="102"/>
  <c r="B22" i="102"/>
  <c r="D201" i="97" l="1"/>
  <c r="D82" i="97" s="1"/>
  <c r="P204" i="97"/>
  <c r="R204" i="97"/>
  <c r="E201" i="97"/>
  <c r="E82" i="97" s="1"/>
  <c r="D56" i="102" l="1"/>
  <c r="Q201" i="97" s="1"/>
  <c r="D119" i="97" s="1"/>
  <c r="E56" i="102"/>
  <c r="R201" i="97" s="1"/>
  <c r="E119" i="97" s="1"/>
  <c r="E63" i="102" l="1"/>
  <c r="E62" i="102"/>
  <c r="R205" i="97" l="1"/>
  <c r="E124" i="97" s="1"/>
  <c r="G40" i="93" l="1"/>
  <c r="G50" i="93" s="1"/>
  <c r="G56" i="93"/>
  <c r="G64" i="93" s="1"/>
  <c r="B19" i="42" l="1"/>
  <c r="F122" i="36"/>
  <c r="B87" i="63" l="1"/>
  <c r="C87" i="63"/>
  <c r="D87" i="63"/>
  <c r="E87" i="63"/>
  <c r="F87" i="63"/>
  <c r="B88" i="63"/>
  <c r="C88" i="63"/>
  <c r="D88" i="63"/>
  <c r="E88" i="63"/>
  <c r="F88" i="63"/>
  <c r="B89" i="63"/>
  <c r="C89" i="63"/>
  <c r="D89" i="63"/>
  <c r="E89" i="63"/>
  <c r="F89" i="63"/>
  <c r="B58" i="63"/>
  <c r="C58" i="63"/>
  <c r="D58" i="63"/>
  <c r="E58" i="63"/>
  <c r="F58" i="63"/>
  <c r="B59" i="63"/>
  <c r="C59" i="63"/>
  <c r="D59" i="63"/>
  <c r="E59" i="63"/>
  <c r="F59" i="63"/>
  <c r="B60" i="63"/>
  <c r="C60" i="63"/>
  <c r="D60" i="63"/>
  <c r="E60" i="63"/>
  <c r="F60" i="63"/>
  <c r="B12" i="63"/>
  <c r="B41" i="63" s="1"/>
  <c r="C12" i="63"/>
  <c r="D12" i="63"/>
  <c r="D70" i="63" s="1"/>
  <c r="E12" i="63"/>
  <c r="F12" i="63"/>
  <c r="F41" i="63" s="1"/>
  <c r="B20" i="63"/>
  <c r="B78" i="63" s="1"/>
  <c r="C20" i="63"/>
  <c r="D20" i="63"/>
  <c r="D49" i="63" s="1"/>
  <c r="E20" i="63"/>
  <c r="F20" i="63"/>
  <c r="F49" i="63" s="1"/>
  <c r="E41" i="63"/>
  <c r="E70" i="63"/>
  <c r="B172" i="97"/>
  <c r="B171" i="97"/>
  <c r="B3" i="97"/>
  <c r="B2" i="97"/>
  <c r="C41" i="63" l="1"/>
  <c r="C70" i="63"/>
  <c r="C49" i="63"/>
  <c r="C78" i="63"/>
  <c r="D78" i="63"/>
  <c r="B49" i="63"/>
  <c r="F78" i="63"/>
  <c r="B70" i="63"/>
  <c r="B283" i="97"/>
  <c r="B290" i="97" s="1"/>
  <c r="B282" i="97"/>
  <c r="B289" i="97" s="1"/>
  <c r="R20" i="63"/>
  <c r="R12" i="63"/>
  <c r="E49" i="63"/>
  <c r="F70" i="63"/>
  <c r="E78" i="63"/>
  <c r="D41" i="63"/>
  <c r="B87" i="36" l="1"/>
  <c r="C87" i="36"/>
  <c r="D87" i="36"/>
  <c r="E87" i="36"/>
  <c r="F87" i="36"/>
  <c r="H102" i="36"/>
  <c r="H103" i="36"/>
  <c r="F108" i="36"/>
  <c r="F111" i="36"/>
  <c r="F114" i="36"/>
  <c r="B117" i="36"/>
  <c r="B119" i="36"/>
  <c r="C119" i="36"/>
  <c r="D119" i="36"/>
  <c r="E119" i="36"/>
  <c r="F119" i="36"/>
  <c r="B120" i="36"/>
  <c r="D120" i="36"/>
  <c r="E120" i="36"/>
  <c r="F120" i="36"/>
  <c r="B121" i="36"/>
  <c r="D121" i="36"/>
  <c r="E121" i="36"/>
  <c r="F121" i="36"/>
  <c r="B122" i="36"/>
  <c r="D122" i="36"/>
  <c r="E122" i="36"/>
  <c r="B123" i="36"/>
  <c r="E123" i="36"/>
  <c r="F123" i="36"/>
  <c r="G123" i="36"/>
  <c r="H123" i="36"/>
  <c r="G106" i="42"/>
  <c r="H106" i="42"/>
  <c r="I106" i="42"/>
  <c r="J106" i="42"/>
  <c r="K106" i="42"/>
  <c r="L106" i="42"/>
  <c r="M106" i="42"/>
  <c r="N106" i="42"/>
  <c r="O106" i="42"/>
  <c r="P106" i="42"/>
  <c r="C144" i="42"/>
  <c r="D144" i="42"/>
  <c r="E144" i="42"/>
  <c r="F144" i="42"/>
  <c r="B232" i="42"/>
  <c r="C107" i="42"/>
  <c r="C187" i="42" s="1"/>
  <c r="C228" i="42" s="1"/>
  <c r="C108" i="42"/>
  <c r="C188" i="42" s="1"/>
  <c r="C229" i="42" s="1"/>
  <c r="C109" i="42"/>
  <c r="C189" i="42" s="1"/>
  <c r="C230" i="42" s="1"/>
  <c r="C110" i="42"/>
  <c r="C190" i="42" s="1"/>
  <c r="C231" i="42" s="1"/>
  <c r="B74" i="42"/>
  <c r="B236" i="42" s="1"/>
  <c r="C74" i="42"/>
  <c r="D74" i="42"/>
  <c r="D236" i="42" s="1"/>
  <c r="E74" i="42"/>
  <c r="E106" i="42" s="1"/>
  <c r="F74" i="42"/>
  <c r="F236" i="42" s="1"/>
  <c r="C8" i="64"/>
  <c r="C15" i="64" s="1"/>
  <c r="C9" i="64"/>
  <c r="C16" i="64" s="1"/>
  <c r="C8" i="63"/>
  <c r="C9" i="63"/>
  <c r="C10" i="63"/>
  <c r="C11" i="63"/>
  <c r="C13" i="63"/>
  <c r="C14" i="63"/>
  <c r="C15" i="63"/>
  <c r="C16" i="63"/>
  <c r="C17" i="63"/>
  <c r="C18" i="63"/>
  <c r="C19" i="63"/>
  <c r="C21" i="63"/>
  <c r="C22" i="63"/>
  <c r="C23" i="63"/>
  <c r="C24" i="63"/>
  <c r="C25" i="63"/>
  <c r="B7" i="63"/>
  <c r="B65" i="63" s="1"/>
  <c r="C7" i="63"/>
  <c r="C86" i="63" s="1"/>
  <c r="D7" i="63"/>
  <c r="D36" i="63" s="1"/>
  <c r="E7" i="63"/>
  <c r="E7" i="64" s="1"/>
  <c r="F7" i="63"/>
  <c r="F65" i="63" s="1"/>
  <c r="B39" i="36"/>
  <c r="C39" i="36"/>
  <c r="D39" i="36"/>
  <c r="E39" i="36"/>
  <c r="F39" i="36"/>
  <c r="C80" i="36"/>
  <c r="C81" i="36"/>
  <c r="C82" i="36"/>
  <c r="C83" i="36"/>
  <c r="C79" i="36"/>
  <c r="D79" i="36"/>
  <c r="C47" i="36"/>
  <c r="C8" i="36"/>
  <c r="C9" i="36"/>
  <c r="C89" i="36" s="1"/>
  <c r="C10" i="36"/>
  <c r="C90" i="36" s="1"/>
  <c r="C11" i="36"/>
  <c r="C91" i="36" s="1"/>
  <c r="C12" i="36"/>
  <c r="C13" i="36"/>
  <c r="C93" i="36" s="1"/>
  <c r="C14" i="36"/>
  <c r="C94" i="36" s="1"/>
  <c r="C15" i="36"/>
  <c r="C95" i="36" s="1"/>
  <c r="C16" i="36"/>
  <c r="C96" i="36" s="1"/>
  <c r="C17" i="36"/>
  <c r="C97" i="36" s="1"/>
  <c r="C18" i="36"/>
  <c r="C19" i="36"/>
  <c r="C99" i="36" s="1"/>
  <c r="C20" i="36"/>
  <c r="C100" i="36" s="1"/>
  <c r="C21" i="36"/>
  <c r="C22" i="36"/>
  <c r="C102" i="36" s="1"/>
  <c r="C23" i="36"/>
  <c r="C103" i="36" s="1"/>
  <c r="C24" i="36"/>
  <c r="C104" i="36" s="1"/>
  <c r="C25" i="36"/>
  <c r="C26" i="36"/>
  <c r="C106" i="36" s="1"/>
  <c r="C27" i="36"/>
  <c r="C107" i="36" s="1"/>
  <c r="C28" i="36"/>
  <c r="C68" i="36" s="1"/>
  <c r="C29" i="36"/>
  <c r="C69" i="36" s="1"/>
  <c r="C30" i="36"/>
  <c r="C70" i="36" s="1"/>
  <c r="C31" i="36"/>
  <c r="C71" i="36" s="1"/>
  <c r="C32" i="36"/>
  <c r="C72" i="36" s="1"/>
  <c r="C33" i="36"/>
  <c r="C73" i="36" s="1"/>
  <c r="C34" i="36"/>
  <c r="C74" i="36" s="1"/>
  <c r="C35" i="36"/>
  <c r="C75" i="36" s="1"/>
  <c r="C36" i="36"/>
  <c r="C76" i="36" s="1"/>
  <c r="C52" i="63" l="1"/>
  <c r="C81" i="63"/>
  <c r="C43" i="63"/>
  <c r="C72" i="63"/>
  <c r="C51" i="63"/>
  <c r="C80" i="63"/>
  <c r="C46" i="63"/>
  <c r="C75" i="63"/>
  <c r="C42" i="63"/>
  <c r="C71" i="63"/>
  <c r="C37" i="63"/>
  <c r="C66" i="63"/>
  <c r="C47" i="63"/>
  <c r="C76" i="63"/>
  <c r="C54" i="63"/>
  <c r="C83" i="63"/>
  <c r="C50" i="63"/>
  <c r="C79" i="63"/>
  <c r="C45" i="63"/>
  <c r="C74" i="63"/>
  <c r="C40" i="63"/>
  <c r="C69" i="63"/>
  <c r="C38" i="63"/>
  <c r="C67" i="63"/>
  <c r="C53" i="63"/>
  <c r="C82" i="63"/>
  <c r="C48" i="63"/>
  <c r="C77" i="63"/>
  <c r="C44" i="63"/>
  <c r="C73" i="63"/>
  <c r="C39" i="63"/>
  <c r="C68" i="63"/>
  <c r="C21" i="64"/>
  <c r="C22" i="64"/>
  <c r="C28" i="63"/>
  <c r="C92" i="42"/>
  <c r="C132" i="42" s="1"/>
  <c r="C105" i="36"/>
  <c r="C88" i="42"/>
  <c r="C128" i="42" s="1"/>
  <c r="C101" i="36"/>
  <c r="C85" i="42"/>
  <c r="C125" i="42" s="1"/>
  <c r="C98" i="36"/>
  <c r="C79" i="42"/>
  <c r="C119" i="42" s="1"/>
  <c r="C92" i="36"/>
  <c r="C75" i="42"/>
  <c r="C115" i="42" s="1"/>
  <c r="C88" i="36"/>
  <c r="E28" i="63"/>
  <c r="E20" i="64"/>
  <c r="E14" i="64"/>
  <c r="C65" i="36"/>
  <c r="C61" i="36"/>
  <c r="C58" i="36"/>
  <c r="C52" i="36"/>
  <c r="C48" i="36"/>
  <c r="F28" i="63"/>
  <c r="B28" i="63"/>
  <c r="C36" i="63"/>
  <c r="D57" i="63"/>
  <c r="E65" i="63"/>
  <c r="F86" i="63"/>
  <c r="B86" i="63"/>
  <c r="D7" i="64"/>
  <c r="C94" i="42"/>
  <c r="C134" i="42" s="1"/>
  <c r="C91" i="42"/>
  <c r="C131" i="42" s="1"/>
  <c r="C84" i="42"/>
  <c r="C124" i="42" s="1"/>
  <c r="C78" i="42"/>
  <c r="C118" i="42" s="1"/>
  <c r="E114" i="42"/>
  <c r="E146" i="42" s="1"/>
  <c r="C227" i="42"/>
  <c r="D186" i="42"/>
  <c r="C67" i="36"/>
  <c r="C64" i="36"/>
  <c r="C57" i="36"/>
  <c r="C51" i="36"/>
  <c r="F36" i="63"/>
  <c r="B36" i="63"/>
  <c r="C57" i="63"/>
  <c r="D65" i="63"/>
  <c r="E86" i="63"/>
  <c r="C7" i="64"/>
  <c r="C90" i="42"/>
  <c r="C130" i="42" s="1"/>
  <c r="C87" i="42"/>
  <c r="C127" i="42" s="1"/>
  <c r="C83" i="42"/>
  <c r="C123" i="42" s="1"/>
  <c r="C81" i="42"/>
  <c r="C121" i="42" s="1"/>
  <c r="C77" i="42"/>
  <c r="C117" i="42" s="1"/>
  <c r="D114" i="42"/>
  <c r="D146" i="42" s="1"/>
  <c r="E236" i="42"/>
  <c r="F227" i="42"/>
  <c r="B227" i="42"/>
  <c r="C186" i="42"/>
  <c r="C63" i="36"/>
  <c r="C60" i="36"/>
  <c r="C56" i="36"/>
  <c r="C54" i="36"/>
  <c r="C50" i="36"/>
  <c r="D28" i="63"/>
  <c r="E36" i="63"/>
  <c r="F57" i="63"/>
  <c r="B57" i="63"/>
  <c r="C65" i="63"/>
  <c r="D86" i="63"/>
  <c r="F7" i="64"/>
  <c r="B7" i="64"/>
  <c r="C93" i="42"/>
  <c r="C133" i="42" s="1"/>
  <c r="C89" i="42"/>
  <c r="C129" i="42" s="1"/>
  <c r="C86" i="42"/>
  <c r="C126" i="42" s="1"/>
  <c r="C82" i="42"/>
  <c r="C122" i="42" s="1"/>
  <c r="C80" i="42"/>
  <c r="C120" i="42" s="1"/>
  <c r="C76" i="42"/>
  <c r="C116" i="42" s="1"/>
  <c r="C114" i="42"/>
  <c r="C146" i="42" s="1"/>
  <c r="E227" i="42"/>
  <c r="F186" i="42"/>
  <c r="B186" i="42"/>
  <c r="C66" i="36"/>
  <c r="C62" i="36"/>
  <c r="C59" i="36"/>
  <c r="C55" i="36"/>
  <c r="C53" i="36"/>
  <c r="C49" i="36"/>
  <c r="E57" i="63"/>
  <c r="F114" i="42"/>
  <c r="F146" i="42" s="1"/>
  <c r="B114" i="42"/>
  <c r="B146" i="42" s="1"/>
  <c r="C236" i="42"/>
  <c r="D227" i="42"/>
  <c r="E186" i="42"/>
  <c r="C151" i="42"/>
  <c r="C148" i="42"/>
  <c r="C150" i="42"/>
  <c r="C147" i="42"/>
  <c r="C149" i="42"/>
  <c r="C195" i="42"/>
  <c r="C154" i="42"/>
  <c r="F151" i="42"/>
  <c r="E151" i="42"/>
  <c r="D151" i="42"/>
  <c r="D106" i="42"/>
  <c r="C106" i="42"/>
  <c r="F106" i="42"/>
  <c r="B106" i="42"/>
  <c r="C163" i="42" l="1"/>
  <c r="C205" i="42"/>
  <c r="C246" i="42" s="1"/>
  <c r="C204" i="42"/>
  <c r="C245" i="42" s="1"/>
  <c r="C164" i="42"/>
  <c r="C158" i="42"/>
  <c r="C199" i="42"/>
  <c r="C240" i="42" s="1"/>
  <c r="C160" i="42"/>
  <c r="C171" i="42"/>
  <c r="C212" i="42"/>
  <c r="C253" i="42" s="1"/>
  <c r="C215" i="42"/>
  <c r="C256" i="42" s="1"/>
  <c r="C169" i="42"/>
  <c r="C167" i="42"/>
  <c r="C174" i="42"/>
  <c r="C155" i="42"/>
  <c r="C196" i="42"/>
  <c r="C237" i="42" s="1"/>
  <c r="C202" i="42"/>
  <c r="C243" i="42" s="1"/>
  <c r="C168" i="42"/>
  <c r="C209" i="42"/>
  <c r="C250" i="42" s="1"/>
  <c r="C208" i="42"/>
  <c r="C249" i="42" s="1"/>
  <c r="C173" i="42"/>
  <c r="C198" i="42"/>
  <c r="C239" i="42" s="1"/>
  <c r="C211" i="42"/>
  <c r="C252" i="42" s="1"/>
  <c r="C156" i="42"/>
  <c r="C197" i="42"/>
  <c r="C238" i="42" s="1"/>
  <c r="C210" i="42"/>
  <c r="C251" i="42" s="1"/>
  <c r="C172" i="42"/>
  <c r="C159" i="42"/>
  <c r="C206" i="42"/>
  <c r="C247" i="42" s="1"/>
  <c r="C157" i="42"/>
  <c r="C165" i="42"/>
  <c r="C200" i="42"/>
  <c r="C241" i="42" s="1"/>
  <c r="C213" i="42"/>
  <c r="C254" i="42" s="1"/>
  <c r="C162" i="42"/>
  <c r="C203" i="42"/>
  <c r="C244" i="42" s="1"/>
  <c r="C170" i="42"/>
  <c r="C166" i="42"/>
  <c r="C161" i="42"/>
  <c r="C207" i="42"/>
  <c r="C248" i="42" s="1"/>
  <c r="F14" i="64"/>
  <c r="F20" i="64"/>
  <c r="D20" i="64"/>
  <c r="D14" i="64"/>
  <c r="C201" i="42"/>
  <c r="C242" i="42" s="1"/>
  <c r="C214" i="42"/>
  <c r="C255" i="42" s="1"/>
  <c r="C20" i="64"/>
  <c r="C14" i="64"/>
  <c r="B20" i="64"/>
  <c r="B14" i="64"/>
  <c r="C225" i="42"/>
  <c r="C191" i="42"/>
  <c r="C232" i="42" s="1"/>
  <c r="C184" i="42"/>
  <c r="D225" i="42"/>
  <c r="D191" i="42"/>
  <c r="D232" i="42" s="1"/>
  <c r="D184" i="42"/>
  <c r="E225" i="42"/>
  <c r="E191" i="42"/>
  <c r="E232" i="42" s="1"/>
  <c r="E184" i="42"/>
  <c r="F225" i="42"/>
  <c r="F191" i="42"/>
  <c r="F232" i="42" s="1"/>
  <c r="F184" i="42"/>
  <c r="F95" i="42" l="1"/>
  <c r="F135" i="42" s="1"/>
  <c r="F138" i="42"/>
  <c r="F101" i="42"/>
  <c r="F141" i="42" s="1"/>
  <c r="B28" i="36"/>
  <c r="D28" i="36"/>
  <c r="E28" i="36"/>
  <c r="B31" i="36"/>
  <c r="B98" i="42" s="1"/>
  <c r="D31" i="36"/>
  <c r="D98" i="42" s="1"/>
  <c r="E31" i="36"/>
  <c r="E98" i="42" s="1"/>
  <c r="B34" i="36"/>
  <c r="D34" i="36"/>
  <c r="E34" i="36"/>
  <c r="B101" i="42" l="1"/>
  <c r="B141" i="42" s="1"/>
  <c r="B114" i="36"/>
  <c r="D95" i="42"/>
  <c r="D135" i="42" s="1"/>
  <c r="D108" i="36"/>
  <c r="E138" i="42"/>
  <c r="E111" i="36"/>
  <c r="E101" i="42"/>
  <c r="E222" i="42" s="1"/>
  <c r="E263" i="42" s="1"/>
  <c r="E114" i="36"/>
  <c r="D138" i="42"/>
  <c r="D111" i="36"/>
  <c r="B95" i="42"/>
  <c r="B135" i="42" s="1"/>
  <c r="B108" i="36"/>
  <c r="D101" i="42"/>
  <c r="D141" i="42" s="1"/>
  <c r="D114" i="36"/>
  <c r="B138" i="42"/>
  <c r="B111" i="36"/>
  <c r="E95" i="42"/>
  <c r="E135" i="42" s="1"/>
  <c r="E108" i="36"/>
  <c r="F222" i="42"/>
  <c r="F263" i="42" s="1"/>
  <c r="F219" i="42"/>
  <c r="F260" i="42" s="1"/>
  <c r="F216" i="42"/>
  <c r="F257" i="42" s="1"/>
  <c r="F181" i="42"/>
  <c r="F178" i="42"/>
  <c r="F175" i="42"/>
  <c r="H40" i="52"/>
  <c r="H43" i="52"/>
  <c r="H46" i="52"/>
  <c r="D216" i="42" l="1"/>
  <c r="D257" i="42" s="1"/>
  <c r="R28" i="36"/>
  <c r="R34" i="36"/>
  <c r="R31" i="36"/>
  <c r="D175" i="42"/>
  <c r="B181" i="42"/>
  <c r="E141" i="42"/>
  <c r="D222" i="42"/>
  <c r="D263" i="42" s="1"/>
  <c r="D178" i="42"/>
  <c r="E181" i="42"/>
  <c r="B178" i="42"/>
  <c r="E175" i="42"/>
  <c r="B216" i="42"/>
  <c r="B257" i="42" s="1"/>
  <c r="D219" i="42"/>
  <c r="D260" i="42" s="1"/>
  <c r="E178" i="42"/>
  <c r="E219" i="42"/>
  <c r="E260" i="42" s="1"/>
  <c r="B222" i="42"/>
  <c r="B263" i="42" s="1"/>
  <c r="D181" i="42"/>
  <c r="B175" i="42"/>
  <c r="B219" i="42"/>
  <c r="B260" i="42" s="1"/>
  <c r="E216" i="42"/>
  <c r="E257" i="42" s="1"/>
  <c r="H43" i="36"/>
  <c r="G43" i="36"/>
  <c r="B68" i="36"/>
  <c r="D68" i="36"/>
  <c r="E68" i="36"/>
  <c r="F68" i="36"/>
  <c r="E71" i="36"/>
  <c r="F71" i="36"/>
  <c r="E74" i="36"/>
  <c r="F74" i="36"/>
  <c r="N114" i="36"/>
  <c r="M114" i="36"/>
  <c r="L114" i="36"/>
  <c r="K114" i="36"/>
  <c r="J114" i="36"/>
  <c r="L111" i="36"/>
  <c r="K111" i="36"/>
  <c r="J111" i="36"/>
  <c r="N108" i="36"/>
  <c r="M108" i="36"/>
  <c r="L108" i="36"/>
  <c r="K108" i="36"/>
  <c r="J108" i="36"/>
  <c r="I114" i="36"/>
  <c r="I111" i="36"/>
  <c r="I108" i="36"/>
  <c r="B71" i="36"/>
  <c r="B74" i="36"/>
  <c r="D74" i="36"/>
  <c r="D71" i="36"/>
  <c r="B29" i="36"/>
  <c r="B109" i="36" s="1"/>
  <c r="D29" i="36"/>
  <c r="D109" i="36" s="1"/>
  <c r="R44" i="36"/>
  <c r="B3" i="93" l="1"/>
  <c r="O108" i="36" l="1"/>
  <c r="H82" i="63" l="1"/>
  <c r="G82" i="63"/>
  <c r="H81" i="63"/>
  <c r="G81" i="63"/>
  <c r="C122" i="97" s="1"/>
  <c r="I25" i="63"/>
  <c r="I83" i="63" s="1"/>
  <c r="E125" i="97" s="1"/>
  <c r="I24" i="63"/>
  <c r="I82" i="63" s="1"/>
  <c r="I23" i="63"/>
  <c r="B25" i="63"/>
  <c r="B83" i="63" s="1"/>
  <c r="D25" i="63"/>
  <c r="D83" i="63" s="1"/>
  <c r="E25" i="63"/>
  <c r="F25" i="63"/>
  <c r="B23" i="63"/>
  <c r="B52" i="63" s="1"/>
  <c r="D23" i="63"/>
  <c r="D52" i="63" s="1"/>
  <c r="E23" i="63"/>
  <c r="E52" i="63" s="1"/>
  <c r="F23" i="63"/>
  <c r="F52" i="63" s="1"/>
  <c r="B24" i="63"/>
  <c r="B53" i="63" s="1"/>
  <c r="D24" i="63"/>
  <c r="D82" i="63" s="1"/>
  <c r="E24" i="63"/>
  <c r="F24" i="63"/>
  <c r="F53" i="63" s="1"/>
  <c r="B25" i="36"/>
  <c r="D25" i="36"/>
  <c r="D105" i="36" s="1"/>
  <c r="E25" i="36"/>
  <c r="E105" i="36" s="1"/>
  <c r="F25" i="36"/>
  <c r="F105" i="36" s="1"/>
  <c r="B26" i="36"/>
  <c r="D26" i="36"/>
  <c r="D106" i="36" s="1"/>
  <c r="E26" i="36"/>
  <c r="E106" i="36" s="1"/>
  <c r="F26" i="36"/>
  <c r="F106" i="36" s="1"/>
  <c r="J106" i="36"/>
  <c r="K106" i="36"/>
  <c r="B27" i="36"/>
  <c r="D27" i="36"/>
  <c r="D107" i="36" s="1"/>
  <c r="E27" i="36"/>
  <c r="E107" i="36" s="1"/>
  <c r="F27" i="36"/>
  <c r="F107" i="36" s="1"/>
  <c r="M111" i="36"/>
  <c r="I81" i="63" l="1"/>
  <c r="E85" i="97"/>
  <c r="E122" i="97"/>
  <c r="D122" i="97"/>
  <c r="K107" i="36"/>
  <c r="G254" i="42"/>
  <c r="J107" i="36"/>
  <c r="H255" i="42"/>
  <c r="L107" i="36"/>
  <c r="B66" i="36"/>
  <c r="B106" i="36"/>
  <c r="B65" i="36"/>
  <c r="B105" i="36"/>
  <c r="B67" i="36"/>
  <c r="B107" i="36"/>
  <c r="H150" i="42"/>
  <c r="H54" i="42"/>
  <c r="H231" i="42"/>
  <c r="H55" i="42"/>
  <c r="G54" i="42"/>
  <c r="G150" i="42"/>
  <c r="G231" i="42"/>
  <c r="G55" i="42"/>
  <c r="I150" i="42"/>
  <c r="I54" i="42"/>
  <c r="D93" i="42"/>
  <c r="D133" i="42" s="1"/>
  <c r="D53" i="63"/>
  <c r="E81" i="63"/>
  <c r="D54" i="63"/>
  <c r="B94" i="42"/>
  <c r="B134" i="42" s="1"/>
  <c r="E67" i="36"/>
  <c r="E94" i="42"/>
  <c r="E174" i="42" s="1"/>
  <c r="D67" i="36"/>
  <c r="D94" i="42"/>
  <c r="D174" i="42" s="1"/>
  <c r="F66" i="36"/>
  <c r="F93" i="42"/>
  <c r="F173" i="42" s="1"/>
  <c r="F83" i="63"/>
  <c r="F54" i="63"/>
  <c r="F81" i="63"/>
  <c r="B82" i="63"/>
  <c r="B54" i="63"/>
  <c r="B93" i="42"/>
  <c r="B173" i="42" s="1"/>
  <c r="E66" i="36"/>
  <c r="E93" i="42"/>
  <c r="E173" i="42" s="1"/>
  <c r="F92" i="42"/>
  <c r="F172" i="42" s="1"/>
  <c r="E53" i="63"/>
  <c r="E82" i="63"/>
  <c r="E54" i="63"/>
  <c r="E83" i="63"/>
  <c r="B81" i="63"/>
  <c r="D92" i="42"/>
  <c r="D172" i="42" s="1"/>
  <c r="F67" i="36"/>
  <c r="F94" i="42"/>
  <c r="E65" i="36"/>
  <c r="E92" i="42"/>
  <c r="E172" i="42" s="1"/>
  <c r="R24" i="63"/>
  <c r="R23" i="63"/>
  <c r="D81" i="63"/>
  <c r="F82" i="63"/>
  <c r="B92" i="42"/>
  <c r="B172" i="42" s="1"/>
  <c r="G255" i="42"/>
  <c r="R25" i="63"/>
  <c r="D65" i="36"/>
  <c r="F65" i="36"/>
  <c r="R27" i="36"/>
  <c r="R26" i="36"/>
  <c r="R25" i="36"/>
  <c r="D66" i="36"/>
  <c r="D214" i="42" l="1"/>
  <c r="D255" i="42" s="1"/>
  <c r="D173" i="42"/>
  <c r="B174" i="42"/>
  <c r="B215" i="42"/>
  <c r="B256" i="42" s="1"/>
  <c r="B133" i="42"/>
  <c r="B214" i="42"/>
  <c r="B255" i="42" s="1"/>
  <c r="F133" i="42"/>
  <c r="F214" i="42"/>
  <c r="F255" i="42" s="1"/>
  <c r="F134" i="42"/>
  <c r="F215" i="42"/>
  <c r="F256" i="42" s="1"/>
  <c r="D132" i="42"/>
  <c r="D213" i="42"/>
  <c r="D254" i="42" s="1"/>
  <c r="F132" i="42"/>
  <c r="F213" i="42"/>
  <c r="F254" i="42" s="1"/>
  <c r="E134" i="42"/>
  <c r="E215" i="42"/>
  <c r="E256" i="42" s="1"/>
  <c r="F174" i="42"/>
  <c r="B132" i="42"/>
  <c r="B213" i="42"/>
  <c r="B254" i="42" s="1"/>
  <c r="E132" i="42"/>
  <c r="E213" i="42"/>
  <c r="E254" i="42" s="1"/>
  <c r="D134" i="42"/>
  <c r="D215" i="42"/>
  <c r="D256" i="42" s="1"/>
  <c r="E133" i="42"/>
  <c r="E214" i="42"/>
  <c r="E255" i="42" s="1"/>
  <c r="I254" i="42"/>
  <c r="I255" i="42"/>
  <c r="H254" i="42"/>
  <c r="I190" i="42" l="1"/>
  <c r="I56" i="42"/>
  <c r="H190" i="42"/>
  <c r="H56" i="42"/>
  <c r="G190" i="42"/>
  <c r="G56" i="42"/>
  <c r="G256" i="42" l="1"/>
  <c r="H256" i="42"/>
  <c r="B107" i="42" l="1"/>
  <c r="D107" i="42"/>
  <c r="E107" i="42"/>
  <c r="F107" i="42"/>
  <c r="B108" i="42"/>
  <c r="D108" i="42"/>
  <c r="E108" i="42"/>
  <c r="F108" i="42"/>
  <c r="B109" i="42"/>
  <c r="D109" i="42"/>
  <c r="E109" i="42"/>
  <c r="F109" i="42"/>
  <c r="B110" i="42"/>
  <c r="D110" i="42"/>
  <c r="E110" i="42"/>
  <c r="F110" i="42"/>
  <c r="B80" i="36"/>
  <c r="D80" i="36"/>
  <c r="E80" i="36"/>
  <c r="F80" i="36"/>
  <c r="B81" i="36"/>
  <c r="D81" i="36"/>
  <c r="E81" i="36"/>
  <c r="F81" i="36"/>
  <c r="B82" i="36"/>
  <c r="D82" i="36"/>
  <c r="E82" i="36"/>
  <c r="F82" i="36"/>
  <c r="B83" i="36"/>
  <c r="D83" i="36"/>
  <c r="E83" i="36"/>
  <c r="F83" i="36"/>
  <c r="E29" i="36"/>
  <c r="E109" i="36" s="1"/>
  <c r="F29" i="36"/>
  <c r="F109" i="36" s="1"/>
  <c r="B30" i="36"/>
  <c r="B110" i="36" s="1"/>
  <c r="D30" i="36"/>
  <c r="D110" i="36" s="1"/>
  <c r="E30" i="36"/>
  <c r="E110" i="36" s="1"/>
  <c r="F30" i="36"/>
  <c r="F110" i="36" s="1"/>
  <c r="B32" i="36"/>
  <c r="D32" i="36"/>
  <c r="E32" i="36"/>
  <c r="F32" i="36"/>
  <c r="B33" i="36"/>
  <c r="D33" i="36"/>
  <c r="E33" i="36"/>
  <c r="F33" i="36"/>
  <c r="B35" i="36"/>
  <c r="B115" i="36" s="1"/>
  <c r="D35" i="36"/>
  <c r="D115" i="36" s="1"/>
  <c r="E35" i="36"/>
  <c r="E115" i="36" s="1"/>
  <c r="F35" i="36"/>
  <c r="F115" i="36" s="1"/>
  <c r="B36" i="36"/>
  <c r="B116" i="36" s="1"/>
  <c r="D36" i="36"/>
  <c r="D116" i="36" s="1"/>
  <c r="E36" i="36"/>
  <c r="E116" i="36" s="1"/>
  <c r="F36" i="36"/>
  <c r="F116" i="36" s="1"/>
  <c r="H42" i="52"/>
  <c r="H44" i="52"/>
  <c r="H45" i="52"/>
  <c r="H47" i="52"/>
  <c r="H48" i="52"/>
  <c r="H41" i="52"/>
  <c r="H20" i="52"/>
  <c r="B113" i="36" l="1"/>
  <c r="B100" i="42"/>
  <c r="B112" i="36"/>
  <c r="B99" i="42"/>
  <c r="F113" i="36"/>
  <c r="F100" i="42"/>
  <c r="F112" i="36"/>
  <c r="F99" i="42"/>
  <c r="E113" i="36"/>
  <c r="E100" i="42"/>
  <c r="E112" i="36"/>
  <c r="E99" i="42"/>
  <c r="D113" i="36"/>
  <c r="D100" i="42"/>
  <c r="D112" i="36"/>
  <c r="D99" i="42"/>
  <c r="B73" i="36"/>
  <c r="B72" i="36"/>
  <c r="F73" i="36"/>
  <c r="F72" i="36"/>
  <c r="E73" i="36"/>
  <c r="E72" i="36"/>
  <c r="D73" i="36"/>
  <c r="D72" i="36"/>
  <c r="R33" i="36"/>
  <c r="R29" i="36"/>
  <c r="R32" i="36"/>
  <c r="R36" i="36"/>
  <c r="R30" i="36"/>
  <c r="R35" i="36"/>
  <c r="B150" i="42"/>
  <c r="B190" i="42"/>
  <c r="B231" i="42" s="1"/>
  <c r="B149" i="42"/>
  <c r="B189" i="42"/>
  <c r="B230" i="42" s="1"/>
  <c r="B148" i="42"/>
  <c r="B188" i="42"/>
  <c r="B229" i="42" s="1"/>
  <c r="B147" i="42"/>
  <c r="B187" i="42"/>
  <c r="B228" i="42" s="1"/>
  <c r="F150" i="42"/>
  <c r="F190" i="42"/>
  <c r="F231" i="42" s="1"/>
  <c r="F149" i="42"/>
  <c r="F189" i="42"/>
  <c r="F230" i="42" s="1"/>
  <c r="F148" i="42"/>
  <c r="F188" i="42"/>
  <c r="F229" i="42" s="1"/>
  <c r="F147" i="42"/>
  <c r="F187" i="42"/>
  <c r="F228" i="42" s="1"/>
  <c r="E150" i="42"/>
  <c r="E190" i="42"/>
  <c r="E231" i="42" s="1"/>
  <c r="E149" i="42"/>
  <c r="E189" i="42"/>
  <c r="E230" i="42" s="1"/>
  <c r="E148" i="42"/>
  <c r="E188" i="42"/>
  <c r="E229" i="42" s="1"/>
  <c r="E147" i="42"/>
  <c r="E187" i="42"/>
  <c r="E228" i="42" s="1"/>
  <c r="D150" i="42"/>
  <c r="D190" i="42"/>
  <c r="D231" i="42" s="1"/>
  <c r="D149" i="42"/>
  <c r="D189" i="42"/>
  <c r="D230" i="42" s="1"/>
  <c r="D148" i="42"/>
  <c r="D188" i="42"/>
  <c r="D229" i="42" s="1"/>
  <c r="D147" i="42"/>
  <c r="D187" i="42"/>
  <c r="D228" i="42" s="1"/>
  <c r="I256" i="42"/>
  <c r="B76" i="36"/>
  <c r="B75" i="36"/>
  <c r="B70" i="36"/>
  <c r="B69" i="36"/>
  <c r="B103" i="42"/>
  <c r="B183" i="42" s="1"/>
  <c r="B102" i="42"/>
  <c r="B97" i="42"/>
  <c r="B96" i="42"/>
  <c r="D76" i="36"/>
  <c r="D69" i="36"/>
  <c r="D102" i="42"/>
  <c r="D97" i="42"/>
  <c r="F76" i="36"/>
  <c r="F75" i="36"/>
  <c r="F70" i="36"/>
  <c r="F69" i="36"/>
  <c r="F103" i="42"/>
  <c r="F183" i="42" s="1"/>
  <c r="F102" i="42"/>
  <c r="F97" i="42"/>
  <c r="F96" i="42"/>
  <c r="D75" i="36"/>
  <c r="D70" i="36"/>
  <c r="D103" i="42"/>
  <c r="D183" i="42" s="1"/>
  <c r="D96" i="42"/>
  <c r="E76" i="36"/>
  <c r="E75" i="36"/>
  <c r="E70" i="36"/>
  <c r="E69" i="36"/>
  <c r="E103" i="42"/>
  <c r="E183" i="42" s="1"/>
  <c r="E102" i="42"/>
  <c r="E97" i="42"/>
  <c r="E96" i="42"/>
  <c r="E137" i="42" l="1"/>
  <c r="E177" i="42"/>
  <c r="E218" i="42"/>
  <c r="E259" i="42" s="1"/>
  <c r="F139" i="42"/>
  <c r="F179" i="42"/>
  <c r="F220" i="42"/>
  <c r="F261" i="42" s="1"/>
  <c r="D137" i="42"/>
  <c r="D177" i="42"/>
  <c r="D218" i="42"/>
  <c r="D259" i="42" s="1"/>
  <c r="B140" i="42"/>
  <c r="B180" i="42"/>
  <c r="B221" i="42"/>
  <c r="B262" i="42" s="1"/>
  <c r="E139" i="42"/>
  <c r="E179" i="42"/>
  <c r="E220" i="42"/>
  <c r="E261" i="42" s="1"/>
  <c r="D136" i="42"/>
  <c r="D176" i="42"/>
  <c r="D217" i="42"/>
  <c r="D258" i="42" s="1"/>
  <c r="F140" i="42"/>
  <c r="F180" i="42"/>
  <c r="F221" i="42"/>
  <c r="F262" i="42" s="1"/>
  <c r="D139" i="42"/>
  <c r="D179" i="42"/>
  <c r="D220" i="42"/>
  <c r="D261" i="42" s="1"/>
  <c r="B136" i="42"/>
  <c r="B176" i="42"/>
  <c r="B217" i="42"/>
  <c r="B258" i="42" s="1"/>
  <c r="B182" i="42"/>
  <c r="B142" i="42"/>
  <c r="E140" i="42"/>
  <c r="E221" i="42"/>
  <c r="E262" i="42" s="1"/>
  <c r="E180" i="42"/>
  <c r="D140" i="42"/>
  <c r="D180" i="42"/>
  <c r="D221" i="42"/>
  <c r="D262" i="42" s="1"/>
  <c r="F136" i="42"/>
  <c r="F176" i="42"/>
  <c r="F217" i="42"/>
  <c r="F258" i="42" s="1"/>
  <c r="F182" i="42"/>
  <c r="F142" i="42"/>
  <c r="D182" i="42"/>
  <c r="D142" i="42"/>
  <c r="B137" i="42"/>
  <c r="B177" i="42"/>
  <c r="B218" i="42"/>
  <c r="B259" i="42" s="1"/>
  <c r="E217" i="42"/>
  <c r="E258" i="42" s="1"/>
  <c r="E136" i="42"/>
  <c r="E176" i="42"/>
  <c r="E182" i="42"/>
  <c r="E142" i="42"/>
  <c r="F137" i="42"/>
  <c r="F177" i="42"/>
  <c r="F218" i="42"/>
  <c r="F259" i="42" s="1"/>
  <c r="B139" i="42"/>
  <c r="B179" i="42"/>
  <c r="B220" i="42"/>
  <c r="B261" i="42" s="1"/>
  <c r="K115" i="36"/>
  <c r="J115" i="36"/>
  <c r="L110" i="36"/>
  <c r="M110" i="36"/>
  <c r="J112" i="36"/>
  <c r="L115" i="36"/>
  <c r="L112" i="36"/>
  <c r="K112" i="36"/>
  <c r="D224" i="42"/>
  <c r="D265" i="42" s="1"/>
  <c r="F223" i="42"/>
  <c r="F264" i="42" s="1"/>
  <c r="B224" i="42"/>
  <c r="B265" i="42" s="1"/>
  <c r="J110" i="36"/>
  <c r="K110" i="36"/>
  <c r="D143" i="42"/>
  <c r="E224" i="42"/>
  <c r="E265" i="42" s="1"/>
  <c r="F224" i="42"/>
  <c r="F265" i="42" s="1"/>
  <c r="F143" i="42"/>
  <c r="D223" i="42"/>
  <c r="D264" i="42" s="1"/>
  <c r="E143" i="42"/>
  <c r="B143" i="42"/>
  <c r="E223" i="42"/>
  <c r="E264" i="42" s="1"/>
  <c r="B223" i="42"/>
  <c r="B264" i="42" s="1"/>
  <c r="K113" i="36" l="1"/>
  <c r="J113" i="36"/>
  <c r="K109" i="36"/>
  <c r="L109" i="36"/>
  <c r="J109" i="36"/>
  <c r="I112" i="36"/>
  <c r="I109" i="36"/>
  <c r="I110" i="36"/>
  <c r="I115" i="36"/>
  <c r="I116" i="36" l="1"/>
  <c r="I113" i="36"/>
  <c r="J116" i="36"/>
  <c r="J123" i="36" s="1"/>
  <c r="K116" i="36"/>
  <c r="K123" i="36" s="1"/>
  <c r="M109" i="36"/>
  <c r="I123" i="36"/>
  <c r="J43" i="36"/>
  <c r="K43" i="36"/>
  <c r="I43" i="36"/>
  <c r="I55" i="42" l="1"/>
  <c r="I231" i="42"/>
  <c r="M115" i="36" l="1"/>
  <c r="L116" i="36" l="1"/>
  <c r="M116" i="36"/>
  <c r="P93" i="36" l="1"/>
  <c r="E202" i="97" l="1"/>
  <c r="E57" i="102" l="1"/>
  <c r="R202" i="97" s="1"/>
  <c r="I103" i="36"/>
  <c r="J104" i="36"/>
  <c r="L104" i="36"/>
  <c r="N104" i="36"/>
  <c r="R10" i="36"/>
  <c r="R17" i="36"/>
  <c r="B14" i="36"/>
  <c r="B18" i="36"/>
  <c r="G99" i="36"/>
  <c r="G42" i="36"/>
  <c r="H19" i="63"/>
  <c r="H77" i="63" s="1"/>
  <c r="H42" i="36"/>
  <c r="I20" i="63"/>
  <c r="L93" i="36"/>
  <c r="M93" i="36"/>
  <c r="G20" i="63"/>
  <c r="G78" i="63" s="1"/>
  <c r="G12" i="63"/>
  <c r="H12" i="63"/>
  <c r="H98" i="36"/>
  <c r="H39" i="63"/>
  <c r="H43" i="63"/>
  <c r="G37" i="63"/>
  <c r="G41" i="63"/>
  <c r="G70" i="63" s="1"/>
  <c r="H41" i="63"/>
  <c r="B9" i="64"/>
  <c r="B16" i="64" s="1"/>
  <c r="D8" i="36"/>
  <c r="E8" i="36"/>
  <c r="E88" i="36" s="1"/>
  <c r="B8" i="36"/>
  <c r="B88" i="36" s="1"/>
  <c r="F8" i="36"/>
  <c r="F88" i="36" s="1"/>
  <c r="D9" i="36"/>
  <c r="D89" i="36" s="1"/>
  <c r="E9" i="36"/>
  <c r="B9" i="36"/>
  <c r="F9" i="36"/>
  <c r="F89" i="36" s="1"/>
  <c r="D11" i="36"/>
  <c r="D91" i="36" s="1"/>
  <c r="E11" i="36"/>
  <c r="E91" i="36" s="1"/>
  <c r="B11" i="36"/>
  <c r="F11" i="36"/>
  <c r="F91" i="36" s="1"/>
  <c r="D12" i="36"/>
  <c r="E12" i="36"/>
  <c r="B12" i="36"/>
  <c r="B92" i="36" s="1"/>
  <c r="F12" i="36"/>
  <c r="F92" i="36" s="1"/>
  <c r="D13" i="36"/>
  <c r="E13" i="36"/>
  <c r="B13" i="36"/>
  <c r="F13" i="36"/>
  <c r="F93" i="36" s="1"/>
  <c r="D14" i="36"/>
  <c r="D94" i="36" s="1"/>
  <c r="E14" i="36"/>
  <c r="F14" i="36"/>
  <c r="F94" i="36" s="1"/>
  <c r="D15" i="36"/>
  <c r="E15" i="36"/>
  <c r="B15" i="36"/>
  <c r="B95" i="36" s="1"/>
  <c r="F15" i="36"/>
  <c r="D16" i="36"/>
  <c r="E16" i="36"/>
  <c r="E96" i="36" s="1"/>
  <c r="B16" i="36"/>
  <c r="F16" i="36"/>
  <c r="F96" i="36" s="1"/>
  <c r="D18" i="36"/>
  <c r="D98" i="36" s="1"/>
  <c r="E18" i="36"/>
  <c r="F18" i="36"/>
  <c r="D19" i="36"/>
  <c r="E19" i="36"/>
  <c r="B19" i="36"/>
  <c r="F19" i="36"/>
  <c r="D20" i="36"/>
  <c r="E20" i="36"/>
  <c r="E100" i="36" s="1"/>
  <c r="B20" i="36"/>
  <c r="F20" i="36"/>
  <c r="D21" i="36"/>
  <c r="E21" i="36"/>
  <c r="B21" i="36"/>
  <c r="F21" i="36"/>
  <c r="D22" i="36"/>
  <c r="D102" i="36" s="1"/>
  <c r="E22" i="36"/>
  <c r="E102" i="36" s="1"/>
  <c r="B22" i="36"/>
  <c r="B102" i="36" s="1"/>
  <c r="F22" i="36"/>
  <c r="D23" i="36"/>
  <c r="E23" i="36"/>
  <c r="E103" i="36" s="1"/>
  <c r="B23" i="36"/>
  <c r="F23" i="36"/>
  <c r="F103" i="36" s="1"/>
  <c r="D24" i="36"/>
  <c r="D104" i="36" s="1"/>
  <c r="E24" i="36"/>
  <c r="E104" i="36" s="1"/>
  <c r="B24" i="36"/>
  <c r="B104" i="36" s="1"/>
  <c r="F24" i="36"/>
  <c r="B17" i="36"/>
  <c r="B97" i="36" s="1"/>
  <c r="B9" i="42"/>
  <c r="B10" i="42"/>
  <c r="B11" i="42"/>
  <c r="H49" i="63"/>
  <c r="B10" i="63"/>
  <c r="D10" i="63"/>
  <c r="D39" i="63" s="1"/>
  <c r="E10" i="63"/>
  <c r="E39" i="63" s="1"/>
  <c r="F10" i="63"/>
  <c r="F68" i="63" s="1"/>
  <c r="B10" i="36"/>
  <c r="D10" i="36"/>
  <c r="E10" i="36"/>
  <c r="F10" i="36"/>
  <c r="F90" i="36" s="1"/>
  <c r="B17" i="63"/>
  <c r="B75" i="63" s="1"/>
  <c r="D17" i="63"/>
  <c r="D75" i="63" s="1"/>
  <c r="E17" i="63"/>
  <c r="E46" i="63" s="1"/>
  <c r="F17" i="63"/>
  <c r="F75" i="63" s="1"/>
  <c r="D17" i="36"/>
  <c r="E17" i="36"/>
  <c r="E97" i="36" s="1"/>
  <c r="F17" i="36"/>
  <c r="B18" i="63"/>
  <c r="B76" i="63" s="1"/>
  <c r="D18" i="63"/>
  <c r="D76" i="63" s="1"/>
  <c r="E18" i="63"/>
  <c r="E76" i="63" s="1"/>
  <c r="F18" i="63"/>
  <c r="F47" i="63" s="1"/>
  <c r="H30" i="52"/>
  <c r="B3" i="42"/>
  <c r="B3" i="64"/>
  <c r="B3" i="63"/>
  <c r="B3" i="36"/>
  <c r="B3" i="46"/>
  <c r="B3" i="52"/>
  <c r="B3" i="10"/>
  <c r="D9" i="64"/>
  <c r="E9" i="64"/>
  <c r="F9" i="64"/>
  <c r="F22" i="64" s="1"/>
  <c r="E8" i="64"/>
  <c r="E15" i="64" s="1"/>
  <c r="D8" i="64"/>
  <c r="D21" i="64" s="1"/>
  <c r="B8" i="64"/>
  <c r="F8" i="64"/>
  <c r="F21" i="64" s="1"/>
  <c r="D22" i="63"/>
  <c r="D80" i="63" s="1"/>
  <c r="E22" i="63"/>
  <c r="E80" i="63" s="1"/>
  <c r="B22" i="63"/>
  <c r="B51" i="63" s="1"/>
  <c r="F22" i="63"/>
  <c r="D21" i="63"/>
  <c r="D79" i="63" s="1"/>
  <c r="E21" i="63"/>
  <c r="E50" i="63" s="1"/>
  <c r="B21" i="63"/>
  <c r="B79" i="63" s="1"/>
  <c r="F21" i="63"/>
  <c r="F50" i="63" s="1"/>
  <c r="D19" i="63"/>
  <c r="D77" i="63" s="1"/>
  <c r="E19" i="63"/>
  <c r="E77" i="63" s="1"/>
  <c r="B19" i="63"/>
  <c r="B48" i="63" s="1"/>
  <c r="F19" i="63"/>
  <c r="F77" i="63" s="1"/>
  <c r="D16" i="63"/>
  <c r="D74" i="63" s="1"/>
  <c r="E16" i="63"/>
  <c r="E74" i="63" s="1"/>
  <c r="B16" i="63"/>
  <c r="B45" i="63" s="1"/>
  <c r="F16" i="63"/>
  <c r="D15" i="63"/>
  <c r="D73" i="63" s="1"/>
  <c r="E15" i="63"/>
  <c r="E44" i="63" s="1"/>
  <c r="B15" i="63"/>
  <c r="F15" i="63"/>
  <c r="D14" i="63"/>
  <c r="D43" i="63" s="1"/>
  <c r="E14" i="63"/>
  <c r="E72" i="63" s="1"/>
  <c r="B14" i="63"/>
  <c r="B72" i="63" s="1"/>
  <c r="F14" i="63"/>
  <c r="B13" i="63"/>
  <c r="B71" i="63" s="1"/>
  <c r="D13" i="63"/>
  <c r="D71" i="63" s="1"/>
  <c r="E13" i="63"/>
  <c r="E71" i="63" s="1"/>
  <c r="F13" i="63"/>
  <c r="D11" i="63"/>
  <c r="D40" i="63" s="1"/>
  <c r="E11" i="63"/>
  <c r="E40" i="63" s="1"/>
  <c r="B11" i="63"/>
  <c r="F11" i="63"/>
  <c r="F69" i="63" s="1"/>
  <c r="D9" i="63"/>
  <c r="D38" i="63" s="1"/>
  <c r="E9" i="63"/>
  <c r="E67" i="63" s="1"/>
  <c r="B9" i="63"/>
  <c r="F9" i="63"/>
  <c r="F38" i="63" s="1"/>
  <c r="D8" i="63"/>
  <c r="D66" i="63" s="1"/>
  <c r="E8" i="63"/>
  <c r="E66" i="63" s="1"/>
  <c r="B8" i="63"/>
  <c r="B66" i="63" s="1"/>
  <c r="F8" i="63"/>
  <c r="F37" i="63" s="1"/>
  <c r="B2" i="64"/>
  <c r="B2" i="63"/>
  <c r="H27" i="52"/>
  <c r="H21" i="52"/>
  <c r="H23" i="52"/>
  <c r="H25" i="52"/>
  <c r="H26" i="52"/>
  <c r="H31" i="52"/>
  <c r="H24" i="52"/>
  <c r="H32" i="52"/>
  <c r="H33" i="52"/>
  <c r="B195" i="42"/>
  <c r="D195" i="42"/>
  <c r="E195" i="42"/>
  <c r="F195" i="42"/>
  <c r="I64" i="52"/>
  <c r="G64" i="52"/>
  <c r="H34" i="52"/>
  <c r="H35" i="52"/>
  <c r="H36" i="52"/>
  <c r="G59" i="52"/>
  <c r="B154" i="42"/>
  <c r="D154" i="42"/>
  <c r="E154" i="42"/>
  <c r="F154" i="42"/>
  <c r="B184" i="42"/>
  <c r="B47" i="36"/>
  <c r="D47" i="36"/>
  <c r="E47" i="36"/>
  <c r="F47" i="36"/>
  <c r="B2" i="52"/>
  <c r="I59" i="52"/>
  <c r="I58" i="52"/>
  <c r="G58" i="52"/>
  <c r="B2" i="46"/>
  <c r="B2" i="42"/>
  <c r="B2" i="36"/>
  <c r="B2" i="10"/>
  <c r="I102" i="36" l="1"/>
  <c r="G49" i="63"/>
  <c r="G31" i="63"/>
  <c r="H70" i="63"/>
  <c r="G89" i="63"/>
  <c r="H101" i="36"/>
  <c r="H20" i="63"/>
  <c r="H78" i="63" s="1"/>
  <c r="N93" i="36"/>
  <c r="G100" i="36"/>
  <c r="G122" i="36" s="1"/>
  <c r="G91" i="36"/>
  <c r="B77" i="42"/>
  <c r="B117" i="42" s="1"/>
  <c r="B90" i="36"/>
  <c r="E61" i="36"/>
  <c r="E101" i="36"/>
  <c r="E59" i="36"/>
  <c r="E99" i="36"/>
  <c r="D56" i="36"/>
  <c r="D96" i="36"/>
  <c r="D55" i="36"/>
  <c r="D95" i="36"/>
  <c r="H89" i="36"/>
  <c r="H92" i="36"/>
  <c r="G96" i="36"/>
  <c r="H99" i="36"/>
  <c r="D84" i="42"/>
  <c r="D124" i="42" s="1"/>
  <c r="D97" i="36"/>
  <c r="D63" i="36"/>
  <c r="D103" i="36"/>
  <c r="D88" i="42"/>
  <c r="D128" i="42" s="1"/>
  <c r="D101" i="36"/>
  <c r="D87" i="42"/>
  <c r="D127" i="42" s="1"/>
  <c r="D100" i="36"/>
  <c r="D59" i="36"/>
  <c r="D99" i="36"/>
  <c r="F55" i="36"/>
  <c r="F95" i="36"/>
  <c r="B80" i="42"/>
  <c r="B93" i="36"/>
  <c r="B78" i="42"/>
  <c r="B199" i="42" s="1"/>
  <c r="B240" i="42" s="1"/>
  <c r="B91" i="36"/>
  <c r="B49" i="36"/>
  <c r="B89" i="36"/>
  <c r="H94" i="36"/>
  <c r="H13" i="63"/>
  <c r="H93" i="36"/>
  <c r="G88" i="36"/>
  <c r="J98" i="36"/>
  <c r="B85" i="42"/>
  <c r="B165" i="42" s="1"/>
  <c r="B98" i="36"/>
  <c r="M104" i="36"/>
  <c r="E77" i="42"/>
  <c r="E157" i="42" s="1"/>
  <c r="E90" i="36"/>
  <c r="F91" i="42"/>
  <c r="F171" i="42" s="1"/>
  <c r="F104" i="36"/>
  <c r="F89" i="42"/>
  <c r="F129" i="42" s="1"/>
  <c r="F102" i="36"/>
  <c r="F88" i="42"/>
  <c r="F209" i="42" s="1"/>
  <c r="F250" i="42" s="1"/>
  <c r="F101" i="36"/>
  <c r="F60" i="36"/>
  <c r="F100" i="36"/>
  <c r="F86" i="42"/>
  <c r="F166" i="42" s="1"/>
  <c r="F99" i="36"/>
  <c r="F85" i="42"/>
  <c r="F206" i="42" s="1"/>
  <c r="F247" i="42" s="1"/>
  <c r="F98" i="36"/>
  <c r="B83" i="42"/>
  <c r="B204" i="42" s="1"/>
  <c r="B245" i="42" s="1"/>
  <c r="B96" i="36"/>
  <c r="E54" i="36"/>
  <c r="E94" i="36"/>
  <c r="E53" i="36"/>
  <c r="E93" i="36"/>
  <c r="E52" i="36"/>
  <c r="E92" i="36"/>
  <c r="E49" i="36"/>
  <c r="E89" i="36"/>
  <c r="H10" i="63"/>
  <c r="H90" i="36"/>
  <c r="H88" i="36"/>
  <c r="G95" i="36"/>
  <c r="B54" i="36"/>
  <c r="B94" i="36"/>
  <c r="O93" i="36"/>
  <c r="F57" i="36"/>
  <c r="F97" i="36"/>
  <c r="D50" i="36"/>
  <c r="D90" i="36"/>
  <c r="B90" i="42"/>
  <c r="B211" i="42" s="1"/>
  <c r="B252" i="42" s="1"/>
  <c r="B103" i="36"/>
  <c r="B88" i="42"/>
  <c r="B128" i="42" s="1"/>
  <c r="B101" i="36"/>
  <c r="B87" i="42"/>
  <c r="B167" i="42" s="1"/>
  <c r="B100" i="36"/>
  <c r="B86" i="42"/>
  <c r="B166" i="42" s="1"/>
  <c r="B99" i="36"/>
  <c r="E85" i="42"/>
  <c r="E125" i="42" s="1"/>
  <c r="E98" i="36"/>
  <c r="E82" i="42"/>
  <c r="E162" i="42" s="1"/>
  <c r="E95" i="36"/>
  <c r="D53" i="36"/>
  <c r="D93" i="36"/>
  <c r="D79" i="42"/>
  <c r="D159" i="42" s="1"/>
  <c r="D92" i="36"/>
  <c r="D48" i="36"/>
  <c r="D88" i="36"/>
  <c r="H97" i="36"/>
  <c r="H15" i="63"/>
  <c r="H95" i="36"/>
  <c r="G93" i="36"/>
  <c r="G92" i="36"/>
  <c r="L98" i="36"/>
  <c r="K98" i="36"/>
  <c r="H100" i="36"/>
  <c r="H122" i="36" s="1"/>
  <c r="H91" i="36"/>
  <c r="K104" i="36"/>
  <c r="F59" i="36"/>
  <c r="G16" i="63"/>
  <c r="C81" i="97" s="1"/>
  <c r="G13" i="63"/>
  <c r="D15" i="64"/>
  <c r="G15" i="63"/>
  <c r="H17" i="63"/>
  <c r="I22" i="63"/>
  <c r="G19" i="63"/>
  <c r="G77" i="63" s="1"/>
  <c r="F61" i="36"/>
  <c r="I21" i="63"/>
  <c r="E75" i="42"/>
  <c r="E196" i="42" s="1"/>
  <c r="E237" i="42" s="1"/>
  <c r="F63" i="36"/>
  <c r="D91" i="42"/>
  <c r="D171" i="42" s="1"/>
  <c r="I43" i="63"/>
  <c r="D69" i="63"/>
  <c r="H48" i="63"/>
  <c r="H37" i="63"/>
  <c r="H15" i="64"/>
  <c r="I46" i="63"/>
  <c r="H42" i="63"/>
  <c r="G38" i="63"/>
  <c r="H45" i="63"/>
  <c r="H44" i="63"/>
  <c r="B89" i="42"/>
  <c r="B129" i="42" s="1"/>
  <c r="B62" i="36"/>
  <c r="R10" i="63"/>
  <c r="H40" i="36"/>
  <c r="G40" i="36"/>
  <c r="H9" i="63"/>
  <c r="D80" i="97" s="1"/>
  <c r="F39" i="63"/>
  <c r="B80" i="63"/>
  <c r="E68" i="63"/>
  <c r="E73" i="63"/>
  <c r="E69" i="63"/>
  <c r="D47" i="63"/>
  <c r="E38" i="63"/>
  <c r="B64" i="36"/>
  <c r="F87" i="42"/>
  <c r="F127" i="42" s="1"/>
  <c r="B61" i="36"/>
  <c r="B63" i="36"/>
  <c r="D78" i="42"/>
  <c r="D158" i="42" s="1"/>
  <c r="B55" i="36"/>
  <c r="F58" i="36"/>
  <c r="F64" i="36"/>
  <c r="F62" i="36"/>
  <c r="F90" i="42"/>
  <c r="F170" i="42" s="1"/>
  <c r="H14" i="63"/>
  <c r="O104" i="36"/>
  <c r="D31" i="46"/>
  <c r="B33" i="42"/>
  <c r="B47" i="42" s="1"/>
  <c r="H246" i="42"/>
  <c r="I250" i="42"/>
  <c r="H241" i="42"/>
  <c r="G242" i="42"/>
  <c r="G251" i="42"/>
  <c r="D64" i="36"/>
  <c r="F56" i="36"/>
  <c r="E47" i="63"/>
  <c r="B48" i="36"/>
  <c r="E79" i="63"/>
  <c r="E43" i="63"/>
  <c r="B50" i="36"/>
  <c r="B77" i="63"/>
  <c r="E45" i="63"/>
  <c r="D42" i="63"/>
  <c r="B53" i="36"/>
  <c r="B74" i="63"/>
  <c r="B46" i="63"/>
  <c r="B58" i="36"/>
  <c r="B42" i="63"/>
  <c r="B47" i="63"/>
  <c r="D67" i="63"/>
  <c r="D60" i="36"/>
  <c r="D37" i="63"/>
  <c r="F83" i="42"/>
  <c r="F163" i="42" s="1"/>
  <c r="B22" i="64"/>
  <c r="F16" i="64"/>
  <c r="R19" i="63"/>
  <c r="B73" i="42"/>
  <c r="B60" i="42"/>
  <c r="B53" i="42"/>
  <c r="B67" i="42" s="1"/>
  <c r="F67" i="63"/>
  <c r="R21" i="63"/>
  <c r="F66" i="63"/>
  <c r="D48" i="63"/>
  <c r="R9" i="63"/>
  <c r="R11" i="63"/>
  <c r="B56" i="42"/>
  <c r="B194" i="42"/>
  <c r="B55" i="42"/>
  <c r="F46" i="63"/>
  <c r="F40" i="63"/>
  <c r="B113" i="42"/>
  <c r="B54" i="42"/>
  <c r="B24" i="42"/>
  <c r="D30" i="46"/>
  <c r="B17" i="42"/>
  <c r="B32" i="42"/>
  <c r="B39" i="42" s="1"/>
  <c r="I39" i="63"/>
  <c r="B23" i="42"/>
  <c r="B31" i="42"/>
  <c r="B16" i="42"/>
  <c r="B18" i="42"/>
  <c r="B25" i="42"/>
  <c r="E21" i="64"/>
  <c r="E42" i="63"/>
  <c r="B43" i="63"/>
  <c r="F79" i="63"/>
  <c r="D68" i="63"/>
  <c r="E75" i="63"/>
  <c r="D51" i="63"/>
  <c r="F48" i="63"/>
  <c r="D77" i="42"/>
  <c r="E89" i="42"/>
  <c r="E129" i="42" s="1"/>
  <c r="G43" i="63"/>
  <c r="H40" i="63"/>
  <c r="G11" i="63"/>
  <c r="R17" i="63"/>
  <c r="D61" i="36"/>
  <c r="B52" i="36"/>
  <c r="B75" i="42"/>
  <c r="B155" i="42" s="1"/>
  <c r="B79" i="42"/>
  <c r="D90" i="42"/>
  <c r="F82" i="42"/>
  <c r="D62" i="36"/>
  <c r="F54" i="36"/>
  <c r="B51" i="36"/>
  <c r="B76" i="42"/>
  <c r="B116" i="42" s="1"/>
  <c r="D89" i="42"/>
  <c r="D169" i="42" s="1"/>
  <c r="D86" i="42"/>
  <c r="D126" i="42" s="1"/>
  <c r="F81" i="42"/>
  <c r="B84" i="42"/>
  <c r="B205" i="42" s="1"/>
  <c r="B246" i="42" s="1"/>
  <c r="B57" i="36"/>
  <c r="E78" i="42"/>
  <c r="E158" i="42" s="1"/>
  <c r="E64" i="36"/>
  <c r="E63" i="36"/>
  <c r="E62" i="36"/>
  <c r="B56" i="36"/>
  <c r="E51" i="36"/>
  <c r="E48" i="36"/>
  <c r="B82" i="42"/>
  <c r="B162" i="42" s="1"/>
  <c r="F77" i="42"/>
  <c r="F117" i="42" s="1"/>
  <c r="D49" i="36"/>
  <c r="D75" i="42"/>
  <c r="D155" i="42" s="1"/>
  <c r="H8" i="63"/>
  <c r="D48" i="97" s="1"/>
  <c r="D80" i="42"/>
  <c r="E56" i="36"/>
  <c r="E55" i="36"/>
  <c r="D54" i="36"/>
  <c r="D51" i="36"/>
  <c r="D81" i="42"/>
  <c r="D161" i="42" s="1"/>
  <c r="B91" i="42"/>
  <c r="B171" i="42" s="1"/>
  <c r="D52" i="36"/>
  <c r="B60" i="36"/>
  <c r="D76" i="42"/>
  <c r="E83" i="42"/>
  <c r="E50" i="36"/>
  <c r="F84" i="42"/>
  <c r="I37" i="63"/>
  <c r="G252" i="42"/>
  <c r="E37" i="63"/>
  <c r="F51" i="63"/>
  <c r="F80" i="63"/>
  <c r="B160" i="42"/>
  <c r="B120" i="42"/>
  <c r="B201" i="42"/>
  <c r="B242" i="42" s="1"/>
  <c r="F76" i="63"/>
  <c r="R18" i="63"/>
  <c r="E84" i="42"/>
  <c r="E124" i="42" s="1"/>
  <c r="E57" i="36"/>
  <c r="B157" i="42"/>
  <c r="B68" i="63"/>
  <c r="B39" i="63"/>
  <c r="B26" i="42"/>
  <c r="E88" i="42"/>
  <c r="E86" i="42"/>
  <c r="D83" i="42"/>
  <c r="D123" i="42" s="1"/>
  <c r="D82" i="42"/>
  <c r="D122" i="42" s="1"/>
  <c r="F80" i="42"/>
  <c r="F53" i="36"/>
  <c r="F79" i="42"/>
  <c r="F200" i="42" s="1"/>
  <c r="F241" i="42" s="1"/>
  <c r="F52" i="36"/>
  <c r="F78" i="42"/>
  <c r="F118" i="42" s="1"/>
  <c r="F51" i="36"/>
  <c r="F76" i="42"/>
  <c r="F49" i="36"/>
  <c r="F75" i="42"/>
  <c r="F155" i="42" s="1"/>
  <c r="F48" i="36"/>
  <c r="E16" i="64"/>
  <c r="R9" i="64"/>
  <c r="B37" i="63"/>
  <c r="R8" i="63"/>
  <c r="B38" i="63"/>
  <c r="B67" i="63"/>
  <c r="B69" i="63"/>
  <c r="B40" i="63"/>
  <c r="F43" i="63"/>
  <c r="F72" i="63"/>
  <c r="D45" i="63"/>
  <c r="R16" i="63"/>
  <c r="D209" i="42"/>
  <c r="D250" i="42" s="1"/>
  <c r="D168" i="42"/>
  <c r="B81" i="42"/>
  <c r="B121" i="42" s="1"/>
  <c r="E22" i="64"/>
  <c r="F15" i="64"/>
  <c r="G44" i="63"/>
  <c r="G73" i="63" s="1"/>
  <c r="C114" i="97" s="1"/>
  <c r="H240" i="42"/>
  <c r="H18" i="63"/>
  <c r="H76" i="63" s="1"/>
  <c r="G250" i="42"/>
  <c r="H38" i="63"/>
  <c r="D164" i="42"/>
  <c r="F44" i="63"/>
  <c r="F73" i="63"/>
  <c r="F74" i="63"/>
  <c r="F45" i="63"/>
  <c r="E48" i="63"/>
  <c r="E60" i="36"/>
  <c r="D85" i="42"/>
  <c r="D58" i="36"/>
  <c r="H252" i="42"/>
  <c r="F71" i="63"/>
  <c r="F42" i="63"/>
  <c r="B15" i="64"/>
  <c r="B21" i="64"/>
  <c r="R8" i="64"/>
  <c r="F50" i="36"/>
  <c r="R15" i="63"/>
  <c r="D44" i="63"/>
  <c r="D50" i="63"/>
  <c r="E51" i="63"/>
  <c r="D72" i="63"/>
  <c r="E81" i="42"/>
  <c r="E79" i="42"/>
  <c r="E76" i="42"/>
  <c r="R14" i="63"/>
  <c r="R13" i="63"/>
  <c r="R22" i="63"/>
  <c r="B73" i="63"/>
  <c r="B44" i="63"/>
  <c r="B153" i="42"/>
  <c r="B34" i="42"/>
  <c r="R24" i="36"/>
  <c r="E91" i="42"/>
  <c r="G8" i="64"/>
  <c r="C232" i="97" s="1"/>
  <c r="B50" i="63"/>
  <c r="D16" i="64"/>
  <c r="D22" i="64"/>
  <c r="R9" i="36"/>
  <c r="R22" i="36"/>
  <c r="R16" i="36"/>
  <c r="R12" i="36"/>
  <c r="D46" i="63"/>
  <c r="R14" i="36"/>
  <c r="R8" i="36"/>
  <c r="P104" i="36"/>
  <c r="E90" i="42"/>
  <c r="R23" i="36"/>
  <c r="B59" i="36"/>
  <c r="E58" i="36"/>
  <c r="R18" i="36"/>
  <c r="E80" i="42"/>
  <c r="R13" i="36"/>
  <c r="H8" i="64"/>
  <c r="D232" i="97" s="1"/>
  <c r="H11" i="63"/>
  <c r="D57" i="36"/>
  <c r="E87" i="42"/>
  <c r="R20" i="36"/>
  <c r="R19" i="36"/>
  <c r="G8" i="63"/>
  <c r="C48" i="97" s="1"/>
  <c r="R21" i="36"/>
  <c r="R15" i="36"/>
  <c r="R11" i="36"/>
  <c r="H251" i="42"/>
  <c r="G15" i="64"/>
  <c r="G40" i="63"/>
  <c r="G244" i="42"/>
  <c r="H243" i="42"/>
  <c r="G45" i="63"/>
  <c r="G42" i="63"/>
  <c r="G240" i="42"/>
  <c r="G247" i="42"/>
  <c r="I252" i="42"/>
  <c r="H46" i="63"/>
  <c r="I80" i="63" l="1"/>
  <c r="E84" i="97"/>
  <c r="C77" i="97"/>
  <c r="D77" i="97"/>
  <c r="E121" i="97"/>
  <c r="F165" i="42"/>
  <c r="F125" i="42"/>
  <c r="H68" i="63"/>
  <c r="D202" i="97"/>
  <c r="C76" i="97"/>
  <c r="D76" i="97"/>
  <c r="I79" i="63"/>
  <c r="B114" i="97"/>
  <c r="B198" i="42"/>
  <c r="B239" i="42" s="1"/>
  <c r="G74" i="63"/>
  <c r="C118" i="97" s="1"/>
  <c r="G109" i="42"/>
  <c r="G31" i="42" s="1"/>
  <c r="D282" i="97" s="1"/>
  <c r="H109" i="42"/>
  <c r="H31" i="42" s="1"/>
  <c r="E282" i="97" s="1"/>
  <c r="G149" i="42"/>
  <c r="G32" i="42" s="1"/>
  <c r="D283" i="97" s="1"/>
  <c r="H149" i="42"/>
  <c r="H32" i="42" s="1"/>
  <c r="E283" i="97" s="1"/>
  <c r="D119" i="42"/>
  <c r="B168" i="42"/>
  <c r="E122" i="42"/>
  <c r="E203" i="42"/>
  <c r="E244" i="42" s="1"/>
  <c r="B207" i="42"/>
  <c r="B248" i="42" s="1"/>
  <c r="B209" i="42"/>
  <c r="B250" i="42" s="1"/>
  <c r="B126" i="42"/>
  <c r="B40" i="42"/>
  <c r="D200" i="42"/>
  <c r="D241" i="42" s="1"/>
  <c r="E165" i="42"/>
  <c r="F128" i="42"/>
  <c r="B123" i="42"/>
  <c r="F126" i="42"/>
  <c r="B118" i="42"/>
  <c r="F131" i="42"/>
  <c r="B158" i="42"/>
  <c r="F168" i="42"/>
  <c r="F212" i="42"/>
  <c r="F253" i="42" s="1"/>
  <c r="B130" i="42"/>
  <c r="F169" i="42"/>
  <c r="D205" i="42"/>
  <c r="D246" i="42" s="1"/>
  <c r="G60" i="63"/>
  <c r="D167" i="42"/>
  <c r="D208" i="42"/>
  <c r="D249" i="42" s="1"/>
  <c r="H89" i="63"/>
  <c r="G107" i="42"/>
  <c r="E174" i="97"/>
  <c r="D174" i="97"/>
  <c r="G228" i="42"/>
  <c r="B113" i="97"/>
  <c r="F210" i="42"/>
  <c r="F251" i="42" s="1"/>
  <c r="B208" i="42"/>
  <c r="B249" i="42" s="1"/>
  <c r="B163" i="42"/>
  <c r="E198" i="42"/>
  <c r="E239" i="42" s="1"/>
  <c r="B125" i="42"/>
  <c r="B170" i="42"/>
  <c r="F207" i="42"/>
  <c r="F248" i="42" s="1"/>
  <c r="B206" i="42"/>
  <c r="B247" i="42" s="1"/>
  <c r="J102" i="36"/>
  <c r="G147" i="42"/>
  <c r="E206" i="42"/>
  <c r="E247" i="42" s="1"/>
  <c r="B127" i="42"/>
  <c r="H107" i="42"/>
  <c r="H31" i="63"/>
  <c r="H75" i="63"/>
  <c r="F167" i="42"/>
  <c r="E117" i="42"/>
  <c r="I49" i="63"/>
  <c r="I78" i="63" s="1"/>
  <c r="I12" i="63"/>
  <c r="I31" i="63" s="1"/>
  <c r="G94" i="36"/>
  <c r="I41" i="63"/>
  <c r="I97" i="36"/>
  <c r="I98" i="36"/>
  <c r="I99" i="36"/>
  <c r="H72" i="63"/>
  <c r="G29" i="63"/>
  <c r="H29" i="63"/>
  <c r="H73" i="63"/>
  <c r="D114" i="97" s="1"/>
  <c r="G71" i="63"/>
  <c r="H71" i="63"/>
  <c r="M98" i="36"/>
  <c r="H120" i="36"/>
  <c r="G90" i="36"/>
  <c r="I95" i="36"/>
  <c r="I92" i="36"/>
  <c r="I101" i="36"/>
  <c r="G120" i="36"/>
  <c r="H228" i="42"/>
  <c r="H147" i="42"/>
  <c r="H21" i="64"/>
  <c r="Q232" i="97" s="1"/>
  <c r="G10" i="63"/>
  <c r="B169" i="42"/>
  <c r="E115" i="42"/>
  <c r="B210" i="42"/>
  <c r="B251" i="42" s="1"/>
  <c r="E155" i="42"/>
  <c r="D199" i="42"/>
  <c r="D240" i="42" s="1"/>
  <c r="D131" i="42"/>
  <c r="F208" i="42"/>
  <c r="F249" i="42" s="1"/>
  <c r="I42" i="63"/>
  <c r="I38" i="63"/>
  <c r="H67" i="63"/>
  <c r="D117" i="97" s="1"/>
  <c r="I45" i="63"/>
  <c r="D212" i="42"/>
  <c r="D253" i="42" s="1"/>
  <c r="D118" i="42"/>
  <c r="I40" i="63"/>
  <c r="I246" i="42"/>
  <c r="H66" i="63"/>
  <c r="D113" i="97" s="1"/>
  <c r="F130" i="42"/>
  <c r="F211" i="42"/>
  <c r="F252" i="42" s="1"/>
  <c r="G69" i="63"/>
  <c r="I42" i="36"/>
  <c r="I253" i="42"/>
  <c r="G253" i="42"/>
  <c r="H253" i="42"/>
  <c r="G246" i="42"/>
  <c r="H239" i="42"/>
  <c r="F123" i="42"/>
  <c r="F204" i="42"/>
  <c r="F245" i="42" s="1"/>
  <c r="B124" i="42"/>
  <c r="E210" i="42"/>
  <c r="E251" i="42" s="1"/>
  <c r="E169" i="42"/>
  <c r="B68" i="42"/>
  <c r="B61" i="42"/>
  <c r="B46" i="42"/>
  <c r="B212" i="42"/>
  <c r="B253" i="42" s="1"/>
  <c r="B38" i="42"/>
  <c r="B45" i="42"/>
  <c r="H237" i="42"/>
  <c r="F205" i="42"/>
  <c r="F246" i="42" s="1"/>
  <c r="F198" i="42"/>
  <c r="F239" i="42" s="1"/>
  <c r="D121" i="42"/>
  <c r="B122" i="42"/>
  <c r="E205" i="42"/>
  <c r="E246" i="42" s="1"/>
  <c r="D157" i="42"/>
  <c r="F160" i="42"/>
  <c r="D210" i="42"/>
  <c r="D251" i="42" s="1"/>
  <c r="B159" i="42"/>
  <c r="B131" i="42"/>
  <c r="B119" i="42"/>
  <c r="B202" i="42"/>
  <c r="B243" i="42" s="1"/>
  <c r="D198" i="42"/>
  <c r="D239" i="42" s="1"/>
  <c r="D117" i="42"/>
  <c r="B164" i="42"/>
  <c r="B200" i="42"/>
  <c r="B241" i="42" s="1"/>
  <c r="D166" i="42"/>
  <c r="F158" i="42"/>
  <c r="D129" i="42"/>
  <c r="F157" i="42"/>
  <c r="G82" i="36"/>
  <c r="B196" i="42"/>
  <c r="B237" i="42" s="1"/>
  <c r="D163" i="42"/>
  <c r="F203" i="42"/>
  <c r="F244" i="42" s="1"/>
  <c r="F122" i="42"/>
  <c r="B156" i="42"/>
  <c r="B115" i="42"/>
  <c r="D115" i="42"/>
  <c r="B197" i="42"/>
  <c r="B238" i="42" s="1"/>
  <c r="B203" i="42"/>
  <c r="B244" i="42" s="1"/>
  <c r="E118" i="42"/>
  <c r="F162" i="42"/>
  <c r="F121" i="42"/>
  <c r="F202" i="42"/>
  <c r="F243" i="42" s="1"/>
  <c r="F161" i="42"/>
  <c r="F199" i="42"/>
  <c r="F240" i="42" s="1"/>
  <c r="D207" i="42"/>
  <c r="D248" i="42" s="1"/>
  <c r="D170" i="42"/>
  <c r="D130" i="42"/>
  <c r="D211" i="42"/>
  <c r="D252" i="42" s="1"/>
  <c r="D120" i="42"/>
  <c r="G66" i="63"/>
  <c r="C113" i="97" s="1"/>
  <c r="P48" i="97" s="1"/>
  <c r="E199" i="42"/>
  <c r="E240" i="42" s="1"/>
  <c r="D196" i="42"/>
  <c r="D237" i="42" s="1"/>
  <c r="D201" i="42"/>
  <c r="D242" i="42" s="1"/>
  <c r="D160" i="42"/>
  <c r="D197" i="42"/>
  <c r="D238" i="42" s="1"/>
  <c r="D116" i="42"/>
  <c r="D156" i="42"/>
  <c r="E164" i="42"/>
  <c r="F120" i="42"/>
  <c r="F201" i="42"/>
  <c r="F242" i="42" s="1"/>
  <c r="D203" i="42"/>
  <c r="D244" i="42" s="1"/>
  <c r="F124" i="42"/>
  <c r="D202" i="42"/>
  <c r="D243" i="42" s="1"/>
  <c r="F196" i="42"/>
  <c r="F237" i="42" s="1"/>
  <c r="D162" i="42"/>
  <c r="F164" i="42"/>
  <c r="E204" i="42"/>
  <c r="E245" i="42" s="1"/>
  <c r="E123" i="42"/>
  <c r="E163" i="42"/>
  <c r="G21" i="64"/>
  <c r="P232" i="97" s="1"/>
  <c r="G10" i="64"/>
  <c r="D204" i="42"/>
  <c r="D245" i="42" s="1"/>
  <c r="F159" i="42"/>
  <c r="F115" i="42"/>
  <c r="E128" i="42"/>
  <c r="E168" i="42"/>
  <c r="E209" i="42"/>
  <c r="E250" i="42" s="1"/>
  <c r="B161" i="42"/>
  <c r="F119" i="42"/>
  <c r="F116" i="42"/>
  <c r="F197" i="42"/>
  <c r="F238" i="42" s="1"/>
  <c r="F156" i="42"/>
  <c r="E126" i="42"/>
  <c r="E207" i="42"/>
  <c r="E248" i="42" s="1"/>
  <c r="E166" i="42"/>
  <c r="H10" i="64"/>
  <c r="D206" i="42"/>
  <c r="D247" i="42" s="1"/>
  <c r="D165" i="42"/>
  <c r="D125" i="42"/>
  <c r="E116" i="42"/>
  <c r="E197" i="42"/>
  <c r="E238" i="42" s="1"/>
  <c r="E156" i="42"/>
  <c r="E121" i="42"/>
  <c r="E161" i="42"/>
  <c r="E202" i="42"/>
  <c r="E243" i="42" s="1"/>
  <c r="B41" i="42"/>
  <c r="B48" i="42"/>
  <c r="E119" i="42"/>
  <c r="E159" i="42"/>
  <c r="E200" i="42"/>
  <c r="E241" i="42" s="1"/>
  <c r="E131" i="42"/>
  <c r="E171" i="42"/>
  <c r="E212" i="42"/>
  <c r="E253" i="42" s="1"/>
  <c r="H69" i="63"/>
  <c r="I15" i="63"/>
  <c r="E120" i="42"/>
  <c r="E201" i="42"/>
  <c r="E242" i="42" s="1"/>
  <c r="E160" i="42"/>
  <c r="E211" i="42"/>
  <c r="E252" i="42" s="1"/>
  <c r="E170" i="42"/>
  <c r="E130" i="42"/>
  <c r="E208" i="42"/>
  <c r="E249" i="42" s="1"/>
  <c r="E127" i="42"/>
  <c r="E167" i="42"/>
  <c r="G241" i="42"/>
  <c r="I44" i="63"/>
  <c r="I15" i="64"/>
  <c r="G39" i="63"/>
  <c r="G68" i="63" s="1"/>
  <c r="I19" i="63"/>
  <c r="H248" i="42"/>
  <c r="G14" i="63"/>
  <c r="I248" i="42"/>
  <c r="H244" i="42"/>
  <c r="G245" i="42"/>
  <c r="I18" i="63"/>
  <c r="I48" i="63"/>
  <c r="H247" i="42"/>
  <c r="I251" i="42"/>
  <c r="G237" i="42"/>
  <c r="G248" i="42"/>
  <c r="H250" i="42"/>
  <c r="I17" i="63"/>
  <c r="H242" i="42"/>
  <c r="E77" i="97" l="1"/>
  <c r="Q48" i="97"/>
  <c r="C57" i="102"/>
  <c r="P202" i="97" s="1"/>
  <c r="C202" i="97"/>
  <c r="C201" i="97"/>
  <c r="C82" i="97" s="1"/>
  <c r="C56" i="102"/>
  <c r="P201" i="97" s="1"/>
  <c r="C119" i="97" s="1"/>
  <c r="H60" i="63"/>
  <c r="I75" i="63"/>
  <c r="D57" i="102"/>
  <c r="I70" i="63"/>
  <c r="H230" i="42"/>
  <c r="H33" i="42" s="1"/>
  <c r="E284" i="97" s="1"/>
  <c r="G230" i="42"/>
  <c r="G33" i="42" s="1"/>
  <c r="D284" i="97" s="1"/>
  <c r="H87" i="63"/>
  <c r="H23" i="64"/>
  <c r="J105" i="36"/>
  <c r="J103" i="36"/>
  <c r="J101" i="36"/>
  <c r="I100" i="36"/>
  <c r="I122" i="36" s="1"/>
  <c r="I94" i="36"/>
  <c r="I89" i="63"/>
  <c r="I60" i="63" s="1"/>
  <c r="I239" i="42"/>
  <c r="I109" i="42"/>
  <c r="I31" i="42" s="1"/>
  <c r="F282" i="97" s="1"/>
  <c r="I93" i="36"/>
  <c r="I96" i="36"/>
  <c r="G87" i="63"/>
  <c r="J95" i="36"/>
  <c r="I91" i="36"/>
  <c r="H148" i="42"/>
  <c r="H151" i="42" s="1"/>
  <c r="H229" i="42"/>
  <c r="H11" i="42" s="1"/>
  <c r="H249" i="42"/>
  <c r="H96" i="36"/>
  <c r="H41" i="36"/>
  <c r="H44" i="36" s="1"/>
  <c r="G89" i="36"/>
  <c r="G41" i="36"/>
  <c r="G44" i="36" s="1"/>
  <c r="I89" i="36"/>
  <c r="I41" i="36"/>
  <c r="I88" i="36"/>
  <c r="J99" i="36"/>
  <c r="J89" i="36"/>
  <c r="J90" i="36"/>
  <c r="I10" i="63"/>
  <c r="I90" i="36"/>
  <c r="N98" i="36"/>
  <c r="H82" i="36"/>
  <c r="I242" i="42"/>
  <c r="I13" i="63"/>
  <c r="I40" i="36"/>
  <c r="H16" i="63"/>
  <c r="D81" i="97" s="1"/>
  <c r="H37" i="36"/>
  <c r="F34" i="46" s="1"/>
  <c r="I8" i="64"/>
  <c r="E232" i="97" s="1"/>
  <c r="G9" i="63"/>
  <c r="C80" i="97" s="1"/>
  <c r="G37" i="36"/>
  <c r="E34" i="46" s="1"/>
  <c r="I230" i="42"/>
  <c r="I33" i="42" s="1"/>
  <c r="F284" i="97" s="1"/>
  <c r="I11" i="63"/>
  <c r="I241" i="42"/>
  <c r="K42" i="36"/>
  <c r="I147" i="42"/>
  <c r="I149" i="42"/>
  <c r="I32" i="42" s="1"/>
  <c r="F283" i="97" s="1"/>
  <c r="J40" i="36"/>
  <c r="J42" i="36"/>
  <c r="I240" i="42"/>
  <c r="G249" i="42"/>
  <c r="G239" i="42"/>
  <c r="B70" i="42"/>
  <c r="B63" i="42"/>
  <c r="B69" i="42"/>
  <c r="B62" i="42"/>
  <c r="H80" i="36"/>
  <c r="G80" i="36"/>
  <c r="H144" i="42"/>
  <c r="H225" i="42"/>
  <c r="G23" i="64"/>
  <c r="I16" i="63"/>
  <c r="E81" i="97" s="1"/>
  <c r="I14" i="63"/>
  <c r="I9" i="63"/>
  <c r="E80" i="97" s="1"/>
  <c r="I77" i="63"/>
  <c r="I73" i="63"/>
  <c r="E114" i="97" s="1"/>
  <c r="I8" i="63"/>
  <c r="E48" i="97" s="1"/>
  <c r="I243" i="42"/>
  <c r="H245" i="42"/>
  <c r="G72" i="63"/>
  <c r="G243" i="42"/>
  <c r="G148" i="42"/>
  <c r="I244" i="42"/>
  <c r="I247" i="42"/>
  <c r="H187" i="42"/>
  <c r="H238" i="42"/>
  <c r="H58" i="63"/>
  <c r="I76" i="63"/>
  <c r="Q202" i="97" l="1"/>
  <c r="N116" i="36"/>
  <c r="E173" i="97"/>
  <c r="G189" i="42"/>
  <c r="G34" i="42" s="1"/>
  <c r="D285" i="97" s="1"/>
  <c r="I71" i="63"/>
  <c r="E76" i="97"/>
  <c r="I74" i="63"/>
  <c r="E118" i="97" s="1"/>
  <c r="I68" i="63"/>
  <c r="H189" i="42"/>
  <c r="H34" i="42" s="1"/>
  <c r="E285" i="97" s="1"/>
  <c r="I107" i="42"/>
  <c r="M107" i="36"/>
  <c r="K105" i="36"/>
  <c r="G187" i="42"/>
  <c r="K101" i="36"/>
  <c r="H121" i="36"/>
  <c r="H124" i="36" s="1"/>
  <c r="F36" i="46" s="1"/>
  <c r="I120" i="36"/>
  <c r="I21" i="64"/>
  <c r="R232" i="97" s="1"/>
  <c r="I228" i="42"/>
  <c r="F174" i="97"/>
  <c r="I72" i="63"/>
  <c r="H26" i="63"/>
  <c r="D49" i="97" s="1"/>
  <c r="I29" i="63"/>
  <c r="G26" i="63"/>
  <c r="G229" i="42"/>
  <c r="N115" i="36"/>
  <c r="I121" i="36"/>
  <c r="I81" i="36" s="1"/>
  <c r="I148" i="42"/>
  <c r="I108" i="42"/>
  <c r="I229" i="42"/>
  <c r="F30" i="46"/>
  <c r="H117" i="36"/>
  <c r="G117" i="36"/>
  <c r="G77" i="36" s="1"/>
  <c r="G121" i="36"/>
  <c r="G81" i="36" s="1"/>
  <c r="K95" i="36"/>
  <c r="J93" i="36"/>
  <c r="J88" i="36"/>
  <c r="O98" i="36"/>
  <c r="J97" i="36"/>
  <c r="H232" i="42"/>
  <c r="F31" i="46" s="1"/>
  <c r="G108" i="42"/>
  <c r="I238" i="42"/>
  <c r="H40" i="42"/>
  <c r="H74" i="63"/>
  <c r="D118" i="97" s="1"/>
  <c r="G58" i="63"/>
  <c r="I69" i="63"/>
  <c r="G67" i="63"/>
  <c r="C117" i="97" s="1"/>
  <c r="I237" i="42"/>
  <c r="G151" i="42"/>
  <c r="H15" i="93"/>
  <c r="H39" i="42"/>
  <c r="I26" i="63"/>
  <c r="I249" i="42"/>
  <c r="H266" i="42"/>
  <c r="H10" i="42"/>
  <c r="G144" i="42"/>
  <c r="G225" i="42"/>
  <c r="I82" i="36"/>
  <c r="I245" i="42"/>
  <c r="I67" i="63"/>
  <c r="E117" i="97" s="1"/>
  <c r="L42" i="36"/>
  <c r="I66" i="63"/>
  <c r="E113" i="97" s="1"/>
  <c r="R48" i="97" s="1"/>
  <c r="G238" i="42"/>
  <c r="G266" i="42" s="1"/>
  <c r="I30" i="63" l="1"/>
  <c r="E49" i="97"/>
  <c r="G30" i="63"/>
  <c r="G32" i="63" s="1"/>
  <c r="C49" i="97"/>
  <c r="C199" i="97"/>
  <c r="C78" i="97"/>
  <c r="I87" i="63"/>
  <c r="I58" i="63" s="1"/>
  <c r="H30" i="63"/>
  <c r="H32" i="63" s="1"/>
  <c r="C203" i="97"/>
  <c r="C83" i="97" s="1"/>
  <c r="C24" i="102"/>
  <c r="C59" i="102"/>
  <c r="C70" i="102" s="1"/>
  <c r="C23" i="102"/>
  <c r="C58" i="102"/>
  <c r="C79" i="97"/>
  <c r="C54" i="102"/>
  <c r="H184" i="42"/>
  <c r="G55" i="63"/>
  <c r="H104" i="42"/>
  <c r="H108" i="42"/>
  <c r="K99" i="36"/>
  <c r="N107" i="36"/>
  <c r="L105" i="36"/>
  <c r="J96" i="36"/>
  <c r="H81" i="36"/>
  <c r="L101" i="36"/>
  <c r="I32" i="63"/>
  <c r="I11" i="42"/>
  <c r="H55" i="63"/>
  <c r="E172" i="97"/>
  <c r="K90" i="36"/>
  <c r="H84" i="63"/>
  <c r="G84" i="63"/>
  <c r="P209" i="97" s="1"/>
  <c r="I55" i="63"/>
  <c r="E30" i="46"/>
  <c r="G104" i="42"/>
  <c r="G124" i="36"/>
  <c r="K89" i="36"/>
  <c r="P98" i="36"/>
  <c r="K97" i="36"/>
  <c r="J120" i="36"/>
  <c r="J80" i="36" s="1"/>
  <c r="K93" i="36"/>
  <c r="J94" i="36"/>
  <c r="J100" i="36"/>
  <c r="J122" i="36" s="1"/>
  <c r="G232" i="42"/>
  <c r="E31" i="46" s="1"/>
  <c r="G11" i="42"/>
  <c r="H77" i="36"/>
  <c r="I84" i="63"/>
  <c r="R209" i="97" s="1"/>
  <c r="I80" i="36"/>
  <c r="I187" i="42"/>
  <c r="I189" i="42"/>
  <c r="I34" i="42" s="1"/>
  <c r="F285" i="97" s="1"/>
  <c r="H84" i="36"/>
  <c r="I10" i="42"/>
  <c r="G184" i="42"/>
  <c r="M42" i="36"/>
  <c r="G10" i="42"/>
  <c r="D172" i="97" s="1"/>
  <c r="G84" i="36" l="1"/>
  <c r="E36" i="46"/>
  <c r="Q49" i="97"/>
  <c r="Q209" i="97"/>
  <c r="P49" i="97"/>
  <c r="H188" i="42"/>
  <c r="H191" i="42" s="1"/>
  <c r="F32" i="46" s="1"/>
  <c r="C69" i="102"/>
  <c r="C46" i="102" s="1"/>
  <c r="P203" i="97"/>
  <c r="C120" i="97" s="1"/>
  <c r="I88" i="63"/>
  <c r="I90" i="63" s="1"/>
  <c r="R49" i="97"/>
  <c r="C115" i="97"/>
  <c r="P199" i="97"/>
  <c r="O114" i="36"/>
  <c r="D173" i="97"/>
  <c r="H18" i="42"/>
  <c r="F173" i="97"/>
  <c r="I18" i="42"/>
  <c r="C55" i="102"/>
  <c r="C200" i="97"/>
  <c r="C207" i="97" s="1"/>
  <c r="C26" i="102"/>
  <c r="C25" i="102" s="1"/>
  <c r="C47" i="102"/>
  <c r="D79" i="97"/>
  <c r="L106" i="36"/>
  <c r="G188" i="42"/>
  <c r="G191" i="42" s="1"/>
  <c r="E32" i="46" s="1"/>
  <c r="M105" i="36"/>
  <c r="K94" i="36"/>
  <c r="O107" i="36"/>
  <c r="L89" i="36"/>
  <c r="M101" i="36"/>
  <c r="H88" i="63"/>
  <c r="H90" i="63" s="1"/>
  <c r="G88" i="63"/>
  <c r="F172" i="97"/>
  <c r="I188" i="42"/>
  <c r="I12" i="42" s="1"/>
  <c r="F175" i="97" s="1"/>
  <c r="L90" i="36"/>
  <c r="K100" i="36"/>
  <c r="K122" i="36" s="1"/>
  <c r="K88" i="36"/>
  <c r="L97" i="36"/>
  <c r="L99" i="36"/>
  <c r="H286" i="97"/>
  <c r="I17" i="42"/>
  <c r="H41" i="42"/>
  <c r="H61" i="42"/>
  <c r="I61" i="42"/>
  <c r="H62" i="42"/>
  <c r="I62" i="42"/>
  <c r="I232" i="97"/>
  <c r="H17" i="42"/>
  <c r="H12" i="42" l="1"/>
  <c r="E175" i="97" s="1"/>
  <c r="D203" i="97"/>
  <c r="D83" i="97" s="1"/>
  <c r="G90" i="63"/>
  <c r="D199" i="97"/>
  <c r="D78" i="97"/>
  <c r="C66" i="102"/>
  <c r="C72" i="102" s="1"/>
  <c r="P200" i="97"/>
  <c r="P207" i="97" s="1"/>
  <c r="P208" i="97" s="1"/>
  <c r="C116" i="97"/>
  <c r="I19" i="42"/>
  <c r="D55" i="102"/>
  <c r="D200" i="97"/>
  <c r="D23" i="102"/>
  <c r="D58" i="102"/>
  <c r="D54" i="102"/>
  <c r="D26" i="102"/>
  <c r="D24" i="102"/>
  <c r="D59" i="102"/>
  <c r="D70" i="102" s="1"/>
  <c r="N105" i="36"/>
  <c r="G12" i="42"/>
  <c r="N42" i="36"/>
  <c r="P107" i="36"/>
  <c r="N101" i="36"/>
  <c r="H59" i="63"/>
  <c r="G59" i="63"/>
  <c r="I59" i="63"/>
  <c r="M97" i="36"/>
  <c r="M99" i="36"/>
  <c r="M89" i="36"/>
  <c r="M90" i="36"/>
  <c r="L94" i="36"/>
  <c r="L100" i="36"/>
  <c r="L122" i="36" s="1"/>
  <c r="H61" i="63"/>
  <c r="M100" i="36"/>
  <c r="M122" i="36" s="1"/>
  <c r="J82" i="36"/>
  <c r="O42" i="36"/>
  <c r="C49" i="102" l="1"/>
  <c r="G61" i="63"/>
  <c r="D207" i="97"/>
  <c r="E199" i="97"/>
  <c r="E78" i="97"/>
  <c r="H19" i="42"/>
  <c r="D175" i="97"/>
  <c r="D116" i="97"/>
  <c r="Q200" i="97"/>
  <c r="D115" i="97"/>
  <c r="Q199" i="97"/>
  <c r="C71" i="102"/>
  <c r="C48" i="102" s="1"/>
  <c r="E200" i="97"/>
  <c r="E79" i="97"/>
  <c r="D69" i="102"/>
  <c r="D46" i="102" s="1"/>
  <c r="Q203" i="97"/>
  <c r="D120" i="97" s="1"/>
  <c r="C43" i="102"/>
  <c r="E55" i="102"/>
  <c r="E203" i="97"/>
  <c r="E23" i="102"/>
  <c r="E58" i="102"/>
  <c r="D66" i="102"/>
  <c r="E24" i="102"/>
  <c r="E59" i="102"/>
  <c r="E70" i="102" s="1"/>
  <c r="D47" i="102"/>
  <c r="E54" i="102"/>
  <c r="E26" i="102"/>
  <c r="O105" i="36"/>
  <c r="N89" i="36"/>
  <c r="N90" i="36"/>
  <c r="O101" i="36"/>
  <c r="M94" i="36"/>
  <c r="N99" i="36"/>
  <c r="N97" i="36"/>
  <c r="V232" i="97"/>
  <c r="I61" i="63"/>
  <c r="K82" i="36"/>
  <c r="H63" i="42"/>
  <c r="P42" i="36"/>
  <c r="E69" i="102" l="1"/>
  <c r="E46" i="102" s="1"/>
  <c r="R203" i="97"/>
  <c r="E120" i="97" s="1"/>
  <c r="E115" i="97"/>
  <c r="R199" i="97"/>
  <c r="E116" i="97"/>
  <c r="R200" i="97"/>
  <c r="Q207" i="97"/>
  <c r="Q208" i="97" s="1"/>
  <c r="E207" i="97"/>
  <c r="E83" i="97"/>
  <c r="D43" i="102"/>
  <c r="E47" i="102"/>
  <c r="D72" i="102"/>
  <c r="D49" i="102" s="1"/>
  <c r="E66" i="102"/>
  <c r="K96" i="36"/>
  <c r="P105" i="36"/>
  <c r="P90" i="36"/>
  <c r="O99" i="36"/>
  <c r="O90" i="36"/>
  <c r="P101" i="36"/>
  <c r="O97" i="36"/>
  <c r="O89" i="36"/>
  <c r="N100" i="36"/>
  <c r="N94" i="36"/>
  <c r="I63" i="42"/>
  <c r="L82" i="36"/>
  <c r="R207" i="97" l="1"/>
  <c r="R208" i="97" s="1"/>
  <c r="E43" i="102"/>
  <c r="E72" i="102"/>
  <c r="E49" i="102" s="1"/>
  <c r="D71" i="102"/>
  <c r="L96" i="36"/>
  <c r="L88" i="36"/>
  <c r="L95" i="36"/>
  <c r="N122" i="36"/>
  <c r="P97" i="36"/>
  <c r="P100" i="36"/>
  <c r="P122" i="36" s="1"/>
  <c r="P99" i="36"/>
  <c r="O100" i="36"/>
  <c r="O122" i="36" s="1"/>
  <c r="O94" i="36"/>
  <c r="P89" i="36"/>
  <c r="M82" i="36"/>
  <c r="E71" i="102" l="1"/>
  <c r="M88" i="36"/>
  <c r="M95" i="36"/>
  <c r="P94" i="36"/>
  <c r="N82" i="36"/>
  <c r="M96" i="36" l="1"/>
  <c r="O82" i="36"/>
  <c r="N96" i="36" l="1"/>
  <c r="N88" i="36"/>
  <c r="O95" i="36"/>
  <c r="N95" i="36"/>
  <c r="P82" i="36"/>
  <c r="O88" i="36" l="1"/>
  <c r="P95" i="36"/>
  <c r="O96" i="36"/>
  <c r="P96" i="36" l="1"/>
  <c r="P88" i="36"/>
  <c r="K102" i="36" l="1"/>
  <c r="K40" i="36"/>
  <c r="K120" i="36" l="1"/>
  <c r="L102" i="36"/>
  <c r="L40" i="36"/>
  <c r="L120" i="36" l="1"/>
  <c r="N102" i="36"/>
  <c r="M102" i="36"/>
  <c r="K80" i="36"/>
  <c r="O102" i="36" l="1"/>
  <c r="P102" i="36" l="1"/>
  <c r="L80" i="36"/>
  <c r="G110" i="42" l="1"/>
  <c r="I110" i="42"/>
  <c r="H110" i="42"/>
  <c r="G53" i="42"/>
  <c r="I53" i="42"/>
  <c r="H9" i="42"/>
  <c r="E171" i="97" s="1"/>
  <c r="H53" i="42"/>
  <c r="I9" i="42"/>
  <c r="G9" i="42"/>
  <c r="D171" i="97" s="1"/>
  <c r="F171" i="97" l="1"/>
  <c r="H16" i="42"/>
  <c r="I16" i="42"/>
  <c r="H13" i="42"/>
  <c r="H23" i="42" s="1"/>
  <c r="I60" i="42"/>
  <c r="H57" i="42"/>
  <c r="H35" i="42"/>
  <c r="H111" i="42"/>
  <c r="F29" i="46" s="1"/>
  <c r="G111" i="42"/>
  <c r="E29" i="46" s="1"/>
  <c r="H38" i="42"/>
  <c r="G35" i="42"/>
  <c r="I13" i="42"/>
  <c r="H60" i="42"/>
  <c r="G57" i="42"/>
  <c r="G13" i="42"/>
  <c r="G67" i="42" s="1"/>
  <c r="J57" i="42"/>
  <c r="K57" i="42"/>
  <c r="I57" i="42"/>
  <c r="H45" i="42" l="1"/>
  <c r="K64" i="42"/>
  <c r="H64" i="42"/>
  <c r="I64" i="42"/>
  <c r="H68" i="42"/>
  <c r="H46" i="42"/>
  <c r="H24" i="42"/>
  <c r="I20" i="42"/>
  <c r="H70" i="42"/>
  <c r="H69" i="42"/>
  <c r="H25" i="42"/>
  <c r="H48" i="42"/>
  <c r="H47" i="42"/>
  <c r="H26" i="42"/>
  <c r="H67" i="42"/>
  <c r="I70" i="42"/>
  <c r="I24" i="42"/>
  <c r="I69" i="42"/>
  <c r="I25" i="42"/>
  <c r="I26" i="42"/>
  <c r="I68" i="42"/>
  <c r="I23" i="42"/>
  <c r="G47" i="42"/>
  <c r="G26" i="42"/>
  <c r="G25" i="42"/>
  <c r="G70" i="42"/>
  <c r="G68" i="42"/>
  <c r="G24" i="42"/>
  <c r="G69" i="42"/>
  <c r="G48" i="42"/>
  <c r="G46" i="42"/>
  <c r="H20" i="42"/>
  <c r="G45" i="42"/>
  <c r="G23" i="42"/>
  <c r="I67" i="42"/>
  <c r="J64" i="42"/>
  <c r="H42" i="42"/>
  <c r="H71" i="42" l="1"/>
  <c r="H27" i="42"/>
  <c r="G27" i="42"/>
  <c r="G71" i="42"/>
  <c r="G49" i="42"/>
  <c r="I71" i="42"/>
  <c r="I27" i="42"/>
  <c r="H49" i="42"/>
  <c r="G57" i="93" l="1"/>
  <c r="G41" i="93"/>
  <c r="G51" i="93" l="1"/>
  <c r="G52" i="93" s="1"/>
  <c r="G36" i="93" s="1"/>
  <c r="G44" i="93"/>
  <c r="G28" i="93" s="1"/>
  <c r="G46" i="93"/>
  <c r="G65" i="93"/>
  <c r="G61" i="93"/>
  <c r="N110" i="36"/>
  <c r="L64" i="42" l="1"/>
  <c r="V233" i="97"/>
  <c r="G30" i="93"/>
  <c r="G48" i="93"/>
  <c r="G32" i="93" s="1"/>
  <c r="O110" i="36"/>
  <c r="L113" i="36"/>
  <c r="L43" i="36"/>
  <c r="V235" i="97" l="1"/>
  <c r="L123" i="36"/>
  <c r="L57" i="42" l="1"/>
  <c r="O116" i="36"/>
  <c r="I37" i="36" l="1"/>
  <c r="I44" i="36"/>
  <c r="I117" i="36" l="1"/>
  <c r="I124" i="36"/>
  <c r="I10" i="64"/>
  <c r="G34" i="46"/>
  <c r="I84" i="36" l="1"/>
  <c r="G36" i="46"/>
  <c r="I77" i="36"/>
  <c r="I104" i="42"/>
  <c r="I225" i="42"/>
  <c r="I23" i="64"/>
  <c r="I144" i="42"/>
  <c r="I266" i="42" l="1"/>
  <c r="I184" i="42"/>
  <c r="I151" i="42"/>
  <c r="G30" i="46" s="1"/>
  <c r="I191" i="42"/>
  <c r="G32" i="46" s="1"/>
  <c r="I232" i="42"/>
  <c r="G31" i="46" s="1"/>
  <c r="I111" i="42"/>
  <c r="G29" i="46" s="1"/>
  <c r="I35" i="42" l="1"/>
  <c r="I38" i="42"/>
  <c r="I45" i="42"/>
  <c r="I41" i="42"/>
  <c r="I48" i="42"/>
  <c r="I40" i="42"/>
  <c r="I47" i="42"/>
  <c r="I39" i="42"/>
  <c r="I46" i="42"/>
  <c r="I49" i="42" l="1"/>
  <c r="I42" i="42"/>
  <c r="I15" i="93" l="1"/>
  <c r="O115" i="36"/>
  <c r="M113" i="36"/>
  <c r="N112" i="36"/>
  <c r="M57" i="42" l="1"/>
  <c r="M64" i="42" s="1"/>
  <c r="O112" i="36"/>
  <c r="M43" i="36"/>
  <c r="N109" i="36" l="1"/>
  <c r="M112" i="36"/>
  <c r="O109" i="36" l="1"/>
  <c r="M123" i="36"/>
  <c r="J10" i="64" l="1"/>
  <c r="K10" i="64" l="1"/>
  <c r="J23" i="64" l="1"/>
  <c r="L10" i="64"/>
  <c r="M10" i="64" l="1"/>
  <c r="N10" i="64" l="1"/>
  <c r="J35" i="42" l="1"/>
  <c r="K35" i="42"/>
  <c r="O10" i="64"/>
  <c r="J42" i="42" l="1"/>
  <c r="L35" i="42"/>
  <c r="L42" i="42" s="1"/>
  <c r="P10" i="64"/>
  <c r="K42" i="42"/>
  <c r="N35" i="42" l="1"/>
  <c r="M35" i="42"/>
  <c r="O35" i="42" l="1"/>
  <c r="O42" i="42" s="1"/>
  <c r="N42" i="42"/>
  <c r="M42" i="42"/>
  <c r="P35" i="42" l="1"/>
  <c r="P42" i="42" l="1"/>
  <c r="P110" i="36" l="1"/>
  <c r="P112" i="36"/>
  <c r="P115" i="36" l="1"/>
  <c r="P109" i="36"/>
  <c r="K23" i="64" l="1"/>
  <c r="L23" i="64" l="1"/>
  <c r="M23" i="64" l="1"/>
  <c r="N23" i="64" l="1"/>
  <c r="O23" i="64" l="1"/>
  <c r="P23" i="64" l="1"/>
  <c r="N111" i="36" l="1"/>
  <c r="P114" i="36"/>
  <c r="N43" i="36"/>
  <c r="H12" i="93"/>
  <c r="H18" i="93"/>
  <c r="N40" i="36"/>
  <c r="N106" i="36"/>
  <c r="M106" i="36"/>
  <c r="M40" i="36"/>
  <c r="H14" i="93" l="1"/>
  <c r="H16" i="93" s="1"/>
  <c r="I12" i="93"/>
  <c r="H19" i="93"/>
  <c r="H20" i="93" s="1"/>
  <c r="O111" i="36"/>
  <c r="P111" i="36"/>
  <c r="I18" i="93"/>
  <c r="I14" i="93"/>
  <c r="N113" i="36"/>
  <c r="N123" i="36" s="1"/>
  <c r="Y24" i="97"/>
  <c r="M120" i="36"/>
  <c r="M80" i="36" s="1"/>
  <c r="P108" i="36"/>
  <c r="N120" i="36"/>
  <c r="N80" i="36" s="1"/>
  <c r="O43" i="36" l="1"/>
  <c r="J15" i="93"/>
  <c r="O113" i="36"/>
  <c r="P116" i="36"/>
  <c r="I19" i="93"/>
  <c r="I20" i="93" s="1"/>
  <c r="J18" i="93"/>
  <c r="I16" i="93"/>
  <c r="J14" i="93"/>
  <c r="O106" i="36"/>
  <c r="O40" i="36"/>
  <c r="J16" i="93" l="1"/>
  <c r="O123" i="36"/>
  <c r="P113" i="36"/>
  <c r="P123" i="36" s="1"/>
  <c r="J19" i="93"/>
  <c r="J20" i="93" s="1"/>
  <c r="N57" i="42"/>
  <c r="P43" i="36"/>
  <c r="J12" i="93"/>
  <c r="P40" i="36"/>
  <c r="O120" i="36"/>
  <c r="O80" i="36" s="1"/>
  <c r="N64" i="42" l="1"/>
  <c r="P106" i="36"/>
  <c r="P120" i="36" s="1"/>
  <c r="P80" i="36" s="1"/>
  <c r="J92" i="36" l="1"/>
  <c r="L92" i="36" l="1"/>
  <c r="K92" i="36"/>
  <c r="M92" i="36"/>
  <c r="N92" i="36" l="1"/>
  <c r="O92" i="36" l="1"/>
  <c r="P92" i="36" l="1"/>
  <c r="J41" i="36" l="1"/>
  <c r="J37" i="36"/>
  <c r="J91" i="36"/>
  <c r="J121" i="36" l="1"/>
  <c r="J81" i="36" s="1"/>
  <c r="J117" i="36"/>
  <c r="K91" i="36"/>
  <c r="J44" i="36"/>
  <c r="L91" i="36" l="1"/>
  <c r="J77" i="36"/>
  <c r="J124" i="36"/>
  <c r="J84" i="36" l="1"/>
  <c r="K41" i="36"/>
  <c r="K44" i="36" s="1"/>
  <c r="K37" i="36"/>
  <c r="L41" i="36" l="1"/>
  <c r="L44" i="36" s="1"/>
  <c r="L37" i="36"/>
  <c r="J13" i="42"/>
  <c r="N91" i="36"/>
  <c r="M91" i="36"/>
  <c r="K103" i="36"/>
  <c r="M37" i="36" l="1"/>
  <c r="M41" i="36"/>
  <c r="M44" i="36" s="1"/>
  <c r="J20" i="42"/>
  <c r="O91" i="36"/>
  <c r="L103" i="36"/>
  <c r="K121" i="36"/>
  <c r="K117" i="36"/>
  <c r="J27" i="42" l="1"/>
  <c r="J49" i="42"/>
  <c r="K124" i="36"/>
  <c r="K81" i="36"/>
  <c r="L117" i="36"/>
  <c r="L121" i="36"/>
  <c r="M103" i="36"/>
  <c r="E35" i="46"/>
  <c r="K77" i="36"/>
  <c r="K84" i="36" l="1"/>
  <c r="P91" i="36"/>
  <c r="O41" i="36"/>
  <c r="O44" i="36" s="1"/>
  <c r="O37" i="36"/>
  <c r="K13" i="42"/>
  <c r="L124" i="36"/>
  <c r="L81" i="36"/>
  <c r="L77" i="36"/>
  <c r="M117" i="36"/>
  <c r="M121" i="36"/>
  <c r="F35" i="46" l="1"/>
  <c r="L84" i="36"/>
  <c r="P37" i="36"/>
  <c r="P41" i="36"/>
  <c r="P44" i="36" s="1"/>
  <c r="M124" i="36"/>
  <c r="M81" i="36"/>
  <c r="M77" i="36"/>
  <c r="L13" i="42"/>
  <c r="L20" i="42" s="1"/>
  <c r="K20" i="42"/>
  <c r="G35" i="46" l="1"/>
  <c r="M84" i="36"/>
  <c r="K27" i="42"/>
  <c r="K49" i="42"/>
  <c r="M13" i="42" l="1"/>
  <c r="L49" i="42"/>
  <c r="L27" i="42"/>
  <c r="O13" i="42" l="1"/>
  <c r="M20" i="42"/>
  <c r="M49" i="42" l="1"/>
  <c r="M27" i="42"/>
  <c r="P13" i="42" l="1"/>
  <c r="O49" i="42"/>
  <c r="O27" i="42"/>
  <c r="P20" i="42" l="1"/>
  <c r="P49" i="42" l="1"/>
  <c r="P27" i="42"/>
  <c r="N37" i="36" l="1"/>
  <c r="N103" i="36"/>
  <c r="N41" i="36"/>
  <c r="N44" i="36" s="1"/>
  <c r="N117" i="36" l="1"/>
  <c r="N121" i="36"/>
  <c r="O103" i="36" l="1"/>
  <c r="O117" i="36" s="1"/>
  <c r="N77" i="36"/>
  <c r="N81" i="36"/>
  <c r="N124" i="36"/>
  <c r="P103" i="36" l="1"/>
  <c r="P121" i="36" s="1"/>
  <c r="O121" i="36"/>
  <c r="O81" i="36" s="1"/>
  <c r="N84" i="36"/>
  <c r="O77" i="36"/>
  <c r="P117" i="36" l="1"/>
  <c r="P77" i="36" s="1"/>
  <c r="N13" i="42"/>
  <c r="O124" i="36"/>
  <c r="P124" i="36"/>
  <c r="P81" i="36"/>
  <c r="O84" i="36" l="1"/>
  <c r="O20" i="42"/>
  <c r="N20" i="42"/>
  <c r="P84" i="36"/>
  <c r="N27" i="42" l="1"/>
  <c r="N49" i="42"/>
  <c r="D25" i="102" l="1"/>
  <c r="D48" i="102" s="1"/>
  <c r="E25" i="102"/>
  <c r="E48" i="102" s="1"/>
  <c r="O57" i="42" l="1"/>
  <c r="O64" i="42" l="1"/>
  <c r="P57" i="42"/>
  <c r="P64" i="42" l="1"/>
</calcChain>
</file>

<file path=xl/sharedStrings.xml><?xml version="1.0" encoding="utf-8"?>
<sst xmlns="http://schemas.openxmlformats.org/spreadsheetml/2006/main" count="611" uniqueCount="296">
  <si>
    <t>Forecast Methodology</t>
  </si>
  <si>
    <t xml:space="preserve">LightCounting has no vested interest in the transceiver market and does not participate in any vendor specific projects and/or consultations. </t>
  </si>
  <si>
    <t>LightCounting forecasting involves combining forecasts from more than one source and uses various methods.</t>
  </si>
  <si>
    <t>Trend extrapolation</t>
  </si>
  <si>
    <t>Forecast methodology is based on extrapolation of historical transceiver sales using product life-cycle model (S-curve methodology) for individual products. Information on historical sales of transceivers is obtained by means of LightCounting market surveys conducted on a semi-annual basis.</t>
  </si>
  <si>
    <t>Expert Opinions</t>
  </si>
  <si>
    <t>LightCounting forecasting highly involves industry expert opinions as well as discussions with transceiver vendors, their suppliers and customers. It is through the synthesis of these opinions that a final forecast is obtained.</t>
  </si>
  <si>
    <t>Cross-impact Analysis</t>
  </si>
  <si>
    <t>Relationships often exist between legacy and new products that may not be revealed by any forecasting techniques. LightCounting forecasting recognizes that the occurrence of an event can, in turn, affect the likelihoods of other events such as the impact of 40-Gbps sales on 10-Gbps sales, and expects similar penetration rates for new product introductions.</t>
  </si>
  <si>
    <t>Scenario Analysis</t>
  </si>
  <si>
    <t xml:space="preserve">Scenarios consider developments such as new data rates, form factors or possible growth rates. Expert opinions are often used to evaluate and compare different scenarios and pick the most possible one.  </t>
  </si>
  <si>
    <t>Financial Analysis</t>
  </si>
  <si>
    <t xml:space="preserve">LightCounting makes global economic and financial analysis of specific companies, use publicly available information such as SEC filings, company presentations or other market researches as input to its forecasting. </t>
  </si>
  <si>
    <t>Total</t>
  </si>
  <si>
    <t>Application Segments</t>
  </si>
  <si>
    <t>USD (millions)</t>
  </si>
  <si>
    <t xml:space="preserve">  </t>
  </si>
  <si>
    <t>Multi-chassis fabric interconnects</t>
  </si>
  <si>
    <t>Primary use</t>
  </si>
  <si>
    <t>CXP</t>
  </si>
  <si>
    <t>Revenues</t>
  </si>
  <si>
    <t>Units are devices or modules</t>
  </si>
  <si>
    <t>Shipments (devices)</t>
  </si>
  <si>
    <t>Average Selling Prices</t>
  </si>
  <si>
    <t>High Performance Computing</t>
  </si>
  <si>
    <t xml:space="preserve">Total Devices </t>
  </si>
  <si>
    <t>Summary - Applications</t>
  </si>
  <si>
    <t>Shipments</t>
  </si>
  <si>
    <t xml:space="preserve">The LightCounting optical interconnect forecast begins with historical shipment data derived from our proprietary vendor shipments database. </t>
  </si>
  <si>
    <t xml:space="preserve">are based on the results of interviews with leading vendors and other industry experts. Several 'sanity checks' are then performed to assess </t>
  </si>
  <si>
    <t>the results of the forecast, and feedback is provided from several industry participants. Final adjustments are made.</t>
  </si>
  <si>
    <t>The historical trends are extrapolated using the life-cycle model described below. The specific assumptions for each product</t>
  </si>
  <si>
    <t xml:space="preserve">The parameters in the table below define the year to year growth and decline of product volumes for individual product groups. </t>
  </si>
  <si>
    <t xml:space="preserve">New products introduced during the forecast period begin at the sampling stage. </t>
  </si>
  <si>
    <t>Application segment forecast</t>
  </si>
  <si>
    <t>Model developed by: John Lively</t>
  </si>
  <si>
    <t>Analysis and assumptions: Dale Murray, Vladimir Kozlov, John Lively</t>
  </si>
  <si>
    <t>Four device types and four per-channel data rates are covered in this forecast, but not every combination of the two</t>
  </si>
  <si>
    <t>The life-cycle model used to create forecasts for individual product groups is an 'S'-shaped growth curve with a variable product lifetime.</t>
  </si>
  <si>
    <t>Forecast Dashboard</t>
  </si>
  <si>
    <t>Revenues ($ million)</t>
  </si>
  <si>
    <t>A.S.P. ($)</t>
  </si>
  <si>
    <t>Dashboard lookup codes</t>
  </si>
  <si>
    <t>Abstract</t>
  </si>
  <si>
    <t>QSFP+</t>
  </si>
  <si>
    <t>SFP+ AOC</t>
  </si>
  <si>
    <t>TBD</t>
  </si>
  <si>
    <t>EOM</t>
  </si>
  <si>
    <t>XCVR</t>
  </si>
  <si>
    <t>AOC</t>
  </si>
  <si>
    <t xml:space="preserve">12-Ch CXP AOC </t>
  </si>
  <si>
    <t>AOCs</t>
  </si>
  <si>
    <t/>
  </si>
  <si>
    <t>Type</t>
  </si>
  <si>
    <t>Lanes</t>
  </si>
  <si>
    <t>Form Factor</t>
  </si>
  <si>
    <t>Mini-SAS HD</t>
  </si>
  <si>
    <t>Device type</t>
  </si>
  <si>
    <t>Lane Speed</t>
  </si>
  <si>
    <t>All</t>
  </si>
  <si>
    <t>Model Designation</t>
  </si>
  <si>
    <t>Common names</t>
  </si>
  <si>
    <t>&lt;== includes small quantity of 12x12.5Gbps devices</t>
  </si>
  <si>
    <t>SFP56</t>
  </si>
  <si>
    <t>All EOMs</t>
  </si>
  <si>
    <t>QSFP56</t>
  </si>
  <si>
    <t>Single</t>
  </si>
  <si>
    <t>Multi-</t>
  </si>
  <si>
    <t>All single-lane AOCs</t>
  </si>
  <si>
    <t>All multi-lane AOCs</t>
  </si>
  <si>
    <t>Added to forecast December 2015</t>
  </si>
  <si>
    <t xml:space="preserve">is included. Only devices which already exist or are believed to be in development are included. </t>
  </si>
  <si>
    <t>10G</t>
  </si>
  <si>
    <t>12-14G</t>
  </si>
  <si>
    <t>25-28G</t>
  </si>
  <si>
    <t>50-56G</t>
  </si>
  <si>
    <r>
      <rPr>
        <sz val="11"/>
        <color theme="1"/>
        <rFont val="Calibri"/>
        <family val="2"/>
      </rPr>
      <t>≤</t>
    </r>
    <r>
      <rPr>
        <sz val="11"/>
        <color theme="1"/>
        <rFont val="Calibri"/>
        <family val="2"/>
        <scheme val="minor"/>
      </rPr>
      <t>10G</t>
    </r>
  </si>
  <si>
    <t>Click in yellow box to select product to display</t>
  </si>
  <si>
    <t>25G</t>
  </si>
  <si>
    <t>40G</t>
  </si>
  <si>
    <t>48G</t>
  </si>
  <si>
    <t>50G</t>
  </si>
  <si>
    <t>100G</t>
  </si>
  <si>
    <t>120G</t>
  </si>
  <si>
    <t>200G</t>
  </si>
  <si>
    <t>300G</t>
  </si>
  <si>
    <r>
      <rPr>
        <sz val="11"/>
        <color theme="1"/>
        <rFont val="Calibri"/>
        <family val="2"/>
      </rPr>
      <t>≤</t>
    </r>
    <r>
      <rPr>
        <sz val="11"/>
        <color theme="1"/>
        <rFont val="Calibri"/>
        <family val="2"/>
        <scheme val="minor"/>
      </rPr>
      <t>12.5G</t>
    </r>
  </si>
  <si>
    <t>≤12.5G</t>
  </si>
  <si>
    <t>XCVR 12x12-14G CXP</t>
  </si>
  <si>
    <r>
      <t xml:space="preserve">&lt;== was </t>
    </r>
    <r>
      <rPr>
        <sz val="10"/>
        <color theme="1"/>
        <rFont val="Calibri"/>
        <family val="2"/>
      </rPr>
      <t>≤</t>
    </r>
    <r>
      <rPr>
        <sz val="10"/>
        <color theme="1"/>
        <rFont val="Calibri"/>
        <family val="2"/>
        <scheme val="minor"/>
      </rPr>
      <t>10G in previous forecast</t>
    </r>
  </si>
  <si>
    <t>EOM 4x12-14G XCVR</t>
  </si>
  <si>
    <t>≤16G</t>
  </si>
  <si>
    <t>&lt;== Now includes 10G, 12-14G, and 14-16G devices. Were forecast separately in 2014.</t>
  </si>
  <si>
    <t>TxRx prs</t>
  </si>
  <si>
    <t>now included in the EOM 4x16G XCVR group</t>
  </si>
  <si>
    <t>now included in the XCVR 12x12.5G XCVR group</t>
  </si>
  <si>
    <t>deleted because no demand for this product</t>
  </si>
  <si>
    <t>Deleted December 2015</t>
  </si>
  <si>
    <t>Removed 12-3-2015, combined into single '12x≤16G EOM TxRx pairs' category</t>
  </si>
  <si>
    <t>Also includes PSM8 EOMs</t>
  </si>
  <si>
    <t>SFP28</t>
  </si>
  <si>
    <t>SFP+</t>
  </si>
  <si>
    <t>Application segments</t>
  </si>
  <si>
    <t>Product segments</t>
  </si>
  <si>
    <t>Shipments total</t>
  </si>
  <si>
    <t>Total devices</t>
  </si>
  <si>
    <t>CXP28</t>
  </si>
  <si>
    <t>EOM Shipment Volumes By Application Segment</t>
  </si>
  <si>
    <t>Chart labels</t>
  </si>
  <si>
    <t>Device shipments: AOCs</t>
  </si>
  <si>
    <t>Growth rates: AOCs</t>
  </si>
  <si>
    <t>Percentage mix: AOCs</t>
  </si>
  <si>
    <t>Growth rates: EOMs</t>
  </si>
  <si>
    <t>Percentage mix: EOMs</t>
  </si>
  <si>
    <t>AOC/XCVR</t>
  </si>
  <si>
    <t>&lt;== no 12G in this category, its all 14G</t>
  </si>
  <si>
    <t>8,12</t>
  </si>
  <si>
    <t>&lt;&lt; Added in December 2016 for December 2016 report</t>
  </si>
  <si>
    <t>Total revenues</t>
  </si>
  <si>
    <t>4,12</t>
  </si>
  <si>
    <t>InfiniBand QDR, DDR; 40GbE</t>
  </si>
  <si>
    <t>InfiniBand FDR</t>
  </si>
  <si>
    <t>InfiniBand HDR</t>
  </si>
  <si>
    <t>4:1</t>
  </si>
  <si>
    <t>&lt;&lt; Added to new in December 2017</t>
  </si>
  <si>
    <t>AOC breakout: 4x10G from 40G</t>
  </si>
  <si>
    <t>4x10 breakout AOC</t>
  </si>
  <si>
    <t>4x25 breakout AOC</t>
  </si>
  <si>
    <t>QSFP28/SFP28</t>
  </si>
  <si>
    <t>QSFP+/SFP+</t>
  </si>
  <si>
    <t>SAS 3.0</t>
  </si>
  <si>
    <t>SAS 4.0</t>
  </si>
  <si>
    <r>
      <t xml:space="preserve">Added to forecast December 2015, and eliminated </t>
    </r>
    <r>
      <rPr>
        <sz val="10"/>
        <color theme="1"/>
        <rFont val="Calibri"/>
        <family val="2"/>
      </rPr>
      <t>≤</t>
    </r>
    <r>
      <rPr>
        <sz val="10"/>
        <color theme="1"/>
        <rFont val="Calibri"/>
        <family val="2"/>
        <scheme val="minor"/>
      </rPr>
      <t>10G and 12-14G categories. Includes Luxtera 8x12 EOMs</t>
    </r>
  </si>
  <si>
    <t>8,12,16,24</t>
  </si>
  <si>
    <t>400 Gbps</t>
  </si>
  <si>
    <t>100 m</t>
  </si>
  <si>
    <t>500 m</t>
  </si>
  <si>
    <t>COBO</t>
  </si>
  <si>
    <t>Cloud - Revenues</t>
  </si>
  <si>
    <t>400G</t>
  </si>
  <si>
    <t>coherent</t>
  </si>
  <si>
    <t>12G</t>
  </si>
  <si>
    <t>24G</t>
  </si>
  <si>
    <t>800 Gbps</t>
  </si>
  <si>
    <t>1.6 Tbps</t>
  </si>
  <si>
    <t>Chiplets total</t>
  </si>
  <si>
    <t>Chiplet</t>
  </si>
  <si>
    <t>Non-COBO</t>
  </si>
  <si>
    <t>All Ethernet COBO</t>
  </si>
  <si>
    <t>All DWDM COBO</t>
  </si>
  <si>
    <t>800G</t>
  </si>
  <si>
    <t>Added to forecast August 2019</t>
  </si>
  <si>
    <t>8x100G breakout AOC</t>
  </si>
  <si>
    <t>Core Routing &amp; Optical Transport</t>
  </si>
  <si>
    <t>Cloud (Datacenter)</t>
  </si>
  <si>
    <t>Total AOCs</t>
  </si>
  <si>
    <t>30m</t>
  </si>
  <si>
    <t>800G  30m</t>
  </si>
  <si>
    <t>800G 500m</t>
  </si>
  <si>
    <t>1.6Tb  30m</t>
  </si>
  <si>
    <t>1.6Tb 500m</t>
  </si>
  <si>
    <t>Four application segments are included in this forecast:</t>
  </si>
  <si>
    <t>delete before publishing</t>
  </si>
  <si>
    <t>Total 2</t>
  </si>
  <si>
    <t>Device shipments: EOMs</t>
  </si>
  <si>
    <t>4,8,12,16,24</t>
  </si>
  <si>
    <t>Aggregate speed</t>
  </si>
  <si>
    <t>150G</t>
  </si>
  <si>
    <t>56G</t>
  </si>
  <si>
    <t>64G, 192G</t>
  </si>
  <si>
    <t>≤192G</t>
  </si>
  <si>
    <t>96G</t>
  </si>
  <si>
    <t>100G-600G</t>
  </si>
  <si>
    <t>200G, 300G</t>
  </si>
  <si>
    <t>200G - 1.3T</t>
  </si>
  <si>
    <t>144G-168G</t>
  </si>
  <si>
    <t>48G-56G</t>
  </si>
  <si>
    <t>100G-112G</t>
  </si>
  <si>
    <t>Agg. Speed</t>
  </si>
  <si>
    <t>Front panel interconnects (includes Enterprise datacenters)</t>
  </si>
  <si>
    <t>Revenues ($ mn)</t>
  </si>
  <si>
    <t>Annual shipments</t>
  </si>
  <si>
    <t>Shipments: AOCs</t>
  </si>
  <si>
    <t>AOC Forecast Breakdown by Application Segment</t>
  </si>
  <si>
    <t>Cloud (Datacenter) 1xN AOCs</t>
  </si>
  <si>
    <t>400G, 2x200G</t>
  </si>
  <si>
    <t>Removed Mil/Aero products from forecast in October 2020</t>
  </si>
  <si>
    <t>EOM 4,12x≤16G XCVR</t>
  </si>
  <si>
    <t>EOM 12x≤16G TxRx prs</t>
  </si>
  <si>
    <t>EOM 8,12x25-28G TxRx prs</t>
  </si>
  <si>
    <t xml:space="preserve">QSFP-DD800, OSFP </t>
  </si>
  <si>
    <t>QSFP-DD, OSFP, QSFP112</t>
  </si>
  <si>
    <t>50-56G, 100G</t>
  </si>
  <si>
    <t>4 or 8</t>
  </si>
  <si>
    <t>8x50G AOC, 4x100G AOC</t>
  </si>
  <si>
    <t>25-28G, 50G, 100G</t>
  </si>
  <si>
    <t>1, 2, or 4</t>
  </si>
  <si>
    <t>QSFP28, SFP-DD, SFP112</t>
  </si>
  <si>
    <t>4:1 or 8:1</t>
  </si>
  <si>
    <t>8x50G, 4x100G Breakout AOC</t>
  </si>
  <si>
    <t>100GbE AOC</t>
  </si>
  <si>
    <t>&lt;== also includes Infiniband EDR</t>
  </si>
  <si>
    <t>AOC 100G</t>
  </si>
  <si>
    <t>AOC 400G</t>
  </si>
  <si>
    <t>Includes 8x50, 4x100, and 2x200G also</t>
  </si>
  <si>
    <t>AOC 800G</t>
  </si>
  <si>
    <t>AOC 400G breakout</t>
  </si>
  <si>
    <t>AOC 100G breakout</t>
  </si>
  <si>
    <t>&lt;== added October 2020</t>
  </si>
  <si>
    <t>Product forecast - EOMs</t>
  </si>
  <si>
    <t>Product forecast - AOCs</t>
  </si>
  <si>
    <t>Product type</t>
  </si>
  <si>
    <r>
      <t>All other DACs (</t>
    </r>
    <r>
      <rPr>
        <sz val="10"/>
        <color theme="1"/>
        <rFont val="Calibri"/>
        <family val="2"/>
      </rPr>
      <t>≤</t>
    </r>
    <r>
      <rPr>
        <sz val="8"/>
        <color theme="1"/>
        <rFont val="Calibri"/>
        <family val="2"/>
      </rPr>
      <t>40G)</t>
    </r>
  </si>
  <si>
    <t>LightCounting High-Speed Cables Forecast</t>
  </si>
  <si>
    <t>Dollars per Gbps</t>
  </si>
  <si>
    <t>Companion Report: High Speed Cables, Board-mounted and Co-packaged Optics, December 2020, by Vlad Kozlov</t>
  </si>
  <si>
    <t xml:space="preserve">This forecast presents historical data from 2016 to 2019 and a market forecast through 2025 for AOCs, EOM, DACs, and chiplets used for interconnect applications.  The historical sales data accounts for sales of more than 30 optical component and module vendors, including 25 vendors that shared confidential sales data with LightCounting. The market forecast is based on a combination of historical trend extrapolation, expert opinion (based on numerous in-depth interviews with leading vendors), and models based on past experience in this segment.   </t>
  </si>
  <si>
    <t>800G total</t>
  </si>
  <si>
    <t>1.6Tb total</t>
  </si>
  <si>
    <t>30 m total</t>
  </si>
  <si>
    <t>500 m total</t>
  </si>
  <si>
    <t>10G and 25G AOCs</t>
  </si>
  <si>
    <t>40G and above AOCs</t>
  </si>
  <si>
    <t>400G AOCs</t>
  </si>
  <si>
    <t>10G AOCs</t>
  </si>
  <si>
    <t>25G AOCs</t>
  </si>
  <si>
    <t>10G DACs</t>
  </si>
  <si>
    <t>25G DACs</t>
  </si>
  <si>
    <t>100G AOCs</t>
  </si>
  <si>
    <t>40G AOCs</t>
  </si>
  <si>
    <t>40G DACs</t>
  </si>
  <si>
    <t>200G AOCs</t>
  </si>
  <si>
    <t>Other</t>
  </si>
  <si>
    <t>(includes Military, Aerospace)</t>
  </si>
  <si>
    <t>HPC &amp; AI Clusters</t>
  </si>
  <si>
    <t>High-performance computing and AI cluster interconnects</t>
  </si>
  <si>
    <t xml:space="preserve">FPGA-based products for military, aerospace, industrial, etc. </t>
  </si>
  <si>
    <t>Cloud DC Switches</t>
  </si>
  <si>
    <t>800G AOCs</t>
  </si>
  <si>
    <t>800G CPO</t>
  </si>
  <si>
    <t>1.6T CPO</t>
  </si>
  <si>
    <t>100/400G EOMs</t>
  </si>
  <si>
    <t>EOM and CPO Forecast</t>
  </si>
  <si>
    <t>Low speed vs. high-speed AOCs</t>
  </si>
  <si>
    <t>CPO Shipment Volumes By Application Segment</t>
  </si>
  <si>
    <t>Device shipments: CPO</t>
  </si>
  <si>
    <t>CC total</t>
  </si>
  <si>
    <t>EOM &amp; CPO by speed - unit shipments</t>
  </si>
  <si>
    <t>EOM &amp; CPO by speed - Revenues</t>
  </si>
  <si>
    <t>EOM &amp; CPO Forecast by Application Segment</t>
  </si>
  <si>
    <t>Figure E-1 in Executive Summary of Report</t>
  </si>
  <si>
    <t>100G QSFP28/QSFP112 - DAC</t>
  </si>
  <si>
    <t>100G QSFP28/QSFP112 - ACC/AEC</t>
  </si>
  <si>
    <t>10G SFP - DAC</t>
  </si>
  <si>
    <t>25G SFP+ - DAC</t>
  </si>
  <si>
    <t>4x10G QSFP - DAC</t>
  </si>
  <si>
    <t>4x14G QSFP - DAC</t>
  </si>
  <si>
    <t>200G QSFP56 - ACC/AEC</t>
  </si>
  <si>
    <t>400G - ACC/AEC</t>
  </si>
  <si>
    <t>800G - ACC/AEC</t>
  </si>
  <si>
    <t>200G QSFP56 - DAC</t>
  </si>
  <si>
    <t>400G - DAC</t>
  </si>
  <si>
    <t>800G - DAC</t>
  </si>
  <si>
    <t>Passive (DACs) and active (ACC/AEC) copper cables forecast</t>
  </si>
  <si>
    <r>
      <t xml:space="preserve">ACC/AECs </t>
    </r>
    <r>
      <rPr>
        <sz val="10"/>
        <color theme="1"/>
        <rFont val="Calibri"/>
        <family val="2"/>
      </rPr>
      <t>≥100G</t>
    </r>
  </si>
  <si>
    <t>DACs  ≥100G</t>
  </si>
  <si>
    <t>CPO</t>
  </si>
  <si>
    <t>100G DAC/ACC/AECs</t>
  </si>
  <si>
    <t>200G DAC/ACC/AECs</t>
  </si>
  <si>
    <t>400G DAC/ACC/AECs</t>
  </si>
  <si>
    <t>AOC = Active Optical Cable</t>
  </si>
  <si>
    <t>EOM = Electro-Optical Module</t>
  </si>
  <si>
    <t>CPO = Co-Packaged Optics module</t>
  </si>
  <si>
    <t>DAC = Direct Attach Copper cable (passive copper)</t>
  </si>
  <si>
    <t>ACC = Active Copper Cable (active copper)</t>
  </si>
  <si>
    <t>AEC = Active Electronic Cable (active copper)</t>
  </si>
  <si>
    <t>Product category abbreviations</t>
  </si>
  <si>
    <t>AOC/Copper product detail - shipments</t>
  </si>
  <si>
    <t>AOC/Copper product detail - revenues</t>
  </si>
  <si>
    <t>DAC/ACC/AEC Forecast</t>
  </si>
  <si>
    <t>DAC/ACC/AEC annual shipments</t>
  </si>
  <si>
    <t>DAC/ACC/AEC annual revenues ($ mn)</t>
  </si>
  <si>
    <t>High-speed copper cables</t>
  </si>
  <si>
    <t>800G DAC/ACC/AECs</t>
  </si>
  <si>
    <t>CPOs total</t>
  </si>
  <si>
    <t>Product Forecast - Co-Packaged Optics (CPO)</t>
  </si>
  <si>
    <t>CPO Shipments</t>
  </si>
  <si>
    <t>CPO ASPs</t>
  </si>
  <si>
    <t>CPO Revenues ($ mn)</t>
  </si>
  <si>
    <t>Device shipments: CPOs</t>
  </si>
  <si>
    <t>Growth rates: CPOs</t>
  </si>
  <si>
    <t>Percentage mix: CPOs</t>
  </si>
  <si>
    <t>Product forecast for all optical products: AOC, EOM, CPO</t>
  </si>
  <si>
    <t>XCVR = Transceiver</t>
  </si>
  <si>
    <t>All CPO</t>
  </si>
  <si>
    <t>Sample template for illustrative purposes only (December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</si>
</sst>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0.0%"/>
    <numFmt numFmtId="168" formatCode="General_)"/>
    <numFmt numFmtId="169" formatCode="0.00_)"/>
    <numFmt numFmtId="170" formatCode="[&gt;9.9]0;[&gt;0]0.0;\-;"/>
    <numFmt numFmtId="171" formatCode="_(* #,##0.000_);_(* \(#,##0.000\);_(* &quot;-&quot;??_);_(@_)"/>
  </numFmts>
  <fonts count="70">
    <font>
      <sz val="10"/>
      <color theme="1"/>
      <name val="Arial"/>
      <family val="2"/>
    </font>
    <font>
      <sz val="10"/>
      <color theme="1"/>
      <name val="Calibri"/>
      <family val="2"/>
    </font>
    <font>
      <sz val="12"/>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indexed="8"/>
      <name val="Arial"/>
      <family val="2"/>
    </font>
    <font>
      <sz val="10"/>
      <name val="Arial"/>
      <family val="2"/>
    </font>
    <font>
      <sz val="10"/>
      <color theme="1"/>
      <name val="Arial"/>
      <family val="2"/>
    </font>
    <font>
      <sz val="11"/>
      <color theme="1"/>
      <name val="Calibri"/>
      <family val="2"/>
      <scheme val="minor"/>
    </font>
    <font>
      <sz val="10"/>
      <color rgb="FFFF0000"/>
      <name val="Arial"/>
      <family val="2"/>
    </font>
    <font>
      <b/>
      <sz val="14"/>
      <color theme="1"/>
      <name val="Arial"/>
      <family val="2"/>
    </font>
    <font>
      <u/>
      <sz val="10"/>
      <color theme="11"/>
      <name val="Arial"/>
      <family val="2"/>
    </font>
    <font>
      <b/>
      <sz val="10"/>
      <color theme="1"/>
      <name val="Calibri"/>
      <family val="2"/>
      <scheme val="minor"/>
    </font>
    <font>
      <sz val="12"/>
      <color theme="1"/>
      <name val="Calibri"/>
      <family val="2"/>
      <scheme val="minor"/>
    </font>
    <font>
      <b/>
      <sz val="14"/>
      <color theme="1"/>
      <name val="Calibri"/>
      <family val="2"/>
      <scheme val="minor"/>
    </font>
    <font>
      <sz val="10"/>
      <name val="Calibri"/>
      <family val="2"/>
      <scheme val="minor"/>
    </font>
    <font>
      <sz val="10"/>
      <color theme="3"/>
      <name val="Calibri"/>
      <family val="2"/>
      <scheme val="minor"/>
    </font>
    <font>
      <b/>
      <sz val="11"/>
      <color rgb="FF1F487C"/>
      <name val="Calibri"/>
      <family val="2"/>
      <scheme val="minor"/>
    </font>
    <font>
      <b/>
      <sz val="18"/>
      <color theme="1"/>
      <name val="Calibri"/>
      <family val="2"/>
      <scheme val="minor"/>
    </font>
    <font>
      <sz val="10"/>
      <color rgb="FFFF0000"/>
      <name val="Calibri"/>
      <family val="2"/>
      <scheme val="minor"/>
    </font>
    <font>
      <b/>
      <sz val="10"/>
      <name val="Calibri"/>
      <family val="2"/>
      <scheme val="minor"/>
    </font>
    <font>
      <b/>
      <sz val="16"/>
      <color rgb="FF1F487C"/>
      <name val="Calibri"/>
      <family val="2"/>
      <scheme val="minor"/>
    </font>
    <font>
      <b/>
      <sz val="11"/>
      <color theme="1"/>
      <name val="Calibri"/>
      <family val="2"/>
      <scheme val="minor"/>
    </font>
    <font>
      <b/>
      <sz val="11"/>
      <color rgb="FFFF0000"/>
      <name val="Calibri"/>
      <family val="2"/>
      <scheme val="minor"/>
    </font>
    <font>
      <b/>
      <sz val="10"/>
      <name val="Arial"/>
      <family val="2"/>
    </font>
    <font>
      <sz val="14"/>
      <color theme="1"/>
      <name val="Calibri"/>
      <family val="2"/>
      <scheme val="minor"/>
    </font>
    <font>
      <sz val="12"/>
      <color rgb="FFFF0000"/>
      <name val="Calibri"/>
      <family val="2"/>
      <scheme val="minor"/>
    </font>
    <font>
      <sz val="16"/>
      <color theme="1"/>
      <name val="Calibri"/>
      <family val="2"/>
      <scheme val="minor"/>
    </font>
    <font>
      <b/>
      <sz val="18"/>
      <color rgb="FF1F487C"/>
      <name val="Calibri"/>
      <family val="2"/>
      <scheme val="minor"/>
    </font>
    <font>
      <sz val="10"/>
      <color rgb="FF0070C0"/>
      <name val="Calibri"/>
      <family val="2"/>
      <scheme val="minor"/>
    </font>
    <font>
      <sz val="20"/>
      <color theme="1"/>
      <name val="Calibri"/>
      <family val="2"/>
      <scheme val="minor"/>
    </font>
    <font>
      <sz val="20"/>
      <color theme="3"/>
      <name val="Calibri"/>
      <family val="2"/>
      <scheme val="minor"/>
    </font>
    <font>
      <sz val="12"/>
      <color theme="1"/>
      <name val="Arial"/>
      <family val="2"/>
    </font>
    <font>
      <sz val="9"/>
      <color theme="1"/>
      <name val="Calibri"/>
      <family val="2"/>
      <scheme val="minor"/>
    </font>
    <font>
      <sz val="11"/>
      <color rgb="FFFF0000"/>
      <name val="Calibri"/>
      <family val="2"/>
      <scheme val="minor"/>
    </font>
    <font>
      <sz val="10"/>
      <name val="Helvetica"/>
      <family val="2"/>
    </font>
    <font>
      <sz val="10"/>
      <name val="Helvetica"/>
      <family val="2"/>
    </font>
    <font>
      <sz val="10"/>
      <color indexed="8"/>
      <name val="Helvetica"/>
      <family val="2"/>
    </font>
    <font>
      <b/>
      <sz val="12"/>
      <color indexed="8"/>
      <name val="Helvetica"/>
      <family val="2"/>
    </font>
    <font>
      <b/>
      <sz val="10"/>
      <color indexed="8"/>
      <name val="Helvetica"/>
      <family val="2"/>
    </font>
    <font>
      <b/>
      <i/>
      <sz val="16"/>
      <name val="Helv"/>
    </font>
    <font>
      <sz val="10"/>
      <name val="Geneva"/>
      <family val="2"/>
    </font>
    <font>
      <sz val="11"/>
      <color theme="1"/>
      <name val="Arial"/>
      <family val="2"/>
    </font>
    <font>
      <b/>
      <sz val="16"/>
      <name val="Calibri"/>
      <family val="2"/>
      <scheme val="minor"/>
    </font>
    <font>
      <sz val="11"/>
      <color theme="1"/>
      <name val="Calibri"/>
      <family val="2"/>
    </font>
    <font>
      <b/>
      <sz val="16"/>
      <color theme="3"/>
      <name val="Calibri"/>
      <family val="2"/>
      <scheme val="minor"/>
    </font>
    <font>
      <b/>
      <sz val="12"/>
      <color theme="1"/>
      <name val="Calibri"/>
      <family val="2"/>
      <scheme val="minor"/>
    </font>
    <font>
      <b/>
      <sz val="14"/>
      <color theme="0"/>
      <name val="Calibri"/>
      <family val="2"/>
      <scheme val="minor"/>
    </font>
    <font>
      <b/>
      <sz val="20"/>
      <color theme="1"/>
      <name val="Arial"/>
      <family val="2"/>
    </font>
    <font>
      <sz val="8"/>
      <color theme="1"/>
      <name val="Calibri"/>
      <family val="2"/>
    </font>
    <font>
      <sz val="12"/>
      <name val="Arial"/>
      <family val="2"/>
    </font>
    <font>
      <b/>
      <sz val="14"/>
      <color rgb="FF1F487C"/>
      <name val="Calibri"/>
      <family val="2"/>
      <scheme val="minor"/>
    </font>
    <font>
      <sz val="12"/>
      <color theme="3"/>
      <name val="Arial"/>
      <family val="2"/>
    </font>
  </fonts>
  <fills count="10">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
      <patternFill patternType="solid">
        <fgColor rgb="FFCCFFCC"/>
        <bgColor indexed="64"/>
      </patternFill>
    </fill>
    <fill>
      <patternFill patternType="solid">
        <fgColor theme="6"/>
        <bgColor indexed="64"/>
      </patternFill>
    </fill>
    <fill>
      <patternFill patternType="solid">
        <fgColor theme="5"/>
        <bgColor indexed="64"/>
      </patternFill>
    </fill>
    <fill>
      <patternFill patternType="solid">
        <fgColor theme="4"/>
        <bgColor indexed="64"/>
      </patternFill>
    </fill>
    <fill>
      <patternFill patternType="solid">
        <fgColor theme="7"/>
        <bgColor indexed="64"/>
      </patternFill>
    </fill>
  </fills>
  <borders count="23">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right/>
      <top/>
      <bottom style="dashed">
        <color auto="1"/>
      </bottom>
      <diagonal/>
    </border>
    <border>
      <left style="thin">
        <color auto="1"/>
      </left>
      <right/>
      <top/>
      <bottom style="dashed">
        <color auto="1"/>
      </bottom>
      <diagonal/>
    </border>
    <border>
      <left/>
      <right style="thin">
        <color auto="1"/>
      </right>
      <top/>
      <bottom style="dashed">
        <color auto="1"/>
      </bottom>
      <diagonal/>
    </border>
    <border>
      <left style="thin">
        <color auto="1"/>
      </left>
      <right style="thin">
        <color auto="1"/>
      </right>
      <top style="thin">
        <color auto="1"/>
      </top>
      <bottom style="dashed">
        <color auto="1"/>
      </bottom>
      <diagonal/>
    </border>
  </borders>
  <cellStyleXfs count="411">
    <xf numFmtId="0" fontId="0" fillId="0" borderId="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2" fillId="0" borderId="0" applyFont="0" applyFill="0" applyBorder="0" applyAlignment="0" applyProtection="0"/>
    <xf numFmtId="44" fontId="24" fillId="0" borderId="0" applyFont="0" applyFill="0" applyBorder="0" applyAlignment="0" applyProtection="0"/>
    <xf numFmtId="44" fontId="22" fillId="0" borderId="0" applyFont="0" applyFill="0" applyBorder="0" applyAlignment="0" applyProtection="0"/>
    <xf numFmtId="0" fontId="22" fillId="0" borderId="0"/>
    <xf numFmtId="9" fontId="24" fillId="0" borderId="0" applyFont="0" applyFill="0" applyBorder="0" applyAlignment="0" applyProtection="0"/>
    <xf numFmtId="9" fontId="22"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1" fillId="0" borderId="0"/>
    <xf numFmtId="43" fontId="21" fillId="0" borderId="0" applyFont="0" applyFill="0" applyBorder="0" applyAlignment="0" applyProtection="0"/>
    <xf numFmtId="44" fontId="21" fillId="0" borderId="0" applyFont="0" applyFill="0" applyBorder="0" applyAlignment="0" applyProtection="0"/>
    <xf numFmtId="0" fontId="30" fillId="0" borderId="0"/>
    <xf numFmtId="43" fontId="30" fillId="0" borderId="0" applyFont="0" applyFill="0" applyBorder="0" applyAlignment="0" applyProtection="0"/>
    <xf numFmtId="0" fontId="18" fillId="0" borderId="0"/>
    <xf numFmtId="43" fontId="18" fillId="0" borderId="0" applyFont="0" applyFill="0" applyBorder="0" applyAlignment="0" applyProtection="0"/>
    <xf numFmtId="44" fontId="18" fillId="0" borderId="0" applyFont="0" applyFill="0" applyBorder="0" applyAlignment="0" applyProtection="0"/>
    <xf numFmtId="44" fontId="2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6" fillId="0" borderId="0"/>
    <xf numFmtId="0" fontId="16" fillId="0" borderId="0"/>
    <xf numFmtId="0" fontId="52" fillId="0" borderId="0"/>
    <xf numFmtId="43" fontId="16" fillId="0" borderId="0" applyFont="0" applyFill="0" applyBorder="0" applyAlignment="0" applyProtection="0"/>
    <xf numFmtId="43" fontId="16" fillId="0" borderId="0" applyFont="0" applyFill="0" applyBorder="0" applyAlignment="0" applyProtection="0"/>
    <xf numFmtId="43" fontId="23" fillId="0" borderId="0" applyFont="0" applyFill="0" applyBorder="0" applyAlignment="0" applyProtection="0"/>
    <xf numFmtId="43" fontId="5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5" fontId="54" fillId="0" borderId="0" applyFont="0" applyFill="0" applyBorder="0" applyAlignment="0" applyProtection="0">
      <protection locked="0"/>
    </xf>
    <xf numFmtId="168" fontId="55" fillId="0" borderId="0" applyNumberFormat="0" applyFill="0" applyBorder="0" applyAlignment="0" applyProtection="0">
      <protection locked="0"/>
    </xf>
    <xf numFmtId="168" fontId="56" fillId="0" borderId="0" applyNumberFormat="0" applyFill="0" applyBorder="0" applyAlignment="0" applyProtection="0">
      <protection locked="0"/>
    </xf>
    <xf numFmtId="169" fontId="57" fillId="0" borderId="0"/>
    <xf numFmtId="0" fontId="16" fillId="0" borderId="0"/>
    <xf numFmtId="0" fontId="16" fillId="0" borderId="0"/>
    <xf numFmtId="0" fontId="16" fillId="0" borderId="0"/>
    <xf numFmtId="0" fontId="16" fillId="0" borderId="0"/>
    <xf numFmtId="0" fontId="23" fillId="0" borderId="0"/>
    <xf numFmtId="0" fontId="53" fillId="0" borderId="0"/>
    <xf numFmtId="9" fontId="23" fillId="0" borderId="0" applyFont="0" applyFill="0" applyBorder="0" applyAlignment="0" applyProtection="0"/>
    <xf numFmtId="9" fontId="53" fillId="0" borderId="0" applyFont="0" applyFill="0" applyBorder="0" applyAlignment="0" applyProtection="0"/>
    <xf numFmtId="0" fontId="23" fillId="0" borderId="0"/>
    <xf numFmtId="170" fontId="58" fillId="0" borderId="13" applyBorder="0" applyAlignment="0">
      <alignment horizontal="center"/>
    </xf>
    <xf numFmtId="0" fontId="8" fillId="0" borderId="0"/>
    <xf numFmtId="43" fontId="8" fillId="0" borderId="0" applyFont="0" applyFill="0" applyBorder="0" applyAlignment="0" applyProtection="0"/>
    <xf numFmtId="9" fontId="8"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cellStyleXfs>
  <cellXfs count="469">
    <xf numFmtId="0" fontId="0" fillId="0" borderId="0" xfId="0"/>
    <xf numFmtId="0" fontId="0" fillId="0" borderId="0" xfId="0"/>
    <xf numFmtId="0" fontId="0" fillId="2" borderId="0" xfId="0" applyFill="1" applyProtection="1">
      <protection locked="0"/>
    </xf>
    <xf numFmtId="0" fontId="0" fillId="2" borderId="0" xfId="0" applyFill="1"/>
    <xf numFmtId="0" fontId="0" fillId="0" borderId="0" xfId="0"/>
    <xf numFmtId="0" fontId="27" fillId="2" borderId="0" xfId="0" applyFont="1" applyFill="1"/>
    <xf numFmtId="0" fontId="27" fillId="2" borderId="0" xfId="0" applyFont="1" applyFill="1" applyProtection="1">
      <protection locked="0"/>
    </xf>
    <xf numFmtId="0" fontId="26" fillId="0" borderId="0" xfId="0" applyFont="1" applyAlignment="1"/>
    <xf numFmtId="0" fontId="26" fillId="2" borderId="0" xfId="0" applyFont="1" applyFill="1" applyProtection="1">
      <protection locked="0"/>
    </xf>
    <xf numFmtId="0" fontId="26" fillId="2" borderId="0" xfId="0" applyFont="1" applyFill="1" applyAlignment="1" applyProtection="1">
      <alignment wrapText="1"/>
      <protection locked="0"/>
    </xf>
    <xf numFmtId="0" fontId="26" fillId="0" borderId="0" xfId="0" applyFont="1"/>
    <xf numFmtId="0" fontId="20" fillId="0" borderId="0" xfId="0" applyFont="1"/>
    <xf numFmtId="9" fontId="20" fillId="0" borderId="0" xfId="8" applyFont="1"/>
    <xf numFmtId="0" fontId="29" fillId="0" borderId="0" xfId="0" applyFont="1"/>
    <xf numFmtId="164" fontId="20" fillId="0" borderId="0" xfId="0" applyNumberFormat="1" applyFont="1"/>
    <xf numFmtId="0" fontId="19" fillId="0" borderId="0" xfId="0" applyFont="1"/>
    <xf numFmtId="0" fontId="32" fillId="0" borderId="0" xfId="0" applyFont="1"/>
    <xf numFmtId="0" fontId="36" fillId="0" borderId="0" xfId="0" applyFont="1" applyAlignment="1">
      <alignment horizontal="right"/>
    </xf>
    <xf numFmtId="164" fontId="36" fillId="0" borderId="0" xfId="0" applyNumberFormat="1" applyFont="1"/>
    <xf numFmtId="0" fontId="35" fillId="0" borderId="0" xfId="0" applyFont="1" applyAlignment="1">
      <alignment horizontal="center"/>
    </xf>
    <xf numFmtId="0" fontId="0" fillId="0" borderId="0" xfId="0" applyFont="1"/>
    <xf numFmtId="0" fontId="20" fillId="0" borderId="0" xfId="0" applyFont="1" applyBorder="1"/>
    <xf numFmtId="0" fontId="33" fillId="0" borderId="0" xfId="0" applyFont="1"/>
    <xf numFmtId="0" fontId="38" fillId="0" borderId="0" xfId="0" applyFont="1"/>
    <xf numFmtId="0" fontId="38" fillId="0" borderId="0" xfId="0" applyFont="1" applyAlignment="1">
      <alignment vertical="center"/>
    </xf>
    <xf numFmtId="164" fontId="20" fillId="0" borderId="10" xfId="1" applyNumberFormat="1" applyFont="1" applyFill="1" applyBorder="1"/>
    <xf numFmtId="0" fontId="20" fillId="0" borderId="0" xfId="0" applyFont="1" applyFill="1"/>
    <xf numFmtId="0" fontId="32" fillId="0" borderId="0" xfId="0" applyFont="1" applyFill="1"/>
    <xf numFmtId="165" fontId="32" fillId="0" borderId="10" xfId="5" applyNumberFormat="1" applyFont="1" applyBorder="1"/>
    <xf numFmtId="0" fontId="34" fillId="0" borderId="0" xfId="0" applyFont="1" applyFill="1" applyAlignment="1">
      <alignment horizontal="left" vertical="center"/>
    </xf>
    <xf numFmtId="0" fontId="20" fillId="0" borderId="7" xfId="0" applyFont="1" applyFill="1" applyBorder="1"/>
    <xf numFmtId="0" fontId="20" fillId="0" borderId="11" xfId="0" applyFont="1" applyFill="1" applyBorder="1"/>
    <xf numFmtId="9" fontId="32" fillId="0" borderId="0" xfId="8" applyFont="1" applyFill="1" applyBorder="1"/>
    <xf numFmtId="9" fontId="20" fillId="0" borderId="7" xfId="0" applyNumberFormat="1" applyFont="1" applyFill="1" applyBorder="1"/>
    <xf numFmtId="164" fontId="20" fillId="0" borderId="0" xfId="0" applyNumberFormat="1" applyFont="1" applyFill="1" applyBorder="1"/>
    <xf numFmtId="164" fontId="20" fillId="0" borderId="10" xfId="0" applyNumberFormat="1" applyFont="1" applyFill="1" applyBorder="1"/>
    <xf numFmtId="9" fontId="32" fillId="0" borderId="10" xfId="8" applyFont="1" applyFill="1" applyBorder="1"/>
    <xf numFmtId="0" fontId="20" fillId="0" borderId="10" xfId="0" applyFont="1" applyFill="1" applyBorder="1"/>
    <xf numFmtId="164" fontId="20" fillId="0" borderId="7" xfId="0" applyNumberFormat="1" applyFont="1" applyFill="1" applyBorder="1"/>
    <xf numFmtId="0" fontId="40" fillId="0" borderId="0" xfId="0" applyFont="1" applyFill="1" applyAlignment="1">
      <alignment horizontal="right" vertical="center"/>
    </xf>
    <xf numFmtId="165" fontId="32" fillId="0" borderId="0" xfId="5" applyNumberFormat="1" applyFont="1" applyBorder="1"/>
    <xf numFmtId="0" fontId="38" fillId="0" borderId="0" xfId="0" applyFont="1" applyFill="1" applyAlignment="1">
      <alignment horizontal="left" vertical="center"/>
    </xf>
    <xf numFmtId="164" fontId="0" fillId="0" borderId="0" xfId="0" applyNumberFormat="1"/>
    <xf numFmtId="164" fontId="32" fillId="0" borderId="8" xfId="1" applyNumberFormat="1" applyFont="1" applyBorder="1"/>
    <xf numFmtId="0" fontId="0" fillId="0" borderId="0" xfId="0" applyAlignment="1">
      <alignment horizontal="right"/>
    </xf>
    <xf numFmtId="0" fontId="0" fillId="0" borderId="0" xfId="0" applyBorder="1"/>
    <xf numFmtId="164" fontId="32" fillId="0" borderId="0" xfId="1" applyNumberFormat="1" applyFont="1" applyFill="1" applyBorder="1"/>
    <xf numFmtId="0" fontId="23" fillId="2" borderId="0" xfId="0" applyFont="1" applyFill="1" applyProtection="1">
      <protection locked="0"/>
    </xf>
    <xf numFmtId="0" fontId="41" fillId="2" borderId="0" xfId="0" applyFont="1" applyFill="1" applyProtection="1">
      <protection locked="0"/>
    </xf>
    <xf numFmtId="0" fontId="26" fillId="2" borderId="0" xfId="0" applyFont="1" applyFill="1" applyAlignment="1" applyProtection="1">
      <protection locked="0"/>
    </xf>
    <xf numFmtId="0" fontId="23" fillId="2" borderId="0" xfId="0" applyFont="1" applyFill="1" applyAlignment="1" applyProtection="1">
      <protection locked="0"/>
    </xf>
    <xf numFmtId="0" fontId="23" fillId="2" borderId="0" xfId="0" applyFont="1" applyFill="1"/>
    <xf numFmtId="0" fontId="41" fillId="2" borderId="0" xfId="0" applyFont="1" applyFill="1" applyAlignment="1" applyProtection="1">
      <protection locked="0"/>
    </xf>
    <xf numFmtId="0" fontId="42" fillId="0" borderId="0" xfId="117" applyFont="1"/>
    <xf numFmtId="164" fontId="20" fillId="0" borderId="0" xfId="1" applyNumberFormat="1" applyFont="1" applyFill="1" applyBorder="1"/>
    <xf numFmtId="0" fontId="0" fillId="0" borderId="0" xfId="0" applyFill="1"/>
    <xf numFmtId="43" fontId="32" fillId="0" borderId="0" xfId="1" applyFont="1"/>
    <xf numFmtId="0" fontId="20" fillId="0" borderId="0" xfId="0" applyFont="1" applyFill="1" applyBorder="1" applyAlignment="1">
      <alignment horizontal="right"/>
    </xf>
    <xf numFmtId="9" fontId="20" fillId="0" borderId="0" xfId="0" applyNumberFormat="1" applyFont="1" applyFill="1" applyBorder="1"/>
    <xf numFmtId="0" fontId="45" fillId="0" borderId="0" xfId="0" applyFont="1" applyFill="1" applyAlignment="1">
      <alignment horizontal="left" vertical="center"/>
    </xf>
    <xf numFmtId="0" fontId="18" fillId="0" borderId="0" xfId="122"/>
    <xf numFmtId="0" fontId="18" fillId="0" borderId="0" xfId="122" applyFont="1" applyAlignment="1">
      <alignment horizontal="left"/>
    </xf>
    <xf numFmtId="0" fontId="18" fillId="0" borderId="0" xfId="122" applyAlignment="1">
      <alignment horizontal="right"/>
    </xf>
    <xf numFmtId="0" fontId="44" fillId="0" borderId="0" xfId="122" applyFont="1"/>
    <xf numFmtId="0" fontId="44" fillId="0" borderId="0" xfId="122" applyFont="1" applyAlignment="1">
      <alignment horizontal="right"/>
    </xf>
    <xf numFmtId="0" fontId="17" fillId="0" borderId="0" xfId="122" applyFont="1" applyAlignment="1">
      <alignment horizontal="center"/>
    </xf>
    <xf numFmtId="0" fontId="42" fillId="0" borderId="0" xfId="122" applyFont="1"/>
    <xf numFmtId="0" fontId="42" fillId="0" borderId="8" xfId="122" applyFont="1" applyFill="1" applyBorder="1"/>
    <xf numFmtId="0" fontId="42" fillId="0" borderId="0" xfId="122" applyFont="1" applyFill="1" applyAlignment="1">
      <alignment horizontal="right"/>
    </xf>
    <xf numFmtId="0" fontId="42" fillId="0" borderId="8" xfId="122" applyFont="1" applyBorder="1"/>
    <xf numFmtId="0" fontId="49" fillId="2" borderId="0" xfId="0" applyFont="1" applyFill="1"/>
    <xf numFmtId="0" fontId="49" fillId="0" borderId="0" xfId="0" applyFont="1"/>
    <xf numFmtId="0" fontId="16" fillId="0" borderId="0" xfId="0" applyFont="1"/>
    <xf numFmtId="0" fontId="16" fillId="0" borderId="0" xfId="0" applyFont="1" applyAlignment="1">
      <alignment horizontal="right"/>
    </xf>
    <xf numFmtId="165" fontId="32" fillId="0" borderId="0" xfId="5" applyNumberFormat="1" applyFont="1" applyFill="1" applyBorder="1"/>
    <xf numFmtId="165" fontId="32" fillId="0" borderId="8" xfId="5" applyNumberFormat="1" applyFont="1" applyFill="1" applyBorder="1"/>
    <xf numFmtId="164" fontId="20" fillId="0" borderId="0" xfId="0" applyNumberFormat="1" applyFont="1" applyFill="1"/>
    <xf numFmtId="164" fontId="32" fillId="0" borderId="0" xfId="1" applyNumberFormat="1" applyFont="1" applyBorder="1"/>
    <xf numFmtId="165" fontId="16" fillId="0" borderId="0" xfId="5" applyNumberFormat="1" applyFont="1"/>
    <xf numFmtId="0" fontId="16" fillId="0" borderId="0" xfId="0" applyFont="1" applyBorder="1"/>
    <xf numFmtId="44" fontId="16" fillId="0" borderId="0" xfId="5" applyNumberFormat="1" applyFont="1"/>
    <xf numFmtId="0" fontId="16" fillId="0" borderId="0" xfId="0" quotePrefix="1" applyFont="1"/>
    <xf numFmtId="0" fontId="16" fillId="0" borderId="0" xfId="0" applyFont="1" applyFill="1"/>
    <xf numFmtId="165" fontId="36" fillId="0" borderId="0" xfId="5" applyNumberFormat="1" applyFont="1"/>
    <xf numFmtId="0" fontId="16" fillId="0" borderId="0" xfId="0" applyFont="1" applyAlignment="1">
      <alignment horizontal="center"/>
    </xf>
    <xf numFmtId="0" fontId="16" fillId="0" borderId="8" xfId="0" applyFont="1" applyBorder="1" applyAlignment="1">
      <alignment horizontal="center"/>
    </xf>
    <xf numFmtId="0" fontId="20" fillId="0" borderId="0" xfId="0" applyFont="1" applyBorder="1" applyAlignment="1">
      <alignment horizontal="center"/>
    </xf>
    <xf numFmtId="0" fontId="20" fillId="0" borderId="7" xfId="0" applyFont="1" applyBorder="1"/>
    <xf numFmtId="164" fontId="32" fillId="0" borderId="10" xfId="1" applyNumberFormat="1" applyFont="1" applyBorder="1"/>
    <xf numFmtId="0" fontId="16" fillId="0" borderId="0" xfId="0" applyFont="1" applyBorder="1" applyAlignment="1">
      <alignment horizontal="center"/>
    </xf>
    <xf numFmtId="0" fontId="20" fillId="0" borderId="6" xfId="0" applyFont="1" applyBorder="1"/>
    <xf numFmtId="0" fontId="20" fillId="0" borderId="10" xfId="0" applyFont="1" applyBorder="1"/>
    <xf numFmtId="0" fontId="20" fillId="0" borderId="6" xfId="0" applyFont="1" applyBorder="1" applyAlignment="1">
      <alignment horizontal="center"/>
    </xf>
    <xf numFmtId="0" fontId="16" fillId="0" borderId="10" xfId="0" applyFont="1" applyBorder="1" applyAlignment="1">
      <alignment horizontal="center"/>
    </xf>
    <xf numFmtId="164" fontId="20" fillId="0" borderId="6" xfId="1" applyNumberFormat="1" applyFont="1" applyFill="1" applyBorder="1"/>
    <xf numFmtId="164" fontId="20" fillId="0" borderId="2" xfId="0" applyNumberFormat="1" applyFont="1" applyBorder="1"/>
    <xf numFmtId="164" fontId="20" fillId="0" borderId="7" xfId="0" applyNumberFormat="1" applyFont="1" applyBorder="1"/>
    <xf numFmtId="0" fontId="16" fillId="0" borderId="2" xfId="0" applyFont="1" applyBorder="1"/>
    <xf numFmtId="0" fontId="16" fillId="0" borderId="7" xfId="0" applyFont="1" applyBorder="1"/>
    <xf numFmtId="0" fontId="16" fillId="0" borderId="2" xfId="0" applyFont="1" applyBorder="1" applyAlignment="1">
      <alignment horizontal="center"/>
    </xf>
    <xf numFmtId="0" fontId="46" fillId="0" borderId="1" xfId="0" applyFont="1" applyFill="1" applyBorder="1" applyAlignment="1">
      <alignment horizontal="right"/>
    </xf>
    <xf numFmtId="0" fontId="46" fillId="0" borderId="3" xfId="0" applyFont="1" applyFill="1" applyBorder="1" applyAlignment="1">
      <alignment horizontal="right"/>
    </xf>
    <xf numFmtId="0" fontId="46" fillId="0" borderId="4" xfId="0" applyFont="1" applyFill="1" applyBorder="1" applyAlignment="1">
      <alignment horizontal="right"/>
    </xf>
    <xf numFmtId="0" fontId="17" fillId="0" borderId="1" xfId="0" applyFont="1" applyBorder="1"/>
    <xf numFmtId="0" fontId="20" fillId="0" borderId="11" xfId="0" applyFont="1" applyBorder="1" applyAlignment="1">
      <alignment horizontal="center"/>
    </xf>
    <xf numFmtId="0" fontId="16" fillId="0" borderId="6" xfId="0" applyFont="1" applyBorder="1" applyAlignment="1">
      <alignment horizontal="center"/>
    </xf>
    <xf numFmtId="0" fontId="16" fillId="0" borderId="9" xfId="0" applyFont="1" applyBorder="1" applyAlignment="1">
      <alignment horizontal="center"/>
    </xf>
    <xf numFmtId="0" fontId="16" fillId="0" borderId="12" xfId="0" applyFont="1" applyBorder="1" applyAlignment="1">
      <alignment horizontal="center"/>
    </xf>
    <xf numFmtId="0" fontId="16" fillId="0" borderId="13" xfId="0" applyFont="1" applyBorder="1" applyAlignment="1">
      <alignment horizontal="center"/>
    </xf>
    <xf numFmtId="0" fontId="16" fillId="0" borderId="5" xfId="0" applyFont="1" applyBorder="1" applyAlignment="1">
      <alignment horizontal="center"/>
    </xf>
    <xf numFmtId="0" fontId="50" fillId="0" borderId="0" xfId="0" applyFont="1"/>
    <xf numFmtId="165" fontId="32" fillId="0" borderId="8" xfId="5" applyNumberFormat="1" applyFont="1" applyBorder="1"/>
    <xf numFmtId="0" fontId="16" fillId="0" borderId="7" xfId="0" applyFont="1" applyBorder="1" applyAlignment="1">
      <alignment horizontal="center"/>
    </xf>
    <xf numFmtId="0" fontId="16" fillId="0" borderId="11" xfId="0" applyFont="1" applyBorder="1"/>
    <xf numFmtId="165" fontId="20" fillId="0" borderId="10" xfId="5" applyNumberFormat="1" applyFont="1" applyBorder="1"/>
    <xf numFmtId="0" fontId="50" fillId="0" borderId="0" xfId="117" applyFont="1"/>
    <xf numFmtId="0" fontId="16" fillId="0" borderId="0" xfId="117" applyFont="1"/>
    <xf numFmtId="0" fontId="31" fillId="2" borderId="0" xfId="0" applyFont="1" applyFill="1"/>
    <xf numFmtId="165" fontId="20" fillId="0" borderId="0" xfId="5" applyNumberFormat="1" applyFont="1" applyBorder="1"/>
    <xf numFmtId="164" fontId="30" fillId="0" borderId="0" xfId="1" applyNumberFormat="1" applyFont="1" applyFill="1"/>
    <xf numFmtId="165" fontId="30" fillId="0" borderId="0" xfId="5" applyNumberFormat="1" applyFont="1" applyFill="1"/>
    <xf numFmtId="43" fontId="32" fillId="0" borderId="8" xfId="1" applyFont="1" applyFill="1" applyBorder="1"/>
    <xf numFmtId="166" fontId="32" fillId="0" borderId="0" xfId="5" applyNumberFormat="1" applyFont="1" applyBorder="1"/>
    <xf numFmtId="165" fontId="20" fillId="0" borderId="2" xfId="5" applyNumberFormat="1" applyFont="1" applyBorder="1"/>
    <xf numFmtId="165" fontId="20" fillId="0" borderId="7" xfId="5" applyNumberFormat="1" applyFont="1" applyBorder="1"/>
    <xf numFmtId="0" fontId="39" fillId="0" borderId="8" xfId="0" applyFont="1" applyBorder="1" applyAlignment="1">
      <alignment horizontal="center" wrapText="1"/>
    </xf>
    <xf numFmtId="0" fontId="39" fillId="0" borderId="8" xfId="0" applyFont="1" applyFill="1" applyBorder="1" applyAlignment="1">
      <alignment horizontal="center" wrapText="1"/>
    </xf>
    <xf numFmtId="0" fontId="14" fillId="0" borderId="0" xfId="0" applyFont="1" applyAlignment="1">
      <alignment horizontal="center"/>
    </xf>
    <xf numFmtId="0" fontId="14" fillId="0" borderId="0" xfId="0" applyFont="1"/>
    <xf numFmtId="0" fontId="14" fillId="0" borderId="0" xfId="0" applyFont="1" applyFill="1" applyAlignment="1">
      <alignment horizontal="center"/>
    </xf>
    <xf numFmtId="0" fontId="14" fillId="0" borderId="0" xfId="117" applyFont="1"/>
    <xf numFmtId="0" fontId="14" fillId="0" borderId="7" xfId="0" applyFont="1" applyBorder="1"/>
    <xf numFmtId="0" fontId="14" fillId="0" borderId="11" xfId="0" applyFont="1" applyBorder="1"/>
    <xf numFmtId="0" fontId="16" fillId="0" borderId="8" xfId="0" applyFont="1" applyFill="1" applyBorder="1"/>
    <xf numFmtId="164" fontId="32" fillId="0" borderId="10" xfId="1" applyNumberFormat="1" applyFont="1" applyFill="1" applyBorder="1"/>
    <xf numFmtId="165" fontId="32" fillId="0" borderId="10" xfId="5" applyNumberFormat="1" applyFont="1" applyFill="1" applyBorder="1"/>
    <xf numFmtId="0" fontId="13" fillId="0" borderId="0" xfId="0" applyFont="1" applyAlignment="1">
      <alignment horizontal="center"/>
    </xf>
    <xf numFmtId="0" fontId="13" fillId="0" borderId="0" xfId="0" applyFont="1" applyFill="1" applyAlignment="1">
      <alignment horizontal="center"/>
    </xf>
    <xf numFmtId="0" fontId="39" fillId="0" borderId="1" xfId="0" applyFont="1" applyBorder="1" applyAlignment="1">
      <alignment horizontal="left" vertical="center"/>
    </xf>
    <xf numFmtId="0" fontId="14" fillId="0" borderId="10" xfId="0" applyFont="1" applyBorder="1"/>
    <xf numFmtId="0" fontId="14" fillId="0" borderId="12" xfId="0" applyFont="1" applyBorder="1"/>
    <xf numFmtId="0" fontId="39" fillId="0" borderId="2" xfId="0" applyFont="1" applyBorder="1" applyAlignment="1">
      <alignment vertical="center"/>
    </xf>
    <xf numFmtId="0" fontId="32" fillId="0" borderId="0" xfId="0" applyFont="1" applyFill="1" applyBorder="1" applyAlignment="1">
      <alignment horizontal="center"/>
    </xf>
    <xf numFmtId="0" fontId="32" fillId="0" borderId="13" xfId="0" applyFont="1" applyFill="1" applyBorder="1" applyAlignment="1">
      <alignment horizontal="center"/>
    </xf>
    <xf numFmtId="0" fontId="20" fillId="0" borderId="7" xfId="0" applyFont="1" applyBorder="1" applyAlignment="1">
      <alignment horizontal="center"/>
    </xf>
    <xf numFmtId="0" fontId="32" fillId="0" borderId="9" xfId="0" applyFont="1" applyFill="1" applyBorder="1" applyAlignment="1">
      <alignment horizontal="center"/>
    </xf>
    <xf numFmtId="164" fontId="20" fillId="0" borderId="8" xfId="0" applyNumberFormat="1" applyFont="1" applyFill="1" applyBorder="1"/>
    <xf numFmtId="0" fontId="16" fillId="0" borderId="15" xfId="0" applyFont="1" applyBorder="1"/>
    <xf numFmtId="165" fontId="16" fillId="0" borderId="0" xfId="0" applyNumberFormat="1" applyFont="1" applyBorder="1" applyAlignment="1">
      <alignment horizontal="center"/>
    </xf>
    <xf numFmtId="165" fontId="36" fillId="0" borderId="0" xfId="0" applyNumberFormat="1" applyFont="1"/>
    <xf numFmtId="165" fontId="16" fillId="0" borderId="9" xfId="0" applyNumberFormat="1" applyFont="1" applyBorder="1" applyAlignment="1">
      <alignment horizontal="center"/>
    </xf>
    <xf numFmtId="0" fontId="16" fillId="0" borderId="0" xfId="0" applyFont="1" applyFill="1" applyBorder="1" applyAlignment="1">
      <alignment horizontal="center"/>
    </xf>
    <xf numFmtId="164" fontId="32" fillId="0" borderId="7" xfId="1" applyNumberFormat="1" applyFont="1" applyFill="1" applyBorder="1"/>
    <xf numFmtId="165" fontId="20" fillId="0" borderId="0" xfId="5" applyNumberFormat="1" applyFont="1" applyFill="1" applyBorder="1"/>
    <xf numFmtId="0" fontId="16" fillId="0" borderId="9" xfId="0" applyFont="1" applyFill="1" applyBorder="1" applyAlignment="1">
      <alignment horizontal="center"/>
    </xf>
    <xf numFmtId="0" fontId="16" fillId="0" borderId="14" xfId="0" applyFont="1" applyBorder="1" applyAlignment="1">
      <alignment horizontal="center"/>
    </xf>
    <xf numFmtId="0" fontId="20" fillId="0" borderId="10" xfId="0" applyFont="1" applyBorder="1" applyAlignment="1">
      <alignment horizontal="center"/>
    </xf>
    <xf numFmtId="0" fontId="20" fillId="0" borderId="12" xfId="0" applyFont="1" applyBorder="1" applyAlignment="1">
      <alignment horizontal="center"/>
    </xf>
    <xf numFmtId="0" fontId="32" fillId="0" borderId="6" xfId="0" applyFont="1" applyFill="1" applyBorder="1" applyAlignment="1">
      <alignment horizontal="center"/>
    </xf>
    <xf numFmtId="0" fontId="32" fillId="0" borderId="10" xfId="0" applyFont="1" applyFill="1" applyBorder="1" applyAlignment="1">
      <alignment horizontal="center"/>
    </xf>
    <xf numFmtId="0" fontId="32" fillId="0" borderId="12" xfId="0" applyFont="1" applyFill="1" applyBorder="1" applyAlignment="1">
      <alignment horizontal="center"/>
    </xf>
    <xf numFmtId="0" fontId="37" fillId="0" borderId="2" xfId="0" applyFont="1" applyBorder="1"/>
    <xf numFmtId="0" fontId="37" fillId="0" borderId="7" xfId="0" applyFont="1" applyBorder="1"/>
    <xf numFmtId="171" fontId="20" fillId="0" borderId="0" xfId="0" applyNumberFormat="1" applyFont="1" applyFill="1"/>
    <xf numFmtId="43" fontId="36" fillId="0" borderId="0" xfId="1" applyNumberFormat="1" applyFont="1"/>
    <xf numFmtId="0" fontId="11" fillId="0" borderId="0" xfId="0" applyFont="1" applyFill="1" applyAlignment="1">
      <alignment horizontal="center"/>
    </xf>
    <xf numFmtId="0" fontId="18" fillId="0" borderId="0" xfId="122" applyFill="1"/>
    <xf numFmtId="9" fontId="32" fillId="0" borderId="7" xfId="8" applyFont="1" applyFill="1" applyBorder="1"/>
    <xf numFmtId="0" fontId="62" fillId="0" borderId="0" xfId="0" applyFont="1" applyFill="1"/>
    <xf numFmtId="0" fontId="16" fillId="0" borderId="15" xfId="0" applyFont="1" applyBorder="1" applyAlignment="1">
      <alignment horizontal="center"/>
    </xf>
    <xf numFmtId="164" fontId="16" fillId="0" borderId="0" xfId="0" applyNumberFormat="1" applyFont="1"/>
    <xf numFmtId="0" fontId="16" fillId="0" borderId="2" xfId="0" applyFont="1" applyFill="1" applyBorder="1"/>
    <xf numFmtId="0" fontId="16" fillId="0" borderId="7" xfId="0" applyFont="1" applyFill="1" applyBorder="1" applyAlignment="1">
      <alignment horizontal="center"/>
    </xf>
    <xf numFmtId="0" fontId="16" fillId="0" borderId="5" xfId="0" applyFont="1" applyFill="1" applyBorder="1" applyAlignment="1">
      <alignment horizontal="center"/>
    </xf>
    <xf numFmtId="0" fontId="16" fillId="0" borderId="8" xfId="0" applyFont="1" applyFill="1" applyBorder="1" applyAlignment="1">
      <alignment horizontal="center"/>
    </xf>
    <xf numFmtId="165" fontId="16" fillId="0" borderId="10" xfId="5" applyNumberFormat="1" applyFont="1" applyBorder="1"/>
    <xf numFmtId="165" fontId="16" fillId="0" borderId="0" xfId="5" applyNumberFormat="1" applyFont="1" applyBorder="1"/>
    <xf numFmtId="165" fontId="16" fillId="0" borderId="8" xfId="5" applyNumberFormat="1" applyFont="1" applyBorder="1"/>
    <xf numFmtId="165" fontId="20" fillId="0" borderId="8" xfId="5" applyNumberFormat="1" applyFont="1" applyFill="1" applyBorder="1"/>
    <xf numFmtId="165" fontId="20" fillId="0" borderId="10" xfId="5" applyNumberFormat="1" applyFont="1" applyFill="1" applyBorder="1"/>
    <xf numFmtId="164" fontId="16" fillId="0" borderId="0" xfId="0" applyNumberFormat="1" applyFont="1" applyAlignment="1">
      <alignment horizontal="right"/>
    </xf>
    <xf numFmtId="0" fontId="60" fillId="0" borderId="0" xfId="0" applyFont="1" applyAlignment="1">
      <alignment horizontal="center" vertical="center"/>
    </xf>
    <xf numFmtId="0" fontId="16" fillId="0" borderId="0" xfId="0" applyFont="1" applyAlignment="1">
      <alignment horizontal="left"/>
    </xf>
    <xf numFmtId="0" fontId="16" fillId="0" borderId="10" xfId="0" applyFont="1" applyFill="1" applyBorder="1"/>
    <xf numFmtId="165" fontId="16" fillId="0" borderId="0" xfId="0" applyNumberFormat="1" applyFont="1"/>
    <xf numFmtId="0" fontId="10" fillId="0" borderId="0" xfId="0" applyFont="1" applyAlignment="1">
      <alignment horizontal="center"/>
    </xf>
    <xf numFmtId="0" fontId="39" fillId="0" borderId="6" xfId="0" applyFont="1" applyBorder="1" applyAlignment="1">
      <alignment vertical="center"/>
    </xf>
    <xf numFmtId="0" fontId="16" fillId="0" borderId="13" xfId="0" applyFont="1" applyFill="1" applyBorder="1" applyAlignment="1">
      <alignment horizontal="center"/>
    </xf>
    <xf numFmtId="0" fontId="16" fillId="0" borderId="14" xfId="0" applyFont="1" applyFill="1" applyBorder="1" applyAlignment="1">
      <alignment horizontal="center"/>
    </xf>
    <xf numFmtId="164" fontId="30" fillId="0" borderId="8" xfId="1" applyNumberFormat="1" applyFont="1" applyFill="1" applyBorder="1"/>
    <xf numFmtId="0" fontId="42" fillId="6" borderId="0" xfId="122" applyFont="1" applyFill="1" applyBorder="1"/>
    <xf numFmtId="0" fontId="42" fillId="7" borderId="0" xfId="122" applyFont="1" applyFill="1" applyBorder="1"/>
    <xf numFmtId="0" fontId="42" fillId="8" borderId="0" xfId="122" applyFont="1" applyFill="1" applyBorder="1"/>
    <xf numFmtId="0" fontId="64" fillId="8" borderId="0" xfId="122" applyFont="1" applyFill="1" applyBorder="1" applyAlignment="1">
      <alignment horizontal="right"/>
    </xf>
    <xf numFmtId="0" fontId="64" fillId="7" borderId="0" xfId="122" applyFont="1" applyFill="1" applyBorder="1" applyAlignment="1">
      <alignment horizontal="right"/>
    </xf>
    <xf numFmtId="0" fontId="64" fillId="6" borderId="0" xfId="122" applyFont="1" applyFill="1" applyBorder="1" applyAlignment="1">
      <alignment horizontal="right"/>
    </xf>
    <xf numFmtId="165" fontId="16" fillId="0" borderId="13" xfId="0" applyNumberFormat="1" applyFont="1" applyBorder="1" applyAlignment="1">
      <alignment horizontal="center"/>
    </xf>
    <xf numFmtId="0" fontId="16" fillId="0" borderId="11" xfId="0" applyFont="1" applyFill="1" applyBorder="1"/>
    <xf numFmtId="165" fontId="32" fillId="0" borderId="7" xfId="5" applyNumberFormat="1" applyFont="1" applyFill="1" applyBorder="1"/>
    <xf numFmtId="43" fontId="32" fillId="0" borderId="0" xfId="1" applyFont="1" applyFill="1" applyBorder="1"/>
    <xf numFmtId="0" fontId="16" fillId="0" borderId="6" xfId="0" applyFont="1" applyFill="1" applyBorder="1" applyAlignment="1">
      <alignment horizontal="center"/>
    </xf>
    <xf numFmtId="0" fontId="16" fillId="0" borderId="10" xfId="0" applyFont="1" applyFill="1" applyBorder="1" applyAlignment="1">
      <alignment horizontal="center"/>
    </xf>
    <xf numFmtId="0" fontId="16" fillId="0" borderId="12" xfId="0" applyFont="1" applyFill="1" applyBorder="1" applyAlignment="1">
      <alignment horizontal="center"/>
    </xf>
    <xf numFmtId="0" fontId="9" fillId="0" borderId="0" xfId="0" applyFont="1" applyAlignment="1">
      <alignment horizontal="center"/>
    </xf>
    <xf numFmtId="0" fontId="18" fillId="0" borderId="0" xfId="122" applyFill="1" applyBorder="1"/>
    <xf numFmtId="0" fontId="18" fillId="0" borderId="0" xfId="122" applyFill="1" applyBorder="1" applyAlignment="1">
      <alignment horizontal="right"/>
    </xf>
    <xf numFmtId="0" fontId="16" fillId="0" borderId="0" xfId="122" applyFont="1" applyFill="1" applyBorder="1" applyAlignment="1">
      <alignment horizontal="right"/>
    </xf>
    <xf numFmtId="0" fontId="17" fillId="0" borderId="0" xfId="122" applyFont="1" applyFill="1" applyBorder="1" applyAlignment="1">
      <alignment horizontal="right"/>
    </xf>
    <xf numFmtId="0" fontId="18" fillId="0" borderId="0" xfId="122" applyFill="1" applyBorder="1" applyAlignment="1">
      <alignment horizontal="center"/>
    </xf>
    <xf numFmtId="0" fontId="47" fillId="0" borderId="0" xfId="122" applyFont="1" applyFill="1" applyBorder="1" applyAlignment="1"/>
    <xf numFmtId="164" fontId="36" fillId="0" borderId="0" xfId="122" applyNumberFormat="1" applyFont="1"/>
    <xf numFmtId="164" fontId="32" fillId="0" borderId="10" xfId="0" applyNumberFormat="1" applyFont="1" applyFill="1" applyBorder="1"/>
    <xf numFmtId="164" fontId="32" fillId="0" borderId="12" xfId="0" applyNumberFormat="1" applyFont="1" applyFill="1" applyBorder="1"/>
    <xf numFmtId="164" fontId="32" fillId="0" borderId="0" xfId="0" applyNumberFormat="1" applyFont="1" applyFill="1" applyBorder="1"/>
    <xf numFmtId="164" fontId="32" fillId="0" borderId="13" xfId="0" applyNumberFormat="1" applyFont="1" applyFill="1" applyBorder="1"/>
    <xf numFmtId="17" fontId="49" fillId="2" borderId="0" xfId="0" applyNumberFormat="1" applyFont="1" applyFill="1" applyProtection="1">
      <protection locked="0"/>
    </xf>
    <xf numFmtId="0" fontId="65" fillId="2" borderId="0" xfId="0" applyFont="1" applyFill="1" applyAlignment="1">
      <alignment horizontal="center"/>
    </xf>
    <xf numFmtId="166" fontId="32" fillId="0" borderId="0" xfId="5" applyNumberFormat="1" applyFont="1" applyFill="1" applyBorder="1"/>
    <xf numFmtId="0" fontId="8" fillId="0" borderId="0" xfId="0" applyFont="1"/>
    <xf numFmtId="0" fontId="7" fillId="0" borderId="0" xfId="0" applyFont="1" applyFill="1" applyAlignment="1">
      <alignment horizontal="center"/>
    </xf>
    <xf numFmtId="164" fontId="16" fillId="0" borderId="2" xfId="0" applyNumberFormat="1" applyFont="1" applyBorder="1"/>
    <xf numFmtId="164" fontId="16" fillId="0" borderId="7" xfId="0" applyNumberFormat="1" applyFont="1" applyBorder="1"/>
    <xf numFmtId="164" fontId="16" fillId="0" borderId="11" xfId="0" applyNumberFormat="1" applyFont="1" applyBorder="1"/>
    <xf numFmtId="0" fontId="16" fillId="0" borderId="7" xfId="0" applyFont="1" applyFill="1" applyBorder="1"/>
    <xf numFmtId="165" fontId="16" fillId="0" borderId="2" xfId="5" applyNumberFormat="1" applyFont="1" applyBorder="1"/>
    <xf numFmtId="165" fontId="16" fillId="0" borderId="7" xfId="5" applyNumberFormat="1" applyFont="1" applyBorder="1"/>
    <xf numFmtId="165" fontId="16" fillId="0" borderId="11" xfId="5" applyNumberFormat="1" applyFont="1" applyBorder="1"/>
    <xf numFmtId="165" fontId="16" fillId="0" borderId="9" xfId="5" applyNumberFormat="1" applyFont="1" applyBorder="1"/>
    <xf numFmtId="165" fontId="16" fillId="0" borderId="5" xfId="5" applyNumberFormat="1" applyFont="1" applyBorder="1"/>
    <xf numFmtId="165" fontId="16" fillId="0" borderId="6" xfId="5" applyNumberFormat="1" applyFont="1" applyBorder="1"/>
    <xf numFmtId="0" fontId="10" fillId="0" borderId="0" xfId="0" applyFont="1" applyFill="1"/>
    <xf numFmtId="0" fontId="14" fillId="0" borderId="0" xfId="0" applyFont="1" applyFill="1"/>
    <xf numFmtId="0" fontId="9" fillId="0" borderId="0" xfId="0" applyFont="1" applyFill="1" applyAlignment="1">
      <alignment horizontal="center"/>
    </xf>
    <xf numFmtId="0" fontId="12" fillId="0" borderId="0" xfId="0" applyFont="1" applyFill="1" applyAlignment="1">
      <alignment horizontal="center"/>
    </xf>
    <xf numFmtId="164" fontId="20" fillId="0" borderId="8" xfId="1" applyNumberFormat="1" applyFont="1" applyFill="1" applyBorder="1"/>
    <xf numFmtId="0" fontId="7" fillId="0" borderId="0" xfId="0" applyFont="1"/>
    <xf numFmtId="0" fontId="39" fillId="0" borderId="7" xfId="0" applyFont="1" applyBorder="1" applyAlignment="1">
      <alignment vertical="center"/>
    </xf>
    <xf numFmtId="44" fontId="32" fillId="0" borderId="0" xfId="5" applyNumberFormat="1" applyFont="1" applyBorder="1"/>
    <xf numFmtId="0" fontId="20" fillId="0" borderId="6" xfId="0" applyFont="1" applyFill="1" applyBorder="1" applyAlignment="1"/>
    <xf numFmtId="0" fontId="20" fillId="0" borderId="12" xfId="0" applyFont="1" applyFill="1" applyBorder="1" applyAlignment="1"/>
    <xf numFmtId="0" fontId="20" fillId="0" borderId="13" xfId="0" applyFont="1" applyFill="1" applyBorder="1" applyAlignment="1"/>
    <xf numFmtId="0" fontId="20" fillId="0" borderId="14" xfId="0" applyFont="1" applyFill="1" applyBorder="1" applyAlignment="1"/>
    <xf numFmtId="164" fontId="32" fillId="0" borderId="8" xfId="0" applyNumberFormat="1" applyFont="1" applyFill="1" applyBorder="1"/>
    <xf numFmtId="164" fontId="32" fillId="0" borderId="14" xfId="0" applyNumberFormat="1" applyFont="1" applyFill="1" applyBorder="1"/>
    <xf numFmtId="0" fontId="16" fillId="0" borderId="2" xfId="0" applyFont="1" applyBorder="1" applyAlignment="1">
      <alignment horizontal="left"/>
    </xf>
    <xf numFmtId="20" fontId="7" fillId="0" borderId="0" xfId="0" quotePrefix="1" applyNumberFormat="1" applyFont="1" applyFill="1" applyAlignment="1">
      <alignment horizontal="center"/>
    </xf>
    <xf numFmtId="0" fontId="7" fillId="0" borderId="0" xfId="0" applyFont="1" applyFill="1"/>
    <xf numFmtId="0" fontId="16" fillId="0" borderId="0" xfId="0" quotePrefix="1" applyFont="1" applyFill="1"/>
    <xf numFmtId="0" fontId="13" fillId="0" borderId="0" xfId="0" quotePrefix="1" applyFont="1" applyFill="1" applyAlignment="1">
      <alignment horizontal="center"/>
    </xf>
    <xf numFmtId="0" fontId="10" fillId="0" borderId="0" xfId="0" applyFont="1" applyFill="1" applyAlignment="1">
      <alignment horizontal="center"/>
    </xf>
    <xf numFmtId="0" fontId="7" fillId="0" borderId="0" xfId="0" quotePrefix="1" applyFont="1" applyFill="1" applyAlignment="1">
      <alignment horizontal="center"/>
    </xf>
    <xf numFmtId="0" fontId="7" fillId="0" borderId="0" xfId="0" applyFont="1" applyAlignment="1">
      <alignment horizontal="center"/>
    </xf>
    <xf numFmtId="0" fontId="16" fillId="0" borderId="5" xfId="0" applyFont="1" applyFill="1" applyBorder="1" applyAlignment="1"/>
    <xf numFmtId="0" fontId="20" fillId="0" borderId="0" xfId="0" applyFont="1" applyFill="1" applyBorder="1"/>
    <xf numFmtId="164" fontId="43" fillId="0" borderId="0" xfId="0" applyNumberFormat="1" applyFont="1"/>
    <xf numFmtId="0" fontId="43" fillId="0" borderId="0" xfId="0" applyFont="1"/>
    <xf numFmtId="164" fontId="16" fillId="0" borderId="0" xfId="0" applyNumberFormat="1" applyFont="1" applyBorder="1"/>
    <xf numFmtId="171" fontId="20" fillId="0" borderId="0" xfId="0" applyNumberFormat="1" applyFont="1" applyFill="1" applyBorder="1"/>
    <xf numFmtId="0" fontId="6" fillId="0" borderId="0" xfId="0" applyFont="1"/>
    <xf numFmtId="0" fontId="29" fillId="0" borderId="15" xfId="0" applyFont="1" applyBorder="1"/>
    <xf numFmtId="164" fontId="16" fillId="0" borderId="6" xfId="0" applyNumberFormat="1" applyFont="1" applyBorder="1"/>
    <xf numFmtId="164" fontId="16" fillId="0" borderId="10" xfId="0" applyNumberFormat="1" applyFont="1" applyBorder="1"/>
    <xf numFmtId="164" fontId="16" fillId="0" borderId="9" xfId="0" applyNumberFormat="1" applyFont="1" applyBorder="1"/>
    <xf numFmtId="164" fontId="16" fillId="0" borderId="9" xfId="0" applyNumberFormat="1" applyFont="1" applyBorder="1" applyAlignment="1">
      <alignment horizontal="right"/>
    </xf>
    <xf numFmtId="164" fontId="16" fillId="0" borderId="0" xfId="0" applyNumberFormat="1" applyFont="1" applyBorder="1" applyAlignment="1">
      <alignment horizontal="right"/>
    </xf>
    <xf numFmtId="164" fontId="16" fillId="0" borderId="5" xfId="0" applyNumberFormat="1" applyFont="1" applyBorder="1"/>
    <xf numFmtId="164" fontId="16" fillId="0" borderId="8" xfId="0" applyNumberFormat="1" applyFont="1" applyBorder="1"/>
    <xf numFmtId="0" fontId="16" fillId="0" borderId="0" xfId="0" applyFont="1" applyFill="1" applyBorder="1" applyAlignment="1"/>
    <xf numFmtId="0" fontId="16" fillId="0" borderId="8" xfId="0" applyFont="1" applyFill="1" applyBorder="1" applyAlignment="1"/>
    <xf numFmtId="0" fontId="16" fillId="0" borderId="10" xfId="0" applyFont="1" applyFill="1" applyBorder="1" applyAlignment="1"/>
    <xf numFmtId="0" fontId="36" fillId="0" borderId="0" xfId="0" applyFont="1" applyAlignment="1">
      <alignment horizontal="center"/>
    </xf>
    <xf numFmtId="44" fontId="16" fillId="0" borderId="10" xfId="5" applyNumberFormat="1" applyFont="1" applyBorder="1"/>
    <xf numFmtId="44" fontId="16" fillId="0" borderId="0" xfId="5" applyNumberFormat="1" applyFont="1" applyBorder="1"/>
    <xf numFmtId="44" fontId="16" fillId="0" borderId="8" xfId="5" applyNumberFormat="1" applyFont="1" applyBorder="1"/>
    <xf numFmtId="44" fontId="16" fillId="0" borderId="10" xfId="5" applyNumberFormat="1" applyFont="1" applyFill="1" applyBorder="1"/>
    <xf numFmtId="44" fontId="16" fillId="0" borderId="8" xfId="5" applyNumberFormat="1" applyFont="1" applyFill="1" applyBorder="1"/>
    <xf numFmtId="0" fontId="16" fillId="0" borderId="0" xfId="0" applyFont="1" applyBorder="1" applyAlignment="1">
      <alignment horizontal="left"/>
    </xf>
    <xf numFmtId="165" fontId="32" fillId="0" borderId="17" xfId="5" applyNumberFormat="1" applyFont="1" applyFill="1" applyBorder="1"/>
    <xf numFmtId="43" fontId="32" fillId="0" borderId="17" xfId="1" applyFont="1" applyFill="1" applyBorder="1"/>
    <xf numFmtId="0" fontId="6" fillId="0" borderId="0" xfId="117" applyFont="1"/>
    <xf numFmtId="0" fontId="37" fillId="0" borderId="2" xfId="0" applyFont="1" applyFill="1" applyBorder="1" applyAlignment="1">
      <alignment horizontal="left"/>
    </xf>
    <xf numFmtId="164" fontId="43" fillId="0" borderId="0" xfId="1" applyNumberFormat="1" applyFont="1" applyFill="1"/>
    <xf numFmtId="0" fontId="59" fillId="0" borderId="0" xfId="0" applyFont="1" applyBorder="1"/>
    <xf numFmtId="164" fontId="51" fillId="0" borderId="0" xfId="0" applyNumberFormat="1" applyFont="1"/>
    <xf numFmtId="0" fontId="49" fillId="0" borderId="0" xfId="0" applyFont="1" applyBorder="1"/>
    <xf numFmtId="0" fontId="6" fillId="0" borderId="0" xfId="0" quotePrefix="1" applyFont="1" applyFill="1" applyAlignment="1">
      <alignment horizontal="center"/>
    </xf>
    <xf numFmtId="0" fontId="6" fillId="0" borderId="0" xfId="0" applyFont="1" applyFill="1" applyAlignment="1">
      <alignment horizontal="center"/>
    </xf>
    <xf numFmtId="0" fontId="6" fillId="0" borderId="0" xfId="0" applyFont="1" applyFill="1"/>
    <xf numFmtId="0" fontId="16" fillId="0" borderId="9" xfId="0" applyFont="1" applyFill="1" applyBorder="1" applyAlignment="1"/>
    <xf numFmtId="0" fontId="16" fillId="0" borderId="12" xfId="0" applyFont="1" applyFill="1" applyBorder="1"/>
    <xf numFmtId="0" fontId="16" fillId="0" borderId="6" xfId="0" applyFont="1" applyFill="1" applyBorder="1" applyAlignment="1"/>
    <xf numFmtId="0" fontId="20" fillId="0" borderId="0" xfId="0" applyFont="1" applyFill="1" applyBorder="1" applyAlignment="1">
      <alignment horizontal="left"/>
    </xf>
    <xf numFmtId="0" fontId="39" fillId="0" borderId="10" xfId="0" applyFont="1" applyBorder="1" applyAlignment="1">
      <alignment horizontal="left" vertical="center"/>
    </xf>
    <xf numFmtId="0" fontId="39" fillId="0" borderId="10" xfId="0" applyFont="1" applyBorder="1" applyAlignment="1">
      <alignment vertical="center"/>
    </xf>
    <xf numFmtId="0" fontId="6" fillId="0" borderId="0" xfId="0" applyFont="1" applyAlignment="1">
      <alignment horizontal="center"/>
    </xf>
    <xf numFmtId="0" fontId="39" fillId="3" borderId="2" xfId="117" applyFont="1" applyFill="1" applyBorder="1" applyAlignment="1">
      <alignment vertical="center"/>
    </xf>
    <xf numFmtId="0" fontId="39" fillId="3" borderId="7" xfId="117" applyFont="1" applyFill="1" applyBorder="1" applyAlignment="1">
      <alignment vertical="center"/>
    </xf>
    <xf numFmtId="0" fontId="39" fillId="3" borderId="11" xfId="117" applyFont="1" applyFill="1" applyBorder="1" applyAlignment="1">
      <alignment vertical="center"/>
    </xf>
    <xf numFmtId="0" fontId="6" fillId="0" borderId="0" xfId="0" applyFont="1" applyFill="1" applyBorder="1" applyAlignment="1">
      <alignment horizontal="left"/>
    </xf>
    <xf numFmtId="0" fontId="6" fillId="0" borderId="0" xfId="0" applyFont="1" applyFill="1" applyBorder="1" applyAlignment="1">
      <alignment horizontal="right"/>
    </xf>
    <xf numFmtId="0" fontId="32" fillId="0" borderId="7" xfId="0" applyFont="1" applyBorder="1"/>
    <xf numFmtId="0" fontId="32" fillId="0" borderId="7" xfId="0" applyFont="1" applyBorder="1" applyAlignment="1">
      <alignment horizontal="center"/>
    </xf>
    <xf numFmtId="0" fontId="32" fillId="0" borderId="11" xfId="0" applyFont="1" applyBorder="1" applyAlignment="1">
      <alignment horizontal="center"/>
    </xf>
    <xf numFmtId="43" fontId="36" fillId="0" borderId="0" xfId="0" applyNumberFormat="1" applyFont="1"/>
    <xf numFmtId="164" fontId="36" fillId="0" borderId="0" xfId="1" applyNumberFormat="1" applyFont="1" applyAlignment="1">
      <alignment horizontal="center"/>
    </xf>
    <xf numFmtId="0" fontId="63" fillId="0" borderId="8" xfId="0" applyFont="1" applyBorder="1" applyAlignment="1">
      <alignment horizontal="right" indent="1"/>
    </xf>
    <xf numFmtId="164" fontId="43" fillId="0" borderId="0" xfId="1" applyNumberFormat="1" applyFont="1"/>
    <xf numFmtId="0" fontId="6" fillId="0" borderId="8" xfId="0" applyFont="1" applyBorder="1"/>
    <xf numFmtId="165" fontId="6" fillId="0" borderId="0" xfId="5" applyNumberFormat="1" applyFont="1"/>
    <xf numFmtId="164" fontId="6" fillId="0" borderId="0" xfId="0" applyNumberFormat="1" applyFont="1" applyAlignment="1">
      <alignment horizontal="right"/>
    </xf>
    <xf numFmtId="0" fontId="6" fillId="0" borderId="0" xfId="0" applyFont="1" applyAlignment="1">
      <alignment horizontal="right"/>
    </xf>
    <xf numFmtId="164" fontId="6" fillId="0" borderId="0" xfId="0" applyNumberFormat="1" applyFont="1"/>
    <xf numFmtId="0" fontId="29" fillId="0" borderId="2" xfId="0" applyFont="1" applyFill="1" applyBorder="1" applyAlignment="1"/>
    <xf numFmtId="0" fontId="29" fillId="0" borderId="11" xfId="0" applyFont="1" applyFill="1" applyBorder="1" applyAlignment="1"/>
    <xf numFmtId="165" fontId="43" fillId="0" borderId="0" xfId="5" applyNumberFormat="1" applyFont="1"/>
    <xf numFmtId="165" fontId="43" fillId="0" borderId="0" xfId="5" applyNumberFormat="1" applyFont="1" applyFill="1"/>
    <xf numFmtId="0" fontId="5" fillId="0" borderId="15" xfId="0" applyFont="1" applyBorder="1"/>
    <xf numFmtId="0" fontId="30" fillId="0" borderId="15" xfId="0" applyFont="1" applyBorder="1"/>
    <xf numFmtId="165" fontId="30" fillId="0" borderId="15" xfId="5" applyNumberFormat="1" applyFont="1" applyBorder="1"/>
    <xf numFmtId="164" fontId="5" fillId="0" borderId="15" xfId="1" applyNumberFormat="1" applyFont="1" applyBorder="1"/>
    <xf numFmtId="0" fontId="60" fillId="0" borderId="0" xfId="0" applyFont="1" applyAlignment="1">
      <alignment horizontal="left" vertical="center"/>
    </xf>
    <xf numFmtId="164" fontId="16" fillId="0" borderId="2" xfId="1" applyNumberFormat="1" applyFont="1" applyBorder="1"/>
    <xf numFmtId="164" fontId="16" fillId="0" borderId="7" xfId="1" applyNumberFormat="1" applyFont="1" applyBorder="1"/>
    <xf numFmtId="164" fontId="16" fillId="0" borderId="11" xfId="1" applyNumberFormat="1" applyFont="1" applyBorder="1"/>
    <xf numFmtId="164" fontId="32" fillId="0" borderId="0" xfId="5" applyNumberFormat="1" applyFont="1" applyFill="1" applyBorder="1"/>
    <xf numFmtId="0" fontId="4" fillId="0" borderId="0" xfId="0" applyFont="1" applyFill="1" applyAlignment="1">
      <alignment horizontal="center"/>
    </xf>
    <xf numFmtId="44" fontId="32" fillId="0" borderId="0" xfId="5" applyNumberFormat="1" applyFont="1" applyFill="1" applyBorder="1"/>
    <xf numFmtId="0" fontId="4" fillId="0" borderId="0" xfId="0" quotePrefix="1" applyFont="1" applyFill="1" applyAlignment="1">
      <alignment horizontal="center"/>
    </xf>
    <xf numFmtId="0" fontId="4" fillId="0" borderId="0" xfId="0" applyFont="1" applyFill="1"/>
    <xf numFmtId="0" fontId="16" fillId="0" borderId="15" xfId="0" applyFont="1" applyBorder="1" applyAlignment="1">
      <alignment horizontal="left"/>
    </xf>
    <xf numFmtId="0" fontId="29" fillId="0" borderId="15" xfId="0" applyFont="1" applyBorder="1" applyAlignment="1">
      <alignment horizontal="left"/>
    </xf>
    <xf numFmtId="0" fontId="16" fillId="0" borderId="1" xfId="0" applyFont="1" applyBorder="1" applyAlignment="1">
      <alignment horizontal="left"/>
    </xf>
    <xf numFmtId="0" fontId="16" fillId="0" borderId="3" xfId="0" applyFont="1" applyBorder="1" applyAlignment="1">
      <alignment horizontal="left"/>
    </xf>
    <xf numFmtId="0" fontId="16" fillId="0" borderId="4" xfId="0" applyFont="1" applyBorder="1" applyAlignment="1">
      <alignment horizontal="left"/>
    </xf>
    <xf numFmtId="0" fontId="16" fillId="0" borderId="9" xfId="0" applyFont="1" applyBorder="1" applyAlignment="1">
      <alignment horizontal="left"/>
    </xf>
    <xf numFmtId="0" fontId="16" fillId="0" borderId="5" xfId="0" applyFont="1" applyBorder="1" applyAlignment="1">
      <alignment horizontal="left"/>
    </xf>
    <xf numFmtId="0" fontId="16" fillId="0" borderId="3" xfId="0" applyFont="1" applyFill="1" applyBorder="1" applyAlignment="1">
      <alignment horizontal="left"/>
    </xf>
    <xf numFmtId="0" fontId="37" fillId="0" borderId="15" xfId="0" applyFont="1" applyBorder="1"/>
    <xf numFmtId="0" fontId="16" fillId="0" borderId="15" xfId="0" applyFont="1" applyFill="1" applyBorder="1"/>
    <xf numFmtId="0" fontId="16" fillId="0" borderId="1" xfId="0" applyFont="1" applyFill="1" applyBorder="1" applyAlignment="1">
      <alignment horizontal="left"/>
    </xf>
    <xf numFmtId="0" fontId="16" fillId="0" borderId="6" xfId="0" applyFont="1" applyFill="1" applyBorder="1"/>
    <xf numFmtId="164" fontId="32" fillId="0" borderId="6" xfId="0" applyNumberFormat="1" applyFont="1" applyFill="1" applyBorder="1"/>
    <xf numFmtId="164" fontId="32" fillId="0" borderId="9" xfId="0" applyNumberFormat="1" applyFont="1" applyFill="1" applyBorder="1"/>
    <xf numFmtId="164" fontId="32" fillId="0" borderId="5" xfId="0" applyNumberFormat="1" applyFont="1" applyFill="1" applyBorder="1"/>
    <xf numFmtId="166" fontId="16" fillId="0" borderId="9" xfId="5" applyNumberFormat="1" applyFont="1" applyBorder="1"/>
    <xf numFmtId="166" fontId="16" fillId="0" borderId="0" xfId="5" applyNumberFormat="1" applyFont="1" applyBorder="1"/>
    <xf numFmtId="166" fontId="16" fillId="0" borderId="5" xfId="5" applyNumberFormat="1" applyFont="1" applyBorder="1"/>
    <xf numFmtId="166" fontId="16" fillId="0" borderId="8" xfId="5" applyNumberFormat="1" applyFont="1" applyBorder="1"/>
    <xf numFmtId="0" fontId="29" fillId="0" borderId="0" xfId="0" applyFont="1" applyAlignment="1">
      <alignment horizontal="left"/>
    </xf>
    <xf numFmtId="0" fontId="30" fillId="0" borderId="1" xfId="0" applyFont="1" applyBorder="1" applyAlignment="1">
      <alignment horizontal="right"/>
    </xf>
    <xf numFmtId="0" fontId="30" fillId="0" borderId="3" xfId="0" applyFont="1" applyBorder="1" applyAlignment="1">
      <alignment horizontal="right"/>
    </xf>
    <xf numFmtId="0" fontId="6" fillId="0" borderId="2" xfId="0" applyFont="1" applyBorder="1"/>
    <xf numFmtId="0" fontId="6" fillId="0" borderId="7" xfId="0" applyFont="1" applyBorder="1"/>
    <xf numFmtId="0" fontId="6" fillId="0" borderId="11" xfId="0" applyFont="1" applyBorder="1"/>
    <xf numFmtId="164" fontId="6" fillId="0" borderId="6" xfId="0" applyNumberFormat="1" applyFont="1" applyBorder="1"/>
    <xf numFmtId="164" fontId="6" fillId="0" borderId="10" xfId="0" applyNumberFormat="1" applyFont="1" applyBorder="1"/>
    <xf numFmtId="164" fontId="6" fillId="0" borderId="12" xfId="0" applyNumberFormat="1" applyFont="1" applyBorder="1"/>
    <xf numFmtId="164" fontId="6" fillId="0" borderId="9" xfId="0" applyNumberFormat="1" applyFont="1" applyBorder="1"/>
    <xf numFmtId="164" fontId="6" fillId="0" borderId="0" xfId="0" applyNumberFormat="1" applyFont="1" applyBorder="1"/>
    <xf numFmtId="164" fontId="6" fillId="0" borderId="13" xfId="0" applyNumberFormat="1" applyFont="1" applyBorder="1"/>
    <xf numFmtId="0" fontId="67" fillId="2" borderId="0" xfId="0" applyFont="1" applyFill="1"/>
    <xf numFmtId="0" fontId="16" fillId="0" borderId="1" xfId="0" applyFont="1" applyBorder="1" applyAlignment="1">
      <alignment horizontal="left"/>
    </xf>
    <xf numFmtId="0" fontId="16" fillId="0" borderId="3" xfId="0" applyFont="1" applyBorder="1" applyAlignment="1">
      <alignment horizontal="left"/>
    </xf>
    <xf numFmtId="0" fontId="16" fillId="0" borderId="4" xfId="0" applyFont="1" applyBorder="1" applyAlignment="1">
      <alignment horizontal="left"/>
    </xf>
    <xf numFmtId="167" fontId="32" fillId="0" borderId="10" xfId="8" applyNumberFormat="1" applyFont="1" applyFill="1" applyBorder="1"/>
    <xf numFmtId="0" fontId="32" fillId="0" borderId="20" xfId="0" applyFont="1" applyFill="1" applyBorder="1" applyAlignment="1">
      <alignment horizontal="center"/>
    </xf>
    <xf numFmtId="0" fontId="32" fillId="0" borderId="19" xfId="0" applyFont="1" applyFill="1" applyBorder="1" applyAlignment="1">
      <alignment horizontal="center"/>
    </xf>
    <xf numFmtId="0" fontId="32" fillId="0" borderId="21" xfId="0" applyFont="1" applyFill="1" applyBorder="1" applyAlignment="1">
      <alignment horizontal="center"/>
    </xf>
    <xf numFmtId="164" fontId="32" fillId="0" borderId="19" xfId="1" applyNumberFormat="1" applyFont="1" applyFill="1" applyBorder="1"/>
    <xf numFmtId="0" fontId="16" fillId="0" borderId="16" xfId="0" applyFont="1" applyFill="1" applyBorder="1" applyAlignment="1">
      <alignment horizontal="center"/>
    </xf>
    <xf numFmtId="0" fontId="16" fillId="0" borderId="17" xfId="0" applyFont="1" applyFill="1" applyBorder="1" applyAlignment="1">
      <alignment horizontal="center"/>
    </xf>
    <xf numFmtId="0" fontId="16" fillId="0" borderId="18" xfId="0" applyFont="1" applyFill="1" applyBorder="1" applyAlignment="1">
      <alignment horizontal="center"/>
    </xf>
    <xf numFmtId="164" fontId="32" fillId="0" borderId="17" xfId="1" applyNumberFormat="1" applyFont="1" applyFill="1" applyBorder="1"/>
    <xf numFmtId="0" fontId="3" fillId="0" borderId="15" xfId="0" applyFont="1" applyBorder="1"/>
    <xf numFmtId="0" fontId="4" fillId="0" borderId="0" xfId="0" applyFont="1" applyAlignment="1">
      <alignment horizontal="right"/>
    </xf>
    <xf numFmtId="0" fontId="3" fillId="0" borderId="3" xfId="0" applyFont="1" applyBorder="1" applyAlignment="1">
      <alignment horizontal="right"/>
    </xf>
    <xf numFmtId="0" fontId="42" fillId="0" borderId="0" xfId="0" applyFont="1" applyFill="1"/>
    <xf numFmtId="0" fontId="43" fillId="0" borderId="0" xfId="0" applyFont="1" applyAlignment="1">
      <alignment horizontal="center"/>
    </xf>
    <xf numFmtId="0" fontId="3" fillId="0" borderId="0" xfId="0" applyFont="1"/>
    <xf numFmtId="164" fontId="43" fillId="0" borderId="0" xfId="1" applyNumberFormat="1" applyFont="1" applyAlignment="1">
      <alignment horizontal="center"/>
    </xf>
    <xf numFmtId="165" fontId="6" fillId="0" borderId="6" xfId="5" applyNumberFormat="1" applyFont="1" applyBorder="1"/>
    <xf numFmtId="165" fontId="6" fillId="0" borderId="10" xfId="5" applyNumberFormat="1" applyFont="1" applyBorder="1"/>
    <xf numFmtId="165" fontId="6" fillId="0" borderId="12" xfId="5" applyNumberFormat="1" applyFont="1" applyBorder="1"/>
    <xf numFmtId="165" fontId="6" fillId="0" borderId="9" xfId="5" applyNumberFormat="1" applyFont="1" applyBorder="1"/>
    <xf numFmtId="165" fontId="6" fillId="0" borderId="0" xfId="5" applyNumberFormat="1" applyFont="1" applyBorder="1"/>
    <xf numFmtId="165" fontId="6" fillId="0" borderId="13" xfId="5" applyNumberFormat="1" applyFont="1" applyBorder="1"/>
    <xf numFmtId="0" fontId="30" fillId="0" borderId="6" xfId="0" applyFont="1" applyBorder="1" applyAlignment="1">
      <alignment horizontal="right"/>
    </xf>
    <xf numFmtId="0" fontId="3" fillId="0" borderId="9" xfId="0" applyFont="1" applyBorder="1" applyAlignment="1">
      <alignment horizontal="right"/>
    </xf>
    <xf numFmtId="0" fontId="30" fillId="0" borderId="9" xfId="0" applyFont="1" applyBorder="1" applyAlignment="1">
      <alignment horizontal="right"/>
    </xf>
    <xf numFmtId="0" fontId="6" fillId="0" borderId="6" xfId="0" applyFont="1" applyBorder="1"/>
    <xf numFmtId="0" fontId="6" fillId="0" borderId="10" xfId="0" applyFont="1" applyBorder="1"/>
    <xf numFmtId="0" fontId="6" fillId="0" borderId="12" xfId="0" applyFont="1" applyBorder="1"/>
    <xf numFmtId="0" fontId="30" fillId="0" borderId="15" xfId="0" applyFont="1" applyBorder="1" applyAlignment="1">
      <alignment horizontal="right"/>
    </xf>
    <xf numFmtId="164" fontId="6" fillId="0" borderId="0" xfId="1" applyNumberFormat="1" applyFont="1" applyFill="1" applyAlignment="1">
      <alignment horizontal="right"/>
    </xf>
    <xf numFmtId="164" fontId="6" fillId="0" borderId="0" xfId="1" applyNumberFormat="1" applyFont="1" applyFill="1"/>
    <xf numFmtId="164" fontId="6" fillId="0" borderId="19" xfId="1" applyNumberFormat="1" applyFont="1" applyFill="1" applyBorder="1" applyAlignment="1">
      <alignment horizontal="right"/>
    </xf>
    <xf numFmtId="164" fontId="6" fillId="0" borderId="19" xfId="1" applyNumberFormat="1" applyFont="1" applyFill="1" applyBorder="1"/>
    <xf numFmtId="0" fontId="63" fillId="0" borderId="8" xfId="0" applyFont="1" applyFill="1" applyBorder="1" applyAlignment="1">
      <alignment horizontal="right" indent="1"/>
    </xf>
    <xf numFmtId="0" fontId="6" fillId="0" borderId="8" xfId="0" applyFont="1" applyFill="1" applyBorder="1"/>
    <xf numFmtId="0" fontId="6" fillId="0" borderId="0" xfId="0" applyFont="1" applyFill="1" applyAlignment="1">
      <alignment horizontal="right"/>
    </xf>
    <xf numFmtId="165" fontId="6" fillId="0" borderId="0" xfId="5" applyNumberFormat="1" applyFont="1" applyFill="1"/>
    <xf numFmtId="0" fontId="6" fillId="0" borderId="19" xfId="0" applyFont="1" applyFill="1" applyBorder="1" applyAlignment="1">
      <alignment horizontal="right"/>
    </xf>
    <xf numFmtId="165" fontId="6" fillId="0" borderId="19" xfId="5" applyNumberFormat="1" applyFont="1" applyFill="1" applyBorder="1"/>
    <xf numFmtId="0" fontId="16" fillId="0" borderId="1" xfId="0" applyFont="1" applyBorder="1" applyAlignment="1">
      <alignment horizontal="left"/>
    </xf>
    <xf numFmtId="0" fontId="16" fillId="0" borderId="3" xfId="0" applyFont="1" applyBorder="1" applyAlignment="1">
      <alignment horizontal="left"/>
    </xf>
    <xf numFmtId="0" fontId="16" fillId="0" borderId="4" xfId="0" applyFont="1" applyBorder="1" applyAlignment="1">
      <alignment horizontal="left"/>
    </xf>
    <xf numFmtId="0" fontId="16" fillId="0" borderId="15" xfId="0" applyFont="1" applyBorder="1" applyAlignment="1">
      <alignment horizontal="left"/>
    </xf>
    <xf numFmtId="0" fontId="2" fillId="0" borderId="2" xfId="0" applyFont="1" applyBorder="1" applyAlignment="1">
      <alignment horizontal="right"/>
    </xf>
    <xf numFmtId="0" fontId="4" fillId="0" borderId="0" xfId="0" applyFont="1"/>
    <xf numFmtId="164" fontId="4" fillId="0" borderId="19" xfId="1" applyNumberFormat="1" applyFont="1" applyFill="1" applyBorder="1" applyAlignment="1">
      <alignment horizontal="right"/>
    </xf>
    <xf numFmtId="164" fontId="4" fillId="0" borderId="0" xfId="1" applyNumberFormat="1" applyFont="1" applyFill="1" applyAlignment="1">
      <alignment horizontal="right"/>
    </xf>
    <xf numFmtId="0" fontId="42" fillId="5" borderId="3" xfId="0" applyFont="1" applyFill="1" applyBorder="1" applyAlignment="1">
      <alignment horizontal="left" indent="1"/>
    </xf>
    <xf numFmtId="0" fontId="42" fillId="5" borderId="3" xfId="0" quotePrefix="1" applyFont="1" applyFill="1" applyBorder="1" applyAlignment="1">
      <alignment horizontal="left" indent="1"/>
    </xf>
    <xf numFmtId="0" fontId="16" fillId="5" borderId="4" xfId="0" applyFont="1" applyFill="1" applyBorder="1" applyAlignment="1">
      <alignment horizontal="left" indent="1"/>
    </xf>
    <xf numFmtId="0" fontId="31" fillId="5" borderId="22" xfId="0" applyFont="1" applyFill="1" applyBorder="1" applyAlignment="1">
      <alignment horizontal="left" indent="1"/>
    </xf>
    <xf numFmtId="0" fontId="68" fillId="0" borderId="0" xfId="0" applyFont="1" applyFill="1" applyAlignment="1">
      <alignment horizontal="left" vertical="center"/>
    </xf>
    <xf numFmtId="0" fontId="4" fillId="0" borderId="19" xfId="0" applyFont="1" applyFill="1" applyBorder="1" applyAlignment="1">
      <alignment horizontal="right"/>
    </xf>
    <xf numFmtId="0" fontId="51" fillId="0" borderId="0" xfId="0" applyFont="1" applyAlignment="1">
      <alignment horizontal="right"/>
    </xf>
    <xf numFmtId="164" fontId="51" fillId="0" borderId="0" xfId="1" applyNumberFormat="1" applyFont="1" applyAlignment="1">
      <alignment horizontal="center"/>
    </xf>
    <xf numFmtId="0" fontId="16" fillId="5" borderId="0" xfId="0" applyFont="1" applyFill="1" applyBorder="1"/>
    <xf numFmtId="0" fontId="42" fillId="5" borderId="9" xfId="0" applyFont="1" applyFill="1" applyBorder="1" applyAlignment="1">
      <alignment horizontal="left" indent="1"/>
    </xf>
    <xf numFmtId="0" fontId="16" fillId="5" borderId="13" xfId="0" applyFont="1" applyFill="1" applyBorder="1"/>
    <xf numFmtId="0" fontId="42" fillId="5" borderId="9" xfId="0" quotePrefix="1" applyFont="1" applyFill="1" applyBorder="1" applyAlignment="1">
      <alignment horizontal="left" indent="1"/>
    </xf>
    <xf numFmtId="0" fontId="16" fillId="5" borderId="5" xfId="0" applyFont="1" applyFill="1" applyBorder="1" applyAlignment="1">
      <alignment horizontal="left" indent="1"/>
    </xf>
    <xf numFmtId="0" fontId="16" fillId="5" borderId="8" xfId="0" applyFont="1" applyFill="1" applyBorder="1"/>
    <xf numFmtId="0" fontId="16" fillId="5" borderId="14" xfId="0" applyFont="1" applyFill="1" applyBorder="1"/>
    <xf numFmtId="0" fontId="6" fillId="0" borderId="0" xfId="0" applyFont="1" applyFill="1" applyBorder="1" applyAlignment="1">
      <alignment horizontal="center"/>
    </xf>
    <xf numFmtId="0" fontId="6" fillId="0" borderId="0" xfId="0" applyFont="1" applyFill="1" applyBorder="1"/>
    <xf numFmtId="0" fontId="16" fillId="0" borderId="0" xfId="0" applyFont="1" applyFill="1" applyBorder="1" applyAlignment="1">
      <alignment horizontal="left"/>
    </xf>
    <xf numFmtId="0" fontId="6" fillId="0" borderId="8" xfId="0" applyFont="1" applyFill="1" applyBorder="1" applyAlignment="1">
      <alignment horizontal="center"/>
    </xf>
    <xf numFmtId="0" fontId="6" fillId="0" borderId="8" xfId="0" quotePrefix="1" applyFont="1" applyFill="1" applyBorder="1" applyAlignment="1">
      <alignment horizontal="center"/>
    </xf>
    <xf numFmtId="0" fontId="4" fillId="0" borderId="8" xfId="0" applyFont="1" applyFill="1" applyBorder="1" applyAlignment="1">
      <alignment horizontal="center"/>
    </xf>
    <xf numFmtId="0" fontId="4" fillId="0" borderId="8" xfId="0" applyFont="1" applyFill="1" applyBorder="1"/>
    <xf numFmtId="0" fontId="31" fillId="5" borderId="2" xfId="0" applyFont="1" applyFill="1" applyBorder="1" applyAlignment="1">
      <alignment horizontal="left" indent="1"/>
    </xf>
    <xf numFmtId="0" fontId="16" fillId="5" borderId="7" xfId="0" applyFont="1" applyFill="1" applyBorder="1"/>
    <xf numFmtId="0" fontId="16" fillId="5" borderId="11" xfId="0" applyFont="1" applyFill="1" applyBorder="1"/>
    <xf numFmtId="0" fontId="16" fillId="0" borderId="0" xfId="122" applyFont="1"/>
    <xf numFmtId="164" fontId="30" fillId="0" borderId="0" xfId="1" applyNumberFormat="1" applyFont="1" applyFill="1" applyBorder="1"/>
    <xf numFmtId="0" fontId="64" fillId="9" borderId="0" xfId="122" applyFont="1" applyFill="1" applyAlignment="1">
      <alignment horizontal="left" indent="2"/>
    </xf>
    <xf numFmtId="17" fontId="69" fillId="2" borderId="0" xfId="0" applyNumberFormat="1" applyFont="1" applyFill="1" applyProtection="1">
      <protection locked="0"/>
    </xf>
    <xf numFmtId="0" fontId="23" fillId="2" borderId="0" xfId="0" applyFont="1" applyFill="1" applyAlignment="1">
      <alignment horizontal="left" vertical="center" wrapText="1"/>
    </xf>
    <xf numFmtId="0" fontId="14" fillId="0" borderId="7" xfId="117" applyFont="1" applyBorder="1" applyAlignment="1">
      <alignment horizontal="left" vertical="center" wrapText="1"/>
    </xf>
    <xf numFmtId="0" fontId="14" fillId="0" borderId="11" xfId="117" applyFont="1" applyBorder="1" applyAlignment="1">
      <alignment horizontal="left" vertical="center" wrapText="1"/>
    </xf>
    <xf numFmtId="0" fontId="39" fillId="3" borderId="2" xfId="117" applyFont="1" applyFill="1" applyBorder="1" applyAlignment="1">
      <alignment horizontal="center" vertical="center"/>
    </xf>
    <xf numFmtId="0" fontId="39" fillId="3" borderId="11" xfId="117" applyFont="1" applyFill="1" applyBorder="1" applyAlignment="1">
      <alignment horizontal="center" vertical="center"/>
    </xf>
    <xf numFmtId="0" fontId="4" fillId="0" borderId="2" xfId="117" applyFont="1" applyBorder="1" applyAlignment="1">
      <alignment horizontal="left" vertical="center" wrapText="1"/>
    </xf>
    <xf numFmtId="0" fontId="6" fillId="0" borderId="7" xfId="117" applyFont="1" applyBorder="1" applyAlignment="1">
      <alignment horizontal="left" vertical="center" wrapText="1"/>
    </xf>
    <xf numFmtId="0" fontId="4" fillId="0" borderId="7" xfId="117" applyFont="1" applyBorder="1" applyAlignment="1">
      <alignment horizontal="left" vertical="center" wrapText="1"/>
    </xf>
    <xf numFmtId="0" fontId="23" fillId="2" borderId="0" xfId="0" applyFont="1" applyFill="1" applyAlignment="1" applyProtection="1">
      <alignment wrapText="1"/>
      <protection locked="0"/>
    </xf>
    <xf numFmtId="0" fontId="23" fillId="0" borderId="0" xfId="0" applyFont="1" applyAlignment="1">
      <alignment wrapText="1"/>
    </xf>
    <xf numFmtId="0" fontId="48" fillId="4" borderId="2" xfId="122" applyFont="1" applyFill="1" applyBorder="1" applyAlignment="1">
      <alignment horizontal="center"/>
    </xf>
    <xf numFmtId="0" fontId="48" fillId="4" borderId="7" xfId="122" applyFont="1" applyFill="1" applyBorder="1" applyAlignment="1">
      <alignment horizontal="center"/>
    </xf>
    <xf numFmtId="0" fontId="48" fillId="4" borderId="11" xfId="122" applyFont="1" applyFill="1" applyBorder="1" applyAlignment="1">
      <alignment horizontal="center"/>
    </xf>
    <xf numFmtId="0" fontId="6" fillId="0" borderId="5" xfId="0" applyFont="1" applyFill="1" applyBorder="1" applyAlignment="1">
      <alignment horizontal="left"/>
    </xf>
    <xf numFmtId="0" fontId="6" fillId="0" borderId="8" xfId="0" applyFont="1" applyFill="1" applyBorder="1" applyAlignment="1">
      <alignment horizontal="left"/>
    </xf>
    <xf numFmtId="0" fontId="6" fillId="0" borderId="14" xfId="0" applyFont="1" applyFill="1" applyBorder="1" applyAlignment="1">
      <alignment horizontal="left"/>
    </xf>
    <xf numFmtId="0" fontId="6" fillId="0" borderId="2" xfId="0" applyFont="1" applyFill="1" applyBorder="1" applyAlignment="1">
      <alignment horizontal="left"/>
    </xf>
    <xf numFmtId="0" fontId="6" fillId="0" borderId="7" xfId="0" applyFont="1" applyFill="1" applyBorder="1" applyAlignment="1">
      <alignment horizontal="left"/>
    </xf>
    <xf numFmtId="0" fontId="6" fillId="0" borderId="11" xfId="0" applyFont="1" applyFill="1" applyBorder="1" applyAlignment="1">
      <alignment horizontal="left"/>
    </xf>
    <xf numFmtId="0" fontId="39" fillId="0" borderId="2" xfId="0" applyFont="1" applyFill="1" applyBorder="1" applyAlignment="1">
      <alignment horizontal="left"/>
    </xf>
    <xf numFmtId="0" fontId="39" fillId="0" borderId="7" xfId="0" applyFont="1" applyFill="1" applyBorder="1" applyAlignment="1">
      <alignment horizontal="left"/>
    </xf>
    <xf numFmtId="0" fontId="39" fillId="0" borderId="11" xfId="0" applyFont="1" applyFill="1" applyBorder="1" applyAlignment="1">
      <alignment horizontal="left"/>
    </xf>
    <xf numFmtId="0" fontId="6" fillId="0" borderId="6" xfId="0" applyFont="1" applyFill="1" applyBorder="1" applyAlignment="1">
      <alignment horizontal="left"/>
    </xf>
    <xf numFmtId="0" fontId="6" fillId="0" borderId="10" xfId="0" applyFont="1" applyFill="1" applyBorder="1" applyAlignment="1">
      <alignment horizontal="left"/>
    </xf>
    <xf numFmtId="0" fontId="6" fillId="0" borderId="12" xfId="0" applyFont="1" applyFill="1" applyBorder="1" applyAlignment="1">
      <alignment horizontal="left"/>
    </xf>
    <xf numFmtId="0" fontId="6" fillId="0" borderId="9" xfId="0" applyFont="1" applyFill="1" applyBorder="1" applyAlignment="1">
      <alignment horizontal="left"/>
    </xf>
    <xf numFmtId="0" fontId="6" fillId="0" borderId="0" xfId="0" applyFont="1" applyFill="1" applyBorder="1" applyAlignment="1">
      <alignment horizontal="left"/>
    </xf>
    <xf numFmtId="0" fontId="6" fillId="0" borderId="13" xfId="0" applyFont="1" applyFill="1" applyBorder="1" applyAlignment="1">
      <alignment horizontal="left"/>
    </xf>
    <xf numFmtId="0" fontId="4" fillId="0" borderId="5" xfId="0" applyFont="1" applyFill="1" applyBorder="1" applyAlignment="1">
      <alignment horizontal="left"/>
    </xf>
  </cellXfs>
  <cellStyles count="411">
    <cellStyle name="%" xfId="130" xr:uid="{00000000-0005-0000-0000-000000000000}"/>
    <cellStyle name="Comma" xfId="1" builtinId="3"/>
    <cellStyle name="Comma 2" xfId="2" xr:uid="{00000000-0005-0000-0000-000002000000}"/>
    <cellStyle name="Comma 2 2" xfId="126" xr:uid="{00000000-0005-0000-0000-000003000000}"/>
    <cellStyle name="Comma 3" xfId="3" xr:uid="{00000000-0005-0000-0000-000004000000}"/>
    <cellStyle name="Comma 3 2" xfId="127" xr:uid="{00000000-0005-0000-0000-000005000000}"/>
    <cellStyle name="Comma 4" xfId="4" xr:uid="{00000000-0005-0000-0000-000006000000}"/>
    <cellStyle name="Comma 5" xfId="118" xr:uid="{00000000-0005-0000-0000-000007000000}"/>
    <cellStyle name="Comma 5 2" xfId="123" xr:uid="{00000000-0005-0000-0000-000008000000}"/>
    <cellStyle name="Comma 5 2 2" xfId="131" xr:uid="{00000000-0005-0000-0000-000009000000}"/>
    <cellStyle name="Comma 5 3" xfId="132" xr:uid="{00000000-0005-0000-0000-00000A000000}"/>
    <cellStyle name="Comma 6" xfId="121" xr:uid="{00000000-0005-0000-0000-00000B000000}"/>
    <cellStyle name="Comma 7" xfId="133" xr:uid="{00000000-0005-0000-0000-00000C000000}"/>
    <cellStyle name="Comma 8" xfId="134" xr:uid="{00000000-0005-0000-0000-00000D000000}"/>
    <cellStyle name="Comma 9" xfId="405" xr:uid="{00000000-0005-0000-0000-00000E000000}"/>
    <cellStyle name="Comma 9 2" xfId="408" xr:uid="{00000000-0005-0000-0000-00000F000000}"/>
    <cellStyle name="Currency" xfId="5" builtinId="4"/>
    <cellStyle name="Currency 2" xfId="6" xr:uid="{00000000-0005-0000-0000-000011000000}"/>
    <cellStyle name="Currency 2 10" xfId="135" xr:uid="{00000000-0005-0000-0000-000012000000}"/>
    <cellStyle name="Currency 2 100" xfId="136" xr:uid="{00000000-0005-0000-0000-000013000000}"/>
    <cellStyle name="Currency 2 101" xfId="137" xr:uid="{00000000-0005-0000-0000-000014000000}"/>
    <cellStyle name="Currency 2 102" xfId="138" xr:uid="{00000000-0005-0000-0000-000015000000}"/>
    <cellStyle name="Currency 2 103" xfId="139" xr:uid="{00000000-0005-0000-0000-000016000000}"/>
    <cellStyle name="Currency 2 104" xfId="140" xr:uid="{00000000-0005-0000-0000-000017000000}"/>
    <cellStyle name="Currency 2 105" xfId="141" xr:uid="{00000000-0005-0000-0000-000018000000}"/>
    <cellStyle name="Currency 2 106" xfId="142" xr:uid="{00000000-0005-0000-0000-000019000000}"/>
    <cellStyle name="Currency 2 107" xfId="143" xr:uid="{00000000-0005-0000-0000-00001A000000}"/>
    <cellStyle name="Currency 2 108" xfId="144" xr:uid="{00000000-0005-0000-0000-00001B000000}"/>
    <cellStyle name="Currency 2 109" xfId="145" xr:uid="{00000000-0005-0000-0000-00001C000000}"/>
    <cellStyle name="Currency 2 11" xfId="146" xr:uid="{00000000-0005-0000-0000-00001D000000}"/>
    <cellStyle name="Currency 2 110" xfId="147" xr:uid="{00000000-0005-0000-0000-00001E000000}"/>
    <cellStyle name="Currency 2 111" xfId="148" xr:uid="{00000000-0005-0000-0000-00001F000000}"/>
    <cellStyle name="Currency 2 112" xfId="149" xr:uid="{00000000-0005-0000-0000-000020000000}"/>
    <cellStyle name="Currency 2 113" xfId="150" xr:uid="{00000000-0005-0000-0000-000021000000}"/>
    <cellStyle name="Currency 2 114" xfId="151" xr:uid="{00000000-0005-0000-0000-000022000000}"/>
    <cellStyle name="Currency 2 115" xfId="152" xr:uid="{00000000-0005-0000-0000-000023000000}"/>
    <cellStyle name="Currency 2 116" xfId="153" xr:uid="{00000000-0005-0000-0000-000024000000}"/>
    <cellStyle name="Currency 2 117" xfId="154" xr:uid="{00000000-0005-0000-0000-000025000000}"/>
    <cellStyle name="Currency 2 118" xfId="155" xr:uid="{00000000-0005-0000-0000-000026000000}"/>
    <cellStyle name="Currency 2 119" xfId="156" xr:uid="{00000000-0005-0000-0000-000027000000}"/>
    <cellStyle name="Currency 2 12" xfId="157" xr:uid="{00000000-0005-0000-0000-000028000000}"/>
    <cellStyle name="Currency 2 120" xfId="158" xr:uid="{00000000-0005-0000-0000-000029000000}"/>
    <cellStyle name="Currency 2 121" xfId="159" xr:uid="{00000000-0005-0000-0000-00002A000000}"/>
    <cellStyle name="Currency 2 122" xfId="160" xr:uid="{00000000-0005-0000-0000-00002B000000}"/>
    <cellStyle name="Currency 2 123" xfId="161" xr:uid="{00000000-0005-0000-0000-00002C000000}"/>
    <cellStyle name="Currency 2 124" xfId="162" xr:uid="{00000000-0005-0000-0000-00002D000000}"/>
    <cellStyle name="Currency 2 125" xfId="163" xr:uid="{00000000-0005-0000-0000-00002E000000}"/>
    <cellStyle name="Currency 2 126" xfId="164" xr:uid="{00000000-0005-0000-0000-00002F000000}"/>
    <cellStyle name="Currency 2 127" xfId="165" xr:uid="{00000000-0005-0000-0000-000030000000}"/>
    <cellStyle name="Currency 2 128" xfId="166" xr:uid="{00000000-0005-0000-0000-000031000000}"/>
    <cellStyle name="Currency 2 129" xfId="167" xr:uid="{00000000-0005-0000-0000-000032000000}"/>
    <cellStyle name="Currency 2 13" xfId="168" xr:uid="{00000000-0005-0000-0000-000033000000}"/>
    <cellStyle name="Currency 2 130" xfId="169" xr:uid="{00000000-0005-0000-0000-000034000000}"/>
    <cellStyle name="Currency 2 131" xfId="170" xr:uid="{00000000-0005-0000-0000-000035000000}"/>
    <cellStyle name="Currency 2 132" xfId="171" xr:uid="{00000000-0005-0000-0000-000036000000}"/>
    <cellStyle name="Currency 2 133" xfId="172" xr:uid="{00000000-0005-0000-0000-000037000000}"/>
    <cellStyle name="Currency 2 134" xfId="173" xr:uid="{00000000-0005-0000-0000-000038000000}"/>
    <cellStyle name="Currency 2 135" xfId="174" xr:uid="{00000000-0005-0000-0000-000039000000}"/>
    <cellStyle name="Currency 2 136" xfId="175" xr:uid="{00000000-0005-0000-0000-00003A000000}"/>
    <cellStyle name="Currency 2 137" xfId="176" xr:uid="{00000000-0005-0000-0000-00003B000000}"/>
    <cellStyle name="Currency 2 138" xfId="177" xr:uid="{00000000-0005-0000-0000-00003C000000}"/>
    <cellStyle name="Currency 2 139" xfId="178" xr:uid="{00000000-0005-0000-0000-00003D000000}"/>
    <cellStyle name="Currency 2 14" xfId="179" xr:uid="{00000000-0005-0000-0000-00003E000000}"/>
    <cellStyle name="Currency 2 140" xfId="180" xr:uid="{00000000-0005-0000-0000-00003F000000}"/>
    <cellStyle name="Currency 2 141" xfId="181" xr:uid="{00000000-0005-0000-0000-000040000000}"/>
    <cellStyle name="Currency 2 142" xfId="182" xr:uid="{00000000-0005-0000-0000-000041000000}"/>
    <cellStyle name="Currency 2 143" xfId="183" xr:uid="{00000000-0005-0000-0000-000042000000}"/>
    <cellStyle name="Currency 2 144" xfId="184" xr:uid="{00000000-0005-0000-0000-000043000000}"/>
    <cellStyle name="Currency 2 145" xfId="185" xr:uid="{00000000-0005-0000-0000-000044000000}"/>
    <cellStyle name="Currency 2 146" xfId="186" xr:uid="{00000000-0005-0000-0000-000045000000}"/>
    <cellStyle name="Currency 2 147" xfId="187" xr:uid="{00000000-0005-0000-0000-000046000000}"/>
    <cellStyle name="Currency 2 148" xfId="188" xr:uid="{00000000-0005-0000-0000-000047000000}"/>
    <cellStyle name="Currency 2 149" xfId="189" xr:uid="{00000000-0005-0000-0000-000048000000}"/>
    <cellStyle name="Currency 2 15" xfId="190" xr:uid="{00000000-0005-0000-0000-000049000000}"/>
    <cellStyle name="Currency 2 150" xfId="191" xr:uid="{00000000-0005-0000-0000-00004A000000}"/>
    <cellStyle name="Currency 2 151" xfId="192" xr:uid="{00000000-0005-0000-0000-00004B000000}"/>
    <cellStyle name="Currency 2 152" xfId="193" xr:uid="{00000000-0005-0000-0000-00004C000000}"/>
    <cellStyle name="Currency 2 153" xfId="194" xr:uid="{00000000-0005-0000-0000-00004D000000}"/>
    <cellStyle name="Currency 2 154" xfId="195" xr:uid="{00000000-0005-0000-0000-00004E000000}"/>
    <cellStyle name="Currency 2 155" xfId="196" xr:uid="{00000000-0005-0000-0000-00004F000000}"/>
    <cellStyle name="Currency 2 156" xfId="197" xr:uid="{00000000-0005-0000-0000-000050000000}"/>
    <cellStyle name="Currency 2 157" xfId="198" xr:uid="{00000000-0005-0000-0000-000051000000}"/>
    <cellStyle name="Currency 2 158" xfId="199" xr:uid="{00000000-0005-0000-0000-000052000000}"/>
    <cellStyle name="Currency 2 159" xfId="200" xr:uid="{00000000-0005-0000-0000-000053000000}"/>
    <cellStyle name="Currency 2 16" xfId="201" xr:uid="{00000000-0005-0000-0000-000054000000}"/>
    <cellStyle name="Currency 2 160" xfId="202" xr:uid="{00000000-0005-0000-0000-000055000000}"/>
    <cellStyle name="Currency 2 161" xfId="203" xr:uid="{00000000-0005-0000-0000-000056000000}"/>
    <cellStyle name="Currency 2 162" xfId="204" xr:uid="{00000000-0005-0000-0000-000057000000}"/>
    <cellStyle name="Currency 2 163" xfId="205" xr:uid="{00000000-0005-0000-0000-000058000000}"/>
    <cellStyle name="Currency 2 164" xfId="206" xr:uid="{00000000-0005-0000-0000-000059000000}"/>
    <cellStyle name="Currency 2 165" xfId="207" xr:uid="{00000000-0005-0000-0000-00005A000000}"/>
    <cellStyle name="Currency 2 166" xfId="208" xr:uid="{00000000-0005-0000-0000-00005B000000}"/>
    <cellStyle name="Currency 2 167" xfId="209" xr:uid="{00000000-0005-0000-0000-00005C000000}"/>
    <cellStyle name="Currency 2 168" xfId="210" xr:uid="{00000000-0005-0000-0000-00005D000000}"/>
    <cellStyle name="Currency 2 169" xfId="211" xr:uid="{00000000-0005-0000-0000-00005E000000}"/>
    <cellStyle name="Currency 2 17" xfId="212" xr:uid="{00000000-0005-0000-0000-00005F000000}"/>
    <cellStyle name="Currency 2 170" xfId="213" xr:uid="{00000000-0005-0000-0000-000060000000}"/>
    <cellStyle name="Currency 2 171" xfId="214" xr:uid="{00000000-0005-0000-0000-000061000000}"/>
    <cellStyle name="Currency 2 172" xfId="215" xr:uid="{00000000-0005-0000-0000-000062000000}"/>
    <cellStyle name="Currency 2 173" xfId="216" xr:uid="{00000000-0005-0000-0000-000063000000}"/>
    <cellStyle name="Currency 2 174" xfId="217" xr:uid="{00000000-0005-0000-0000-000064000000}"/>
    <cellStyle name="Currency 2 175" xfId="218" xr:uid="{00000000-0005-0000-0000-000065000000}"/>
    <cellStyle name="Currency 2 176" xfId="219" xr:uid="{00000000-0005-0000-0000-000066000000}"/>
    <cellStyle name="Currency 2 177" xfId="220" xr:uid="{00000000-0005-0000-0000-000067000000}"/>
    <cellStyle name="Currency 2 178" xfId="221" xr:uid="{00000000-0005-0000-0000-000068000000}"/>
    <cellStyle name="Currency 2 179" xfId="222" xr:uid="{00000000-0005-0000-0000-000069000000}"/>
    <cellStyle name="Currency 2 18" xfId="223" xr:uid="{00000000-0005-0000-0000-00006A000000}"/>
    <cellStyle name="Currency 2 180" xfId="224" xr:uid="{00000000-0005-0000-0000-00006B000000}"/>
    <cellStyle name="Currency 2 181" xfId="225" xr:uid="{00000000-0005-0000-0000-00006C000000}"/>
    <cellStyle name="Currency 2 182" xfId="226" xr:uid="{00000000-0005-0000-0000-00006D000000}"/>
    <cellStyle name="Currency 2 183" xfId="227" xr:uid="{00000000-0005-0000-0000-00006E000000}"/>
    <cellStyle name="Currency 2 184" xfId="228" xr:uid="{00000000-0005-0000-0000-00006F000000}"/>
    <cellStyle name="Currency 2 185" xfId="229" xr:uid="{00000000-0005-0000-0000-000070000000}"/>
    <cellStyle name="Currency 2 186" xfId="230" xr:uid="{00000000-0005-0000-0000-000071000000}"/>
    <cellStyle name="Currency 2 187" xfId="231" xr:uid="{00000000-0005-0000-0000-000072000000}"/>
    <cellStyle name="Currency 2 188" xfId="232" xr:uid="{00000000-0005-0000-0000-000073000000}"/>
    <cellStyle name="Currency 2 189" xfId="233" xr:uid="{00000000-0005-0000-0000-000074000000}"/>
    <cellStyle name="Currency 2 19" xfId="234" xr:uid="{00000000-0005-0000-0000-000075000000}"/>
    <cellStyle name="Currency 2 190" xfId="235" xr:uid="{00000000-0005-0000-0000-000076000000}"/>
    <cellStyle name="Currency 2 191" xfId="236" xr:uid="{00000000-0005-0000-0000-000077000000}"/>
    <cellStyle name="Currency 2 192" xfId="237" xr:uid="{00000000-0005-0000-0000-000078000000}"/>
    <cellStyle name="Currency 2 193" xfId="238" xr:uid="{00000000-0005-0000-0000-000079000000}"/>
    <cellStyle name="Currency 2 194" xfId="239" xr:uid="{00000000-0005-0000-0000-00007A000000}"/>
    <cellStyle name="Currency 2 195" xfId="240" xr:uid="{00000000-0005-0000-0000-00007B000000}"/>
    <cellStyle name="Currency 2 196" xfId="241" xr:uid="{00000000-0005-0000-0000-00007C000000}"/>
    <cellStyle name="Currency 2 197" xfId="242" xr:uid="{00000000-0005-0000-0000-00007D000000}"/>
    <cellStyle name="Currency 2 198" xfId="243" xr:uid="{00000000-0005-0000-0000-00007E000000}"/>
    <cellStyle name="Currency 2 199" xfId="244" xr:uid="{00000000-0005-0000-0000-00007F000000}"/>
    <cellStyle name="Currency 2 2" xfId="245" xr:uid="{00000000-0005-0000-0000-000080000000}"/>
    <cellStyle name="Currency 2 20" xfId="246" xr:uid="{00000000-0005-0000-0000-000081000000}"/>
    <cellStyle name="Currency 2 200" xfId="247" xr:uid="{00000000-0005-0000-0000-000082000000}"/>
    <cellStyle name="Currency 2 201" xfId="248" xr:uid="{00000000-0005-0000-0000-000083000000}"/>
    <cellStyle name="Currency 2 202" xfId="249" xr:uid="{00000000-0005-0000-0000-000084000000}"/>
    <cellStyle name="Currency 2 203" xfId="250" xr:uid="{00000000-0005-0000-0000-000085000000}"/>
    <cellStyle name="Currency 2 204" xfId="251" xr:uid="{00000000-0005-0000-0000-000086000000}"/>
    <cellStyle name="Currency 2 205" xfId="252" xr:uid="{00000000-0005-0000-0000-000087000000}"/>
    <cellStyle name="Currency 2 206" xfId="253" xr:uid="{00000000-0005-0000-0000-000088000000}"/>
    <cellStyle name="Currency 2 207" xfId="254" xr:uid="{00000000-0005-0000-0000-000089000000}"/>
    <cellStyle name="Currency 2 208" xfId="255" xr:uid="{00000000-0005-0000-0000-00008A000000}"/>
    <cellStyle name="Currency 2 209" xfId="256" xr:uid="{00000000-0005-0000-0000-00008B000000}"/>
    <cellStyle name="Currency 2 21" xfId="257" xr:uid="{00000000-0005-0000-0000-00008C000000}"/>
    <cellStyle name="Currency 2 210" xfId="258" xr:uid="{00000000-0005-0000-0000-00008D000000}"/>
    <cellStyle name="Currency 2 211" xfId="259" xr:uid="{00000000-0005-0000-0000-00008E000000}"/>
    <cellStyle name="Currency 2 212" xfId="260" xr:uid="{00000000-0005-0000-0000-00008F000000}"/>
    <cellStyle name="Currency 2 213" xfId="261" xr:uid="{00000000-0005-0000-0000-000090000000}"/>
    <cellStyle name="Currency 2 214" xfId="262" xr:uid="{00000000-0005-0000-0000-000091000000}"/>
    <cellStyle name="Currency 2 215" xfId="263" xr:uid="{00000000-0005-0000-0000-000092000000}"/>
    <cellStyle name="Currency 2 216" xfId="264" xr:uid="{00000000-0005-0000-0000-000093000000}"/>
    <cellStyle name="Currency 2 217" xfId="265" xr:uid="{00000000-0005-0000-0000-000094000000}"/>
    <cellStyle name="Currency 2 218" xfId="266" xr:uid="{00000000-0005-0000-0000-000095000000}"/>
    <cellStyle name="Currency 2 219" xfId="267" xr:uid="{00000000-0005-0000-0000-000096000000}"/>
    <cellStyle name="Currency 2 22" xfId="268" xr:uid="{00000000-0005-0000-0000-000097000000}"/>
    <cellStyle name="Currency 2 220" xfId="269" xr:uid="{00000000-0005-0000-0000-000098000000}"/>
    <cellStyle name="Currency 2 221" xfId="270" xr:uid="{00000000-0005-0000-0000-000099000000}"/>
    <cellStyle name="Currency 2 222" xfId="271" xr:uid="{00000000-0005-0000-0000-00009A000000}"/>
    <cellStyle name="Currency 2 223" xfId="272" xr:uid="{00000000-0005-0000-0000-00009B000000}"/>
    <cellStyle name="Currency 2 224" xfId="273" xr:uid="{00000000-0005-0000-0000-00009C000000}"/>
    <cellStyle name="Currency 2 225" xfId="274" xr:uid="{00000000-0005-0000-0000-00009D000000}"/>
    <cellStyle name="Currency 2 226" xfId="275" xr:uid="{00000000-0005-0000-0000-00009E000000}"/>
    <cellStyle name="Currency 2 227" xfId="276" xr:uid="{00000000-0005-0000-0000-00009F000000}"/>
    <cellStyle name="Currency 2 228" xfId="277" xr:uid="{00000000-0005-0000-0000-0000A0000000}"/>
    <cellStyle name="Currency 2 229" xfId="278" xr:uid="{00000000-0005-0000-0000-0000A1000000}"/>
    <cellStyle name="Currency 2 23" xfId="279" xr:uid="{00000000-0005-0000-0000-0000A2000000}"/>
    <cellStyle name="Currency 2 230" xfId="280" xr:uid="{00000000-0005-0000-0000-0000A3000000}"/>
    <cellStyle name="Currency 2 231" xfId="281" xr:uid="{00000000-0005-0000-0000-0000A4000000}"/>
    <cellStyle name="Currency 2 232" xfId="282" xr:uid="{00000000-0005-0000-0000-0000A5000000}"/>
    <cellStyle name="Currency 2 233" xfId="283" xr:uid="{00000000-0005-0000-0000-0000A6000000}"/>
    <cellStyle name="Currency 2 234" xfId="284" xr:uid="{00000000-0005-0000-0000-0000A7000000}"/>
    <cellStyle name="Currency 2 235" xfId="285" xr:uid="{00000000-0005-0000-0000-0000A8000000}"/>
    <cellStyle name="Currency 2 236" xfId="286" xr:uid="{00000000-0005-0000-0000-0000A9000000}"/>
    <cellStyle name="Currency 2 237" xfId="287" xr:uid="{00000000-0005-0000-0000-0000AA000000}"/>
    <cellStyle name="Currency 2 238" xfId="288" xr:uid="{00000000-0005-0000-0000-0000AB000000}"/>
    <cellStyle name="Currency 2 239" xfId="289" xr:uid="{00000000-0005-0000-0000-0000AC000000}"/>
    <cellStyle name="Currency 2 24" xfId="290" xr:uid="{00000000-0005-0000-0000-0000AD000000}"/>
    <cellStyle name="Currency 2 240" xfId="291" xr:uid="{00000000-0005-0000-0000-0000AE000000}"/>
    <cellStyle name="Currency 2 241" xfId="292" xr:uid="{00000000-0005-0000-0000-0000AF000000}"/>
    <cellStyle name="Currency 2 242" xfId="293" xr:uid="{00000000-0005-0000-0000-0000B0000000}"/>
    <cellStyle name="Currency 2 243" xfId="294" xr:uid="{00000000-0005-0000-0000-0000B1000000}"/>
    <cellStyle name="Currency 2 244" xfId="295" xr:uid="{00000000-0005-0000-0000-0000B2000000}"/>
    <cellStyle name="Currency 2 245" xfId="296" xr:uid="{00000000-0005-0000-0000-0000B3000000}"/>
    <cellStyle name="Currency 2 246" xfId="297" xr:uid="{00000000-0005-0000-0000-0000B4000000}"/>
    <cellStyle name="Currency 2 247" xfId="298" xr:uid="{00000000-0005-0000-0000-0000B5000000}"/>
    <cellStyle name="Currency 2 248" xfId="299" xr:uid="{00000000-0005-0000-0000-0000B6000000}"/>
    <cellStyle name="Currency 2 249" xfId="300" xr:uid="{00000000-0005-0000-0000-0000B7000000}"/>
    <cellStyle name="Currency 2 25" xfId="301" xr:uid="{00000000-0005-0000-0000-0000B8000000}"/>
    <cellStyle name="Currency 2 250" xfId="302" xr:uid="{00000000-0005-0000-0000-0000B9000000}"/>
    <cellStyle name="Currency 2 251" xfId="303" xr:uid="{00000000-0005-0000-0000-0000BA000000}"/>
    <cellStyle name="Currency 2 252" xfId="304" xr:uid="{00000000-0005-0000-0000-0000BB000000}"/>
    <cellStyle name="Currency 2 253" xfId="305" xr:uid="{00000000-0005-0000-0000-0000BC000000}"/>
    <cellStyle name="Currency 2 254" xfId="306" xr:uid="{00000000-0005-0000-0000-0000BD000000}"/>
    <cellStyle name="Currency 2 26" xfId="307" xr:uid="{00000000-0005-0000-0000-0000BE000000}"/>
    <cellStyle name="Currency 2 27" xfId="308" xr:uid="{00000000-0005-0000-0000-0000BF000000}"/>
    <cellStyle name="Currency 2 28" xfId="309" xr:uid="{00000000-0005-0000-0000-0000C0000000}"/>
    <cellStyle name="Currency 2 29" xfId="310" xr:uid="{00000000-0005-0000-0000-0000C1000000}"/>
    <cellStyle name="Currency 2 3" xfId="311" xr:uid="{00000000-0005-0000-0000-0000C2000000}"/>
    <cellStyle name="Currency 2 30" xfId="312" xr:uid="{00000000-0005-0000-0000-0000C3000000}"/>
    <cellStyle name="Currency 2 31" xfId="313" xr:uid="{00000000-0005-0000-0000-0000C4000000}"/>
    <cellStyle name="Currency 2 32" xfId="314" xr:uid="{00000000-0005-0000-0000-0000C5000000}"/>
    <cellStyle name="Currency 2 33" xfId="315" xr:uid="{00000000-0005-0000-0000-0000C6000000}"/>
    <cellStyle name="Currency 2 34" xfId="316" xr:uid="{00000000-0005-0000-0000-0000C7000000}"/>
    <cellStyle name="Currency 2 35" xfId="317" xr:uid="{00000000-0005-0000-0000-0000C8000000}"/>
    <cellStyle name="Currency 2 36" xfId="318" xr:uid="{00000000-0005-0000-0000-0000C9000000}"/>
    <cellStyle name="Currency 2 37" xfId="319" xr:uid="{00000000-0005-0000-0000-0000CA000000}"/>
    <cellStyle name="Currency 2 38" xfId="320" xr:uid="{00000000-0005-0000-0000-0000CB000000}"/>
    <cellStyle name="Currency 2 39" xfId="321" xr:uid="{00000000-0005-0000-0000-0000CC000000}"/>
    <cellStyle name="Currency 2 4" xfId="322" xr:uid="{00000000-0005-0000-0000-0000CD000000}"/>
    <cellStyle name="Currency 2 40" xfId="323" xr:uid="{00000000-0005-0000-0000-0000CE000000}"/>
    <cellStyle name="Currency 2 41" xfId="324" xr:uid="{00000000-0005-0000-0000-0000CF000000}"/>
    <cellStyle name="Currency 2 42" xfId="325" xr:uid="{00000000-0005-0000-0000-0000D0000000}"/>
    <cellStyle name="Currency 2 43" xfId="326" xr:uid="{00000000-0005-0000-0000-0000D1000000}"/>
    <cellStyle name="Currency 2 44" xfId="327" xr:uid="{00000000-0005-0000-0000-0000D2000000}"/>
    <cellStyle name="Currency 2 45" xfId="328" xr:uid="{00000000-0005-0000-0000-0000D3000000}"/>
    <cellStyle name="Currency 2 46" xfId="329" xr:uid="{00000000-0005-0000-0000-0000D4000000}"/>
    <cellStyle name="Currency 2 47" xfId="330" xr:uid="{00000000-0005-0000-0000-0000D5000000}"/>
    <cellStyle name="Currency 2 48" xfId="331" xr:uid="{00000000-0005-0000-0000-0000D6000000}"/>
    <cellStyle name="Currency 2 49" xfId="332" xr:uid="{00000000-0005-0000-0000-0000D7000000}"/>
    <cellStyle name="Currency 2 5" xfId="333" xr:uid="{00000000-0005-0000-0000-0000D8000000}"/>
    <cellStyle name="Currency 2 50" xfId="334" xr:uid="{00000000-0005-0000-0000-0000D9000000}"/>
    <cellStyle name="Currency 2 51" xfId="335" xr:uid="{00000000-0005-0000-0000-0000DA000000}"/>
    <cellStyle name="Currency 2 52" xfId="336" xr:uid="{00000000-0005-0000-0000-0000DB000000}"/>
    <cellStyle name="Currency 2 53" xfId="337" xr:uid="{00000000-0005-0000-0000-0000DC000000}"/>
    <cellStyle name="Currency 2 54" xfId="338" xr:uid="{00000000-0005-0000-0000-0000DD000000}"/>
    <cellStyle name="Currency 2 55" xfId="339" xr:uid="{00000000-0005-0000-0000-0000DE000000}"/>
    <cellStyle name="Currency 2 56" xfId="340" xr:uid="{00000000-0005-0000-0000-0000DF000000}"/>
    <cellStyle name="Currency 2 57" xfId="341" xr:uid="{00000000-0005-0000-0000-0000E0000000}"/>
    <cellStyle name="Currency 2 58" xfId="342" xr:uid="{00000000-0005-0000-0000-0000E1000000}"/>
    <cellStyle name="Currency 2 59" xfId="343" xr:uid="{00000000-0005-0000-0000-0000E2000000}"/>
    <cellStyle name="Currency 2 6" xfId="344" xr:uid="{00000000-0005-0000-0000-0000E3000000}"/>
    <cellStyle name="Currency 2 60" xfId="345" xr:uid="{00000000-0005-0000-0000-0000E4000000}"/>
    <cellStyle name="Currency 2 61" xfId="346" xr:uid="{00000000-0005-0000-0000-0000E5000000}"/>
    <cellStyle name="Currency 2 62" xfId="347" xr:uid="{00000000-0005-0000-0000-0000E6000000}"/>
    <cellStyle name="Currency 2 63" xfId="348" xr:uid="{00000000-0005-0000-0000-0000E7000000}"/>
    <cellStyle name="Currency 2 64" xfId="349" xr:uid="{00000000-0005-0000-0000-0000E8000000}"/>
    <cellStyle name="Currency 2 65" xfId="350" xr:uid="{00000000-0005-0000-0000-0000E9000000}"/>
    <cellStyle name="Currency 2 66" xfId="351" xr:uid="{00000000-0005-0000-0000-0000EA000000}"/>
    <cellStyle name="Currency 2 67" xfId="352" xr:uid="{00000000-0005-0000-0000-0000EB000000}"/>
    <cellStyle name="Currency 2 68" xfId="353" xr:uid="{00000000-0005-0000-0000-0000EC000000}"/>
    <cellStyle name="Currency 2 69" xfId="354" xr:uid="{00000000-0005-0000-0000-0000ED000000}"/>
    <cellStyle name="Currency 2 7" xfId="355" xr:uid="{00000000-0005-0000-0000-0000EE000000}"/>
    <cellStyle name="Currency 2 70" xfId="356" xr:uid="{00000000-0005-0000-0000-0000EF000000}"/>
    <cellStyle name="Currency 2 71" xfId="357" xr:uid="{00000000-0005-0000-0000-0000F0000000}"/>
    <cellStyle name="Currency 2 72" xfId="358" xr:uid="{00000000-0005-0000-0000-0000F1000000}"/>
    <cellStyle name="Currency 2 73" xfId="359" xr:uid="{00000000-0005-0000-0000-0000F2000000}"/>
    <cellStyle name="Currency 2 74" xfId="360" xr:uid="{00000000-0005-0000-0000-0000F3000000}"/>
    <cellStyle name="Currency 2 75" xfId="361" xr:uid="{00000000-0005-0000-0000-0000F4000000}"/>
    <cellStyle name="Currency 2 76" xfId="362" xr:uid="{00000000-0005-0000-0000-0000F5000000}"/>
    <cellStyle name="Currency 2 77" xfId="363" xr:uid="{00000000-0005-0000-0000-0000F6000000}"/>
    <cellStyle name="Currency 2 78" xfId="364" xr:uid="{00000000-0005-0000-0000-0000F7000000}"/>
    <cellStyle name="Currency 2 79" xfId="365" xr:uid="{00000000-0005-0000-0000-0000F8000000}"/>
    <cellStyle name="Currency 2 8" xfId="366" xr:uid="{00000000-0005-0000-0000-0000F9000000}"/>
    <cellStyle name="Currency 2 80" xfId="367" xr:uid="{00000000-0005-0000-0000-0000FA000000}"/>
    <cellStyle name="Currency 2 81" xfId="368" xr:uid="{00000000-0005-0000-0000-0000FB000000}"/>
    <cellStyle name="Currency 2 82" xfId="369" xr:uid="{00000000-0005-0000-0000-0000FC000000}"/>
    <cellStyle name="Currency 2 83" xfId="370" xr:uid="{00000000-0005-0000-0000-0000FD000000}"/>
    <cellStyle name="Currency 2 84" xfId="371" xr:uid="{00000000-0005-0000-0000-0000FE000000}"/>
    <cellStyle name="Currency 2 85" xfId="372" xr:uid="{00000000-0005-0000-0000-0000FF000000}"/>
    <cellStyle name="Currency 2 86" xfId="373" xr:uid="{00000000-0005-0000-0000-000000010000}"/>
    <cellStyle name="Currency 2 87" xfId="374" xr:uid="{00000000-0005-0000-0000-000001010000}"/>
    <cellStyle name="Currency 2 88" xfId="375" xr:uid="{00000000-0005-0000-0000-000002010000}"/>
    <cellStyle name="Currency 2 89" xfId="376" xr:uid="{00000000-0005-0000-0000-000003010000}"/>
    <cellStyle name="Currency 2 9" xfId="377" xr:uid="{00000000-0005-0000-0000-000004010000}"/>
    <cellStyle name="Currency 2 90" xfId="378" xr:uid="{00000000-0005-0000-0000-000005010000}"/>
    <cellStyle name="Currency 2 91" xfId="379" xr:uid="{00000000-0005-0000-0000-000006010000}"/>
    <cellStyle name="Currency 2 92" xfId="380" xr:uid="{00000000-0005-0000-0000-000007010000}"/>
    <cellStyle name="Currency 2 93" xfId="381" xr:uid="{00000000-0005-0000-0000-000008010000}"/>
    <cellStyle name="Currency 2 94" xfId="382" xr:uid="{00000000-0005-0000-0000-000009010000}"/>
    <cellStyle name="Currency 2 95" xfId="383" xr:uid="{00000000-0005-0000-0000-00000A010000}"/>
    <cellStyle name="Currency 2 96" xfId="384" xr:uid="{00000000-0005-0000-0000-00000B010000}"/>
    <cellStyle name="Currency 2 97" xfId="385" xr:uid="{00000000-0005-0000-0000-00000C010000}"/>
    <cellStyle name="Currency 2 98" xfId="386" xr:uid="{00000000-0005-0000-0000-00000D010000}"/>
    <cellStyle name="Currency 2 99" xfId="387" xr:uid="{00000000-0005-0000-0000-00000E010000}"/>
    <cellStyle name="Currency 3" xfId="119" xr:uid="{00000000-0005-0000-0000-00000F010000}"/>
    <cellStyle name="Currency 3 2" xfId="124" xr:uid="{00000000-0005-0000-0000-000010010000}"/>
    <cellStyle name="Currency 3 2 2" xfId="388" xr:uid="{00000000-0005-0000-0000-000011010000}"/>
    <cellStyle name="Currency 3 3" xfId="389" xr:uid="{00000000-0005-0000-0000-000012010000}"/>
    <cellStyle name="Currency 4" xfId="125" xr:uid="{00000000-0005-0000-0000-000013010000}"/>
    <cellStyle name="Currency 5" xfId="410" xr:uid="{00000000-0005-0000-0000-000014010000}"/>
    <cellStyle name="Date" xfId="390" xr:uid="{00000000-0005-0000-0000-000015010000}"/>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Heading 2 2" xfId="391" xr:uid="{00000000-0005-0000-0000-000081010000}"/>
    <cellStyle name="Heading 3 2" xfId="392" xr:uid="{00000000-0005-0000-0000-000082010000}"/>
    <cellStyle name="Normal" xfId="0" builtinId="0"/>
    <cellStyle name="Normal - Style1" xfId="393" xr:uid="{00000000-0005-0000-0000-000084010000}"/>
    <cellStyle name="Normal 2" xfId="7" xr:uid="{00000000-0005-0000-0000-000085010000}"/>
    <cellStyle name="Normal 3" xfId="117" xr:uid="{00000000-0005-0000-0000-000086010000}"/>
    <cellStyle name="Normal 3 2" xfId="122" xr:uid="{00000000-0005-0000-0000-000087010000}"/>
    <cellStyle name="Normal 3 2 2" xfId="129" xr:uid="{00000000-0005-0000-0000-000088010000}"/>
    <cellStyle name="Normal 3 2 2 2" xfId="394" xr:uid="{00000000-0005-0000-0000-000089010000}"/>
    <cellStyle name="Normal 3 2 3" xfId="395" xr:uid="{00000000-0005-0000-0000-00008A010000}"/>
    <cellStyle name="Normal 3 3" xfId="128" xr:uid="{00000000-0005-0000-0000-00008B010000}"/>
    <cellStyle name="Normal 3 3 2" xfId="396" xr:uid="{00000000-0005-0000-0000-00008C010000}"/>
    <cellStyle name="Normal 3 4" xfId="397" xr:uid="{00000000-0005-0000-0000-00008D010000}"/>
    <cellStyle name="Normal 4" xfId="120" xr:uid="{00000000-0005-0000-0000-00008E010000}"/>
    <cellStyle name="Normal 5" xfId="398" xr:uid="{00000000-0005-0000-0000-00008F010000}"/>
    <cellStyle name="Normal 6" xfId="399" xr:uid="{00000000-0005-0000-0000-000090010000}"/>
    <cellStyle name="Normal 7" xfId="404" xr:uid="{00000000-0005-0000-0000-000091010000}"/>
    <cellStyle name="Normal 7 2" xfId="407" xr:uid="{00000000-0005-0000-0000-000092010000}"/>
    <cellStyle name="Percent" xfId="8" builtinId="5"/>
    <cellStyle name="Percent 2" xfId="9" xr:uid="{00000000-0005-0000-0000-000094010000}"/>
    <cellStyle name="Percent 3" xfId="400" xr:uid="{00000000-0005-0000-0000-000095010000}"/>
    <cellStyle name="Percent 4" xfId="401" xr:uid="{00000000-0005-0000-0000-000096010000}"/>
    <cellStyle name="Percent 5" xfId="406" xr:uid="{00000000-0005-0000-0000-000097010000}"/>
    <cellStyle name="Percent 5 2" xfId="409" xr:uid="{00000000-0005-0000-0000-000098010000}"/>
    <cellStyle name="Style 1" xfId="402" xr:uid="{00000000-0005-0000-0000-000099010000}"/>
    <cellStyle name="Volume" xfId="403" xr:uid="{00000000-0005-0000-0000-00009A010000}"/>
  </cellStyles>
  <dxfs count="0"/>
  <tableStyles count="0" defaultTableStyle="TableStyleMedium9" defaultPivotStyle="PivotStyleLight16"/>
  <colors>
    <mruColors>
      <color rgb="FFCCFFCC"/>
      <color rgb="FFFFFFCC"/>
      <color rgb="FFFFCCCC"/>
      <color rgb="FFCCFFFF"/>
      <color rgb="FFF371ED"/>
      <color rgb="FFF0A3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8.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Shipments</a:t>
            </a:r>
          </a:p>
          <a:p>
            <a:pPr>
              <a:defRPr/>
            </a:pPr>
            <a:endParaRPr lang="en-US"/>
          </a:p>
        </c:rich>
      </c:tx>
      <c:overlay val="0"/>
    </c:title>
    <c:autoTitleDeleted val="0"/>
    <c:plotArea>
      <c:layout>
        <c:manualLayout>
          <c:layoutTarget val="inner"/>
          <c:xMode val="edge"/>
          <c:yMode val="edge"/>
          <c:x val="0.116231710590494"/>
          <c:y val="0.18478262334525"/>
          <c:w val="0.812586609085302"/>
          <c:h val="0.71918548750340705"/>
        </c:manualLayout>
      </c:layout>
      <c:barChart>
        <c:barDir val="col"/>
        <c:grouping val="stacked"/>
        <c:varyColors val="0"/>
        <c:ser>
          <c:idx val="1"/>
          <c:order val="0"/>
          <c:tx>
            <c:strRef>
              <c:f>Dashboard!$D$29</c:f>
              <c:strCache>
                <c:ptCount val="1"/>
                <c:pt idx="0">
                  <c:v>High Performance Computing</c:v>
                </c:pt>
              </c:strCache>
            </c:strRef>
          </c:tx>
          <c:spPr>
            <a:solidFill>
              <a:schemeClr val="accent1"/>
            </a:solidFill>
          </c:spPr>
          <c:invertIfNegative val="0"/>
          <c:cat>
            <c:numRef>
              <c:f>Dashboard!$E$28:$N$28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Dashboard!$E$29:$N$29</c:f>
              <c:numCache>
                <c:formatCode>_(* #,##0_);_(* \(#,##0\);_(* "-"??_);_(@_)</c:formatCode>
                <c:ptCount val="10"/>
                <c:pt idx="0">
                  <c:v>364356.26539750211</c:v>
                </c:pt>
                <c:pt idx="1">
                  <c:v>323077.45499512914</c:v>
                </c:pt>
                <c:pt idx="2">
                  <c:v>256438.47089959428</c:v>
                </c:pt>
              </c:numCache>
            </c:numRef>
          </c:val>
          <c:extLst>
            <c:ext xmlns:c16="http://schemas.microsoft.com/office/drawing/2014/chart" uri="{C3380CC4-5D6E-409C-BE32-E72D297353CC}">
              <c16:uniqueId val="{00000000-2D9D-2C45-8FDE-E9C6D88775DF}"/>
            </c:ext>
          </c:extLst>
        </c:ser>
        <c:ser>
          <c:idx val="0"/>
          <c:order val="1"/>
          <c:tx>
            <c:strRef>
              <c:f>Dashboard!$D$30</c:f>
              <c:strCache>
                <c:ptCount val="1"/>
                <c:pt idx="0">
                  <c:v>Core Routing &amp; Optical Transport</c:v>
                </c:pt>
              </c:strCache>
            </c:strRef>
          </c:tx>
          <c:spPr>
            <a:solidFill>
              <a:schemeClr val="accent2"/>
            </a:solidFill>
            <a:ln>
              <a:noFill/>
            </a:ln>
          </c:spPr>
          <c:invertIfNegative val="0"/>
          <c:cat>
            <c:numRef>
              <c:f>Dashboard!$E$28:$N$28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Dashboard!$E$30:$N$30</c:f>
              <c:numCache>
                <c:formatCode>_(* #,##0_);_(* \(#,##0\);_(* "-"??_);_(@_)</c:formatCode>
                <c:ptCount val="10"/>
                <c:pt idx="0">
                  <c:v>91680.119124785328</c:v>
                </c:pt>
                <c:pt idx="1">
                  <c:v>101663.85500487093</c:v>
                </c:pt>
                <c:pt idx="2">
                  <c:v>102950.65410040569</c:v>
                </c:pt>
              </c:numCache>
            </c:numRef>
          </c:val>
          <c:extLst>
            <c:ext xmlns:c16="http://schemas.microsoft.com/office/drawing/2014/chart" uri="{C3380CC4-5D6E-409C-BE32-E72D297353CC}">
              <c16:uniqueId val="{00000001-2D9D-2C45-8FDE-E9C6D88775DF}"/>
            </c:ext>
          </c:extLst>
        </c:ser>
        <c:ser>
          <c:idx val="2"/>
          <c:order val="2"/>
          <c:tx>
            <c:strRef>
              <c:f>Dashboard!$D$31</c:f>
              <c:strCache>
                <c:ptCount val="1"/>
                <c:pt idx="0">
                  <c:v>Cloud (Datacenter)</c:v>
                </c:pt>
              </c:strCache>
            </c:strRef>
          </c:tx>
          <c:invertIfNegative val="0"/>
          <c:cat>
            <c:numRef>
              <c:f>Dashboard!$E$28:$N$28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Dashboard!$E$31:$N$31</c:f>
              <c:numCache>
                <c:formatCode>_(* #,##0_);_(* \(#,##0\);_(* "-"??_);_(@_)</c:formatCode>
                <c:ptCount val="10"/>
                <c:pt idx="0">
                  <c:v>2114349.9726205696</c:v>
                </c:pt>
                <c:pt idx="1">
                  <c:v>3816843.87</c:v>
                </c:pt>
                <c:pt idx="2">
                  <c:v>5895340.375</c:v>
                </c:pt>
              </c:numCache>
            </c:numRef>
          </c:val>
          <c:extLst>
            <c:ext xmlns:c16="http://schemas.microsoft.com/office/drawing/2014/chart" uri="{C3380CC4-5D6E-409C-BE32-E72D297353CC}">
              <c16:uniqueId val="{00000002-2D9D-2C45-8FDE-E9C6D88775DF}"/>
            </c:ext>
          </c:extLst>
        </c:ser>
        <c:ser>
          <c:idx val="4"/>
          <c:order val="3"/>
          <c:tx>
            <c:strRef>
              <c:f>Dashboard!$D$32</c:f>
              <c:strCache>
                <c:ptCount val="1"/>
                <c:pt idx="0">
                  <c:v>Other</c:v>
                </c:pt>
              </c:strCache>
            </c:strRef>
          </c:tx>
          <c:invertIfNegative val="0"/>
          <c:cat>
            <c:numRef>
              <c:f>Dashboard!$E$28:$N$28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Dashboard!$E$32:$N$32</c:f>
              <c:numCache>
                <c:formatCode>_(* #,##0_);_(* \(#,##0\);_(* "-"??_);_(@_)</c:formatCode>
                <c:ptCount val="10"/>
                <c:pt idx="0">
                  <c:v>0</c:v>
                </c:pt>
                <c:pt idx="1">
                  <c:v>2361.8200000000197</c:v>
                </c:pt>
                <c:pt idx="2">
                  <c:v>8313.5000000000582</c:v>
                </c:pt>
              </c:numCache>
            </c:numRef>
          </c:val>
          <c:extLst>
            <c:ext xmlns:c16="http://schemas.microsoft.com/office/drawing/2014/chart" uri="{C3380CC4-5D6E-409C-BE32-E72D297353CC}">
              <c16:uniqueId val="{00000004-2D9D-2C45-8FDE-E9C6D88775DF}"/>
            </c:ext>
          </c:extLst>
        </c:ser>
        <c:dLbls>
          <c:showLegendKey val="0"/>
          <c:showVal val="0"/>
          <c:showCatName val="0"/>
          <c:showSerName val="0"/>
          <c:showPercent val="0"/>
          <c:showBubbleSize val="0"/>
        </c:dLbls>
        <c:gapWidth val="150"/>
        <c:overlap val="100"/>
        <c:axId val="329102464"/>
        <c:axId val="329104000"/>
      </c:barChart>
      <c:catAx>
        <c:axId val="329102464"/>
        <c:scaling>
          <c:orientation val="minMax"/>
        </c:scaling>
        <c:delete val="0"/>
        <c:axPos val="b"/>
        <c:numFmt formatCode="General" sourceLinked="1"/>
        <c:majorTickMark val="out"/>
        <c:minorTickMark val="none"/>
        <c:tickLblPos val="nextTo"/>
        <c:crossAx val="329104000"/>
        <c:crosses val="autoZero"/>
        <c:auto val="1"/>
        <c:lblAlgn val="ctr"/>
        <c:lblOffset val="100"/>
        <c:noMultiLvlLbl val="0"/>
      </c:catAx>
      <c:valAx>
        <c:axId val="329104000"/>
        <c:scaling>
          <c:orientation val="minMax"/>
        </c:scaling>
        <c:delete val="0"/>
        <c:axPos val="l"/>
        <c:majorGridlines/>
        <c:numFmt formatCode="_(* #,##0_);_(* \(#,##0\);_(* &quot;-&quot;??_);_(@_)" sourceLinked="1"/>
        <c:majorTickMark val="out"/>
        <c:minorTickMark val="none"/>
        <c:tickLblPos val="nextTo"/>
        <c:crossAx val="329102464"/>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2025</a:t>
            </a:r>
          </a:p>
        </c:rich>
      </c:tx>
      <c:overlay val="0"/>
    </c:title>
    <c:autoTitleDeleted val="0"/>
    <c:plotArea>
      <c:layout/>
      <c:pieChart>
        <c:varyColors val="1"/>
        <c:ser>
          <c:idx val="0"/>
          <c:order val="0"/>
          <c:dLbls>
            <c:spPr>
              <a:noFill/>
              <a:ln>
                <a:noFill/>
              </a:ln>
              <a:effectLst/>
            </c:spPr>
            <c:txPr>
              <a:bodyPr/>
              <a:lstStyle/>
              <a:p>
                <a:pPr>
                  <a:defRPr sz="12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'Segment forecast'!$B$31:$B$34</c:f>
              <c:strCache>
                <c:ptCount val="4"/>
                <c:pt idx="0">
                  <c:v>HPC &amp; AI Clusters</c:v>
                </c:pt>
                <c:pt idx="1">
                  <c:v>Core Routing &amp; Optical Transport</c:v>
                </c:pt>
                <c:pt idx="2">
                  <c:v>Cloud (Datacenter)</c:v>
                </c:pt>
                <c:pt idx="3">
                  <c:v>Other</c:v>
                </c:pt>
              </c:strCache>
            </c:strRef>
          </c:cat>
          <c:val>
            <c:numRef>
              <c:f>'Segment forecast'!$P$31:$P$34</c:f>
              <c:numCache>
                <c:formatCode>_(* #,##0_);_(* \(#,##0\);_(* "-"??_);_(@_)</c:formatCode>
                <c:ptCount val="4"/>
              </c:numCache>
            </c:numRef>
          </c:val>
          <c:extLst>
            <c:ext xmlns:c16="http://schemas.microsoft.com/office/drawing/2014/chart" uri="{C3380CC4-5D6E-409C-BE32-E72D297353CC}">
              <c16:uniqueId val="{00000000-99B8-D54E-9D00-CCE1B2D285A1}"/>
            </c:ext>
          </c:extLst>
        </c:ser>
        <c:dLbls>
          <c:showLegendKey val="0"/>
          <c:showVal val="1"/>
          <c:showCatName val="0"/>
          <c:showSerName val="0"/>
          <c:showPercent val="0"/>
          <c:showBubbleSize val="0"/>
          <c:showLeaderLines val="1"/>
        </c:dLbls>
        <c:firstSliceAng val="0"/>
      </c:pieChart>
    </c:plotArea>
    <c:legend>
      <c:legendPos val="r"/>
      <c:layout>
        <c:manualLayout>
          <c:xMode val="edge"/>
          <c:yMode val="edge"/>
          <c:x val="0.53846523152519077"/>
          <c:y val="0.12975381108181347"/>
          <c:w val="0.4242641202952312"/>
          <c:h val="0.80248697384422241"/>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AOC shipments by product type</a:t>
            </a:r>
          </a:p>
        </c:rich>
      </c:tx>
      <c:overlay val="0"/>
    </c:title>
    <c:autoTitleDeleted val="0"/>
    <c:plotArea>
      <c:layout/>
      <c:lineChart>
        <c:grouping val="standard"/>
        <c:varyColors val="0"/>
        <c:ser>
          <c:idx val="1"/>
          <c:order val="0"/>
          <c:tx>
            <c:strRef>
              <c:f>'AOC forecast'!$R$11</c:f>
              <c:strCache>
                <c:ptCount val="1"/>
                <c:pt idx="0">
                  <c:v>AOC 12x≤12.5G  CXP</c:v>
                </c:pt>
              </c:strCache>
            </c:strRef>
          </c:tx>
          <c:cat>
            <c:numRef>
              <c:f>'AOC forecast'!$G$7:$O$7</c:f>
              <c:numCache>
                <c:formatCode>General</c:formatCode>
                <c:ptCount val="9"/>
                <c:pt idx="0">
                  <c:v>2016</c:v>
                </c:pt>
                <c:pt idx="1">
                  <c:v>2017</c:v>
                </c:pt>
                <c:pt idx="2">
                  <c:v>2018</c:v>
                </c:pt>
                <c:pt idx="3">
                  <c:v>2019</c:v>
                </c:pt>
                <c:pt idx="4">
                  <c:v>2020</c:v>
                </c:pt>
                <c:pt idx="5">
                  <c:v>2021</c:v>
                </c:pt>
                <c:pt idx="6">
                  <c:v>2022</c:v>
                </c:pt>
                <c:pt idx="7">
                  <c:v>2023</c:v>
                </c:pt>
                <c:pt idx="8">
                  <c:v>2024</c:v>
                </c:pt>
              </c:numCache>
            </c:numRef>
          </c:cat>
          <c:val>
            <c:numRef>
              <c:f>'AOC forecast'!$G$11:$O$11</c:f>
              <c:numCache>
                <c:formatCode>_(* #,##0_);_(* \(#,##0\);_(* "-"??_);_(@_)</c:formatCode>
                <c:ptCount val="9"/>
                <c:pt idx="0">
                  <c:v>121030.35714285713</c:v>
                </c:pt>
                <c:pt idx="1">
                  <c:v>90232</c:v>
                </c:pt>
                <c:pt idx="2">
                  <c:v>55123</c:v>
                </c:pt>
              </c:numCache>
            </c:numRef>
          </c:val>
          <c:smooth val="0"/>
          <c:extLst>
            <c:ext xmlns:c16="http://schemas.microsoft.com/office/drawing/2014/chart" uri="{C3380CC4-5D6E-409C-BE32-E72D297353CC}">
              <c16:uniqueId val="{00000000-2ECE-0840-8C8D-E8008F54CB72}"/>
            </c:ext>
          </c:extLst>
        </c:ser>
        <c:ser>
          <c:idx val="5"/>
          <c:order val="1"/>
          <c:tx>
            <c:strRef>
              <c:f>'AOC forecast'!$R$12</c:f>
              <c:strCache>
                <c:ptCount val="1"/>
                <c:pt idx="0">
                  <c:v>XCVR 12x≤12.5G  CXP</c:v>
                </c:pt>
              </c:strCache>
            </c:strRef>
          </c:tx>
          <c:cat>
            <c:numRef>
              <c:f>'AOC forecast'!$G$7:$O$7</c:f>
              <c:numCache>
                <c:formatCode>General</c:formatCode>
                <c:ptCount val="9"/>
                <c:pt idx="0">
                  <c:v>2016</c:v>
                </c:pt>
                <c:pt idx="1">
                  <c:v>2017</c:v>
                </c:pt>
                <c:pt idx="2">
                  <c:v>2018</c:v>
                </c:pt>
                <c:pt idx="3">
                  <c:v>2019</c:v>
                </c:pt>
                <c:pt idx="4">
                  <c:v>2020</c:v>
                </c:pt>
                <c:pt idx="5">
                  <c:v>2021</c:v>
                </c:pt>
                <c:pt idx="6">
                  <c:v>2022</c:v>
                </c:pt>
                <c:pt idx="7">
                  <c:v>2023</c:v>
                </c:pt>
                <c:pt idx="8">
                  <c:v>2024</c:v>
                </c:pt>
              </c:numCache>
            </c:numRef>
          </c:cat>
          <c:val>
            <c:numRef>
              <c:f>'AOC forecast'!$G$12:$O$12</c:f>
              <c:numCache>
                <c:formatCode>_(* #,##0_);_(* \(#,##0\);_(* "-"??_);_(@_)</c:formatCode>
                <c:ptCount val="9"/>
                <c:pt idx="0">
                  <c:v>25000</c:v>
                </c:pt>
                <c:pt idx="1">
                  <c:v>16425</c:v>
                </c:pt>
                <c:pt idx="2">
                  <c:v>14319</c:v>
                </c:pt>
              </c:numCache>
            </c:numRef>
          </c:val>
          <c:smooth val="0"/>
          <c:extLst>
            <c:ext xmlns:c16="http://schemas.microsoft.com/office/drawing/2014/chart" uri="{C3380CC4-5D6E-409C-BE32-E72D297353CC}">
              <c16:uniqueId val="{00000001-2ECE-0840-8C8D-E8008F54CB72}"/>
            </c:ext>
          </c:extLst>
        </c:ser>
        <c:ser>
          <c:idx val="8"/>
          <c:order val="2"/>
          <c:tx>
            <c:strRef>
              <c:f>'AOC forecast'!$R$19</c:f>
              <c:strCache>
                <c:ptCount val="1"/>
                <c:pt idx="0">
                  <c:v>AOC 12x25-28G  CXP28</c:v>
                </c:pt>
              </c:strCache>
            </c:strRef>
          </c:tx>
          <c:cat>
            <c:numRef>
              <c:f>'AOC forecast'!$G$7:$O$7</c:f>
              <c:numCache>
                <c:formatCode>General</c:formatCode>
                <c:ptCount val="9"/>
                <c:pt idx="0">
                  <c:v>2016</c:v>
                </c:pt>
                <c:pt idx="1">
                  <c:v>2017</c:v>
                </c:pt>
                <c:pt idx="2">
                  <c:v>2018</c:v>
                </c:pt>
                <c:pt idx="3">
                  <c:v>2019</c:v>
                </c:pt>
                <c:pt idx="4">
                  <c:v>2020</c:v>
                </c:pt>
                <c:pt idx="5">
                  <c:v>2021</c:v>
                </c:pt>
                <c:pt idx="6">
                  <c:v>2022</c:v>
                </c:pt>
                <c:pt idx="7">
                  <c:v>2023</c:v>
                </c:pt>
                <c:pt idx="8">
                  <c:v>2024</c:v>
                </c:pt>
              </c:numCache>
            </c:numRef>
          </c:cat>
          <c:val>
            <c:numRef>
              <c:f>'AOC forecast'!$G$19:$O$19</c:f>
              <c:numCache>
                <c:formatCode>_(* #,##0_);_(* \(#,##0\);_(* "-"??_);_(@_)</c:formatCode>
                <c:ptCount val="9"/>
                <c:pt idx="0">
                  <c:v>0</c:v>
                </c:pt>
                <c:pt idx="1">
                  <c:v>0</c:v>
                </c:pt>
                <c:pt idx="2">
                  <c:v>0</c:v>
                </c:pt>
              </c:numCache>
            </c:numRef>
          </c:val>
          <c:smooth val="0"/>
          <c:extLst>
            <c:ext xmlns:c16="http://schemas.microsoft.com/office/drawing/2014/chart" uri="{C3380CC4-5D6E-409C-BE32-E72D297353CC}">
              <c16:uniqueId val="{00000002-2ECE-0840-8C8D-E8008F54CB72}"/>
            </c:ext>
          </c:extLst>
        </c:ser>
        <c:ser>
          <c:idx val="9"/>
          <c:order val="3"/>
          <c:tx>
            <c:strRef>
              <c:f>'AOC forecast'!$R$20</c:f>
              <c:strCache>
                <c:ptCount val="1"/>
                <c:pt idx="0">
                  <c:v>XCVR 12x25-28G  CXP28</c:v>
                </c:pt>
              </c:strCache>
            </c:strRef>
          </c:tx>
          <c:cat>
            <c:numRef>
              <c:f>'AOC forecast'!$G$7:$O$7</c:f>
              <c:numCache>
                <c:formatCode>General</c:formatCode>
                <c:ptCount val="9"/>
                <c:pt idx="0">
                  <c:v>2016</c:v>
                </c:pt>
                <c:pt idx="1">
                  <c:v>2017</c:v>
                </c:pt>
                <c:pt idx="2">
                  <c:v>2018</c:v>
                </c:pt>
                <c:pt idx="3">
                  <c:v>2019</c:v>
                </c:pt>
                <c:pt idx="4">
                  <c:v>2020</c:v>
                </c:pt>
                <c:pt idx="5">
                  <c:v>2021</c:v>
                </c:pt>
                <c:pt idx="6">
                  <c:v>2022</c:v>
                </c:pt>
                <c:pt idx="7">
                  <c:v>2023</c:v>
                </c:pt>
                <c:pt idx="8">
                  <c:v>2024</c:v>
                </c:pt>
              </c:numCache>
            </c:numRef>
          </c:cat>
          <c:val>
            <c:numRef>
              <c:f>'AOC forecast'!$G$20:$O$20</c:f>
              <c:numCache>
                <c:formatCode>_(* #,##0_);_(* \(#,##0\);_(* "-"??_);_(@_)</c:formatCode>
                <c:ptCount val="9"/>
                <c:pt idx="0">
                  <c:v>0</c:v>
                </c:pt>
                <c:pt idx="1">
                  <c:v>0</c:v>
                </c:pt>
                <c:pt idx="2">
                  <c:v>1500</c:v>
                </c:pt>
              </c:numCache>
            </c:numRef>
          </c:val>
          <c:smooth val="0"/>
          <c:extLst>
            <c:ext xmlns:c16="http://schemas.microsoft.com/office/drawing/2014/chart" uri="{C3380CC4-5D6E-409C-BE32-E72D297353CC}">
              <c16:uniqueId val="{00000003-2ECE-0840-8C8D-E8008F54CB72}"/>
            </c:ext>
          </c:extLst>
        </c:ser>
        <c:dLbls>
          <c:showLegendKey val="0"/>
          <c:showVal val="0"/>
          <c:showCatName val="0"/>
          <c:showSerName val="0"/>
          <c:showPercent val="0"/>
          <c:showBubbleSize val="0"/>
        </c:dLbls>
        <c:marker val="1"/>
        <c:smooth val="0"/>
        <c:axId val="330536832"/>
        <c:axId val="330538368"/>
      </c:lineChart>
      <c:catAx>
        <c:axId val="330536832"/>
        <c:scaling>
          <c:orientation val="minMax"/>
        </c:scaling>
        <c:delete val="0"/>
        <c:axPos val="b"/>
        <c:numFmt formatCode="General" sourceLinked="1"/>
        <c:majorTickMark val="out"/>
        <c:minorTickMark val="none"/>
        <c:tickLblPos val="nextTo"/>
        <c:crossAx val="330538368"/>
        <c:crosses val="autoZero"/>
        <c:auto val="1"/>
        <c:lblAlgn val="ctr"/>
        <c:lblOffset val="100"/>
        <c:noMultiLvlLbl val="0"/>
      </c:catAx>
      <c:valAx>
        <c:axId val="330538368"/>
        <c:scaling>
          <c:orientation val="minMax"/>
        </c:scaling>
        <c:delete val="0"/>
        <c:axPos val="l"/>
        <c:majorGridlines/>
        <c:numFmt formatCode="_(* #,##0_);_(* \(#,##0\);_(* &quot;-&quot;??_);_(@_)" sourceLinked="1"/>
        <c:majorTickMark val="out"/>
        <c:minorTickMark val="none"/>
        <c:tickLblPos val="nextTo"/>
        <c:txPr>
          <a:bodyPr/>
          <a:lstStyle/>
          <a:p>
            <a:pPr>
              <a:defRPr sz="1200"/>
            </a:pPr>
            <a:endParaRPr lang="en-US"/>
          </a:p>
        </c:txPr>
        <c:crossAx val="330536832"/>
        <c:crosses val="autoZero"/>
        <c:crossBetween val="between"/>
      </c:valAx>
      <c:dTable>
        <c:showHorzBorder val="1"/>
        <c:showVertBorder val="1"/>
        <c:showOutline val="1"/>
        <c:showKeys val="1"/>
        <c:txPr>
          <a:bodyPr/>
          <a:lstStyle/>
          <a:p>
            <a:pPr rtl="0">
              <a:defRPr sz="1050"/>
            </a:pPr>
            <a:endParaRPr lang="en-US"/>
          </a:p>
        </c:txPr>
      </c:dTable>
    </c:plotArea>
    <c:plotVisOnly val="1"/>
    <c:dispBlanksAs val="zero"/>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EOM segment splits - 2019</a:t>
            </a:r>
          </a:p>
        </c:rich>
      </c:tx>
      <c:overlay val="0"/>
    </c:title>
    <c:autoTitleDeleted val="0"/>
    <c:plotArea>
      <c:layout/>
      <c:pieChart>
        <c:varyColors val="1"/>
        <c:ser>
          <c:idx val="0"/>
          <c:order val="0"/>
          <c:dLbls>
            <c:spPr>
              <a:noFill/>
              <a:ln>
                <a:noFill/>
              </a:ln>
              <a:effectLst/>
            </c:spPr>
            <c:txPr>
              <a:bodyPr/>
              <a:lstStyle/>
              <a:p>
                <a:pPr>
                  <a:defRPr sz="12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'Segment forecast'!$B$31:$B$34</c:f>
              <c:strCache>
                <c:ptCount val="4"/>
                <c:pt idx="0">
                  <c:v>HPC &amp; AI Clusters</c:v>
                </c:pt>
                <c:pt idx="1">
                  <c:v>Core Routing &amp; Optical Transport</c:v>
                </c:pt>
                <c:pt idx="2">
                  <c:v>Cloud (Datacenter)</c:v>
                </c:pt>
                <c:pt idx="3">
                  <c:v>Other</c:v>
                </c:pt>
              </c:strCache>
            </c:strRef>
          </c:cat>
          <c:val>
            <c:numRef>
              <c:f>'Segment forecast'!$J$31:$J$34</c:f>
              <c:numCache>
                <c:formatCode>_(* #,##0_);_(* \(#,##0\);_(* "-"??_);_(@_)</c:formatCode>
                <c:ptCount val="4"/>
              </c:numCache>
            </c:numRef>
          </c:val>
          <c:extLst>
            <c:ext xmlns:c16="http://schemas.microsoft.com/office/drawing/2014/chart" uri="{C3380CC4-5D6E-409C-BE32-E72D297353CC}">
              <c16:uniqueId val="{00000000-E9A7-A44A-B286-3620976C5239}"/>
            </c:ext>
          </c:extLst>
        </c:ser>
        <c:dLbls>
          <c:showLegendKey val="0"/>
          <c:showVal val="1"/>
          <c:showCatName val="0"/>
          <c:showSerName val="0"/>
          <c:showPercent val="0"/>
          <c:showBubbleSize val="0"/>
          <c:showLeaderLines val="1"/>
        </c:dLbls>
        <c:firstSliceAng val="0"/>
      </c:pieChart>
    </c:plotArea>
    <c:legend>
      <c:legendPos val="r"/>
      <c:layout>
        <c:manualLayout>
          <c:xMode val="edge"/>
          <c:yMode val="edge"/>
          <c:x val="0.59955650079827505"/>
          <c:y val="0.18170983705113"/>
          <c:w val="0.38272213623821"/>
          <c:h val="0.73781077402264805"/>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AOC segment splits - 2019</a:t>
            </a:r>
          </a:p>
        </c:rich>
      </c:tx>
      <c:layout>
        <c:manualLayout>
          <c:xMode val="edge"/>
          <c:yMode val="edge"/>
          <c:x val="0.21616776350326003"/>
          <c:y val="3.2450336202274006E-2"/>
        </c:manualLayout>
      </c:layout>
      <c:overlay val="0"/>
    </c:title>
    <c:autoTitleDeleted val="0"/>
    <c:plotArea>
      <c:layout/>
      <c:pieChart>
        <c:varyColors val="1"/>
        <c:ser>
          <c:idx val="0"/>
          <c:order val="0"/>
          <c:dLbls>
            <c:spPr>
              <a:noFill/>
              <a:ln>
                <a:noFill/>
              </a:ln>
              <a:effectLst/>
            </c:spPr>
            <c:txPr>
              <a:bodyPr/>
              <a:lstStyle/>
              <a:p>
                <a:pPr>
                  <a:defRPr sz="12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'Segment forecast'!$B$9:$B$12</c:f>
              <c:strCache>
                <c:ptCount val="4"/>
                <c:pt idx="0">
                  <c:v>HPC &amp; AI Clusters</c:v>
                </c:pt>
                <c:pt idx="1">
                  <c:v>Core Routing &amp; Optical Transport</c:v>
                </c:pt>
                <c:pt idx="2">
                  <c:v>Cloud (Datacenter)</c:v>
                </c:pt>
                <c:pt idx="3">
                  <c:v>Other</c:v>
                </c:pt>
              </c:strCache>
            </c:strRef>
          </c:cat>
          <c:val>
            <c:numRef>
              <c:f>'Segment forecast'!$J$9:$J$12</c:f>
              <c:numCache>
                <c:formatCode>_(* #,##0_);_(* \(#,##0\);_(* "-"??_);_(@_)</c:formatCode>
                <c:ptCount val="4"/>
              </c:numCache>
            </c:numRef>
          </c:val>
          <c:extLst>
            <c:ext xmlns:c16="http://schemas.microsoft.com/office/drawing/2014/chart" uri="{C3380CC4-5D6E-409C-BE32-E72D297353CC}">
              <c16:uniqueId val="{00000000-7597-FE4C-94BD-A4FB7DBEC700}"/>
            </c:ext>
          </c:extLst>
        </c:ser>
        <c:dLbls>
          <c:showLegendKey val="0"/>
          <c:showVal val="1"/>
          <c:showCatName val="0"/>
          <c:showSerName val="0"/>
          <c:showPercent val="0"/>
          <c:showBubbleSize val="0"/>
          <c:showLeaderLines val="1"/>
        </c:dLbls>
        <c:firstSliceAng val="0"/>
      </c:pieChart>
    </c:plotArea>
    <c:legend>
      <c:legendPos val="r"/>
      <c:layout>
        <c:manualLayout>
          <c:xMode val="edge"/>
          <c:yMode val="edge"/>
          <c:x val="0.59955650079827505"/>
          <c:y val="0.18170983705113"/>
          <c:w val="0.38272213623821"/>
          <c:h val="0.73781077402264805"/>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26640419947508"/>
          <c:y val="0.11659922717993582"/>
          <c:w val="0.80062248468941377"/>
          <c:h val="0.76742089530475355"/>
        </c:manualLayout>
      </c:layout>
      <c:barChart>
        <c:barDir val="col"/>
        <c:grouping val="stacked"/>
        <c:varyColors val="0"/>
        <c:ser>
          <c:idx val="0"/>
          <c:order val="0"/>
          <c:tx>
            <c:strRef>
              <c:f>Summary!$B$48</c:f>
              <c:strCache>
                <c:ptCount val="1"/>
                <c:pt idx="0">
                  <c:v>10G and 25G AOCs</c:v>
                </c:pt>
              </c:strCache>
            </c:strRef>
          </c:tx>
          <c:invertIfNegative val="0"/>
          <c:cat>
            <c:numRef>
              <c:f>Summary!$C$47:$L$47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Summary!$C$48:$L$48</c:f>
              <c:numCache>
                <c:formatCode>_(* #,##0_);_(* \(#,##0\);_(* "-"??_);_(@_)</c:formatCode>
                <c:ptCount val="10"/>
                <c:pt idx="0">
                  <c:v>1664178</c:v>
                </c:pt>
                <c:pt idx="1">
                  <c:v>3402357</c:v>
                </c:pt>
                <c:pt idx="2">
                  <c:v>5281751</c:v>
                </c:pt>
              </c:numCache>
            </c:numRef>
          </c:val>
          <c:extLst>
            <c:ext xmlns:c16="http://schemas.microsoft.com/office/drawing/2014/chart" uri="{C3380CC4-5D6E-409C-BE32-E72D297353CC}">
              <c16:uniqueId val="{00000000-0B35-DC4F-A77D-B586B9972DA0}"/>
            </c:ext>
          </c:extLst>
        </c:ser>
        <c:ser>
          <c:idx val="1"/>
          <c:order val="1"/>
          <c:tx>
            <c:strRef>
              <c:f>Summary!$B$49</c:f>
              <c:strCache>
                <c:ptCount val="1"/>
                <c:pt idx="0">
                  <c:v>40G and above AOCs</c:v>
                </c:pt>
              </c:strCache>
            </c:strRef>
          </c:tx>
          <c:invertIfNegative val="0"/>
          <c:cat>
            <c:numRef>
              <c:f>Summary!$C$47:$L$47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Summary!$C$49:$L$49</c:f>
              <c:numCache>
                <c:formatCode>_(* #,##0_);_(* \(#,##0\);_(* "-"??_);_(@_)</c:formatCode>
                <c:ptCount val="10"/>
                <c:pt idx="0">
                  <c:v>853208.35714285728</c:v>
                </c:pt>
                <c:pt idx="1">
                  <c:v>723499</c:v>
                </c:pt>
                <c:pt idx="2">
                  <c:v>815022</c:v>
                </c:pt>
              </c:numCache>
            </c:numRef>
          </c:val>
          <c:extLst>
            <c:ext xmlns:c16="http://schemas.microsoft.com/office/drawing/2014/chart" uri="{C3380CC4-5D6E-409C-BE32-E72D297353CC}">
              <c16:uniqueId val="{00000001-0B35-DC4F-A77D-B586B9972DA0}"/>
            </c:ext>
          </c:extLst>
        </c:ser>
        <c:dLbls>
          <c:showLegendKey val="0"/>
          <c:showVal val="0"/>
          <c:showCatName val="0"/>
          <c:showSerName val="0"/>
          <c:showPercent val="0"/>
          <c:showBubbleSize val="0"/>
        </c:dLbls>
        <c:gapWidth val="150"/>
        <c:overlap val="100"/>
        <c:axId val="329923200"/>
        <c:axId val="329924992"/>
      </c:barChart>
      <c:catAx>
        <c:axId val="329923200"/>
        <c:scaling>
          <c:orientation val="minMax"/>
        </c:scaling>
        <c:delete val="0"/>
        <c:axPos val="b"/>
        <c:numFmt formatCode="General" sourceLinked="1"/>
        <c:majorTickMark val="out"/>
        <c:minorTickMark val="none"/>
        <c:tickLblPos val="nextTo"/>
        <c:txPr>
          <a:bodyPr/>
          <a:lstStyle/>
          <a:p>
            <a:pPr>
              <a:defRPr sz="1400"/>
            </a:pPr>
            <a:endParaRPr lang="en-US"/>
          </a:p>
        </c:txPr>
        <c:crossAx val="329924992"/>
        <c:crosses val="autoZero"/>
        <c:auto val="1"/>
        <c:lblAlgn val="ctr"/>
        <c:lblOffset val="100"/>
        <c:noMultiLvlLbl val="0"/>
      </c:catAx>
      <c:valAx>
        <c:axId val="329924992"/>
        <c:scaling>
          <c:orientation val="minMax"/>
        </c:scaling>
        <c:delete val="0"/>
        <c:axPos val="l"/>
        <c:majorGridlines/>
        <c:numFmt formatCode="_(* #,##0_);_(* \(#,##0\);_(* &quot;-&quot;??_);_(@_)" sourceLinked="1"/>
        <c:majorTickMark val="out"/>
        <c:minorTickMark val="none"/>
        <c:tickLblPos val="nextTo"/>
        <c:txPr>
          <a:bodyPr/>
          <a:lstStyle/>
          <a:p>
            <a:pPr>
              <a:defRPr sz="1400"/>
            </a:pPr>
            <a:endParaRPr lang="en-US"/>
          </a:p>
        </c:txPr>
        <c:crossAx val="329923200"/>
        <c:crosses val="autoZero"/>
        <c:crossBetween val="between"/>
        <c:majorUnit val="2000000"/>
      </c:valAx>
    </c:plotArea>
    <c:legend>
      <c:legendPos val="t"/>
      <c:overlay val="0"/>
      <c:txPr>
        <a:bodyPr/>
        <a:lstStyle/>
        <a:p>
          <a:pPr>
            <a:defRPr sz="1600"/>
          </a:pPr>
          <a:endParaRPr lang="en-US"/>
        </a:p>
      </c:txPr>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37756237746026"/>
          <c:y val="0.11659922717993582"/>
          <c:w val="0.82851128686195918"/>
          <c:h val="0.76742089530475355"/>
        </c:manualLayout>
      </c:layout>
      <c:barChart>
        <c:barDir val="col"/>
        <c:grouping val="stacked"/>
        <c:varyColors val="0"/>
        <c:ser>
          <c:idx val="0"/>
          <c:order val="0"/>
          <c:tx>
            <c:strRef>
              <c:f>Summary!$O$48</c:f>
              <c:strCache>
                <c:ptCount val="1"/>
                <c:pt idx="0">
                  <c:v>10G and 25G AOCs</c:v>
                </c:pt>
              </c:strCache>
            </c:strRef>
          </c:tx>
          <c:invertIfNegative val="0"/>
          <c:cat>
            <c:numRef>
              <c:f>Summary!$P$47:$Y$47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Summary!$P$48:$Y$48</c:f>
              <c:numCache>
                <c:formatCode>_("$"* #,##0_);_("$"* \(#,##0\);_("$"* "-"??_);_(@_)</c:formatCode>
                <c:ptCount val="10"/>
                <c:pt idx="0">
                  <c:v>41.314569322808062</c:v>
                </c:pt>
                <c:pt idx="1">
                  <c:v>73.672164000000009</c:v>
                </c:pt>
                <c:pt idx="2">
                  <c:v>118.91830969999998</c:v>
                </c:pt>
              </c:numCache>
            </c:numRef>
          </c:val>
          <c:extLst>
            <c:ext xmlns:c16="http://schemas.microsoft.com/office/drawing/2014/chart" uri="{C3380CC4-5D6E-409C-BE32-E72D297353CC}">
              <c16:uniqueId val="{00000000-DBE0-E445-B3C1-26DBEBD365DE}"/>
            </c:ext>
          </c:extLst>
        </c:ser>
        <c:ser>
          <c:idx val="1"/>
          <c:order val="1"/>
          <c:tx>
            <c:strRef>
              <c:f>Summary!$O$49</c:f>
              <c:strCache>
                <c:ptCount val="1"/>
                <c:pt idx="0">
                  <c:v>40G and above AOCs</c:v>
                </c:pt>
              </c:strCache>
            </c:strRef>
          </c:tx>
          <c:invertIfNegative val="0"/>
          <c:cat>
            <c:numRef>
              <c:f>Summary!$P$47:$Y$47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Summary!$P$49:$Y$49</c:f>
              <c:numCache>
                <c:formatCode>_("$"* #,##0_);_("$"* \(#,##0\);_("$"* "-"??_);_(@_)</c:formatCode>
                <c:ptCount val="10"/>
                <c:pt idx="0">
                  <c:v>188.97869693637838</c:v>
                </c:pt>
                <c:pt idx="1">
                  <c:v>138.6302853335402</c:v>
                </c:pt>
                <c:pt idx="2">
                  <c:v>112.85330982831405</c:v>
                </c:pt>
              </c:numCache>
            </c:numRef>
          </c:val>
          <c:extLst>
            <c:ext xmlns:c16="http://schemas.microsoft.com/office/drawing/2014/chart" uri="{C3380CC4-5D6E-409C-BE32-E72D297353CC}">
              <c16:uniqueId val="{00000001-DBE0-E445-B3C1-26DBEBD365DE}"/>
            </c:ext>
          </c:extLst>
        </c:ser>
        <c:dLbls>
          <c:showLegendKey val="0"/>
          <c:showVal val="0"/>
          <c:showCatName val="0"/>
          <c:showSerName val="0"/>
          <c:showPercent val="0"/>
          <c:showBubbleSize val="0"/>
        </c:dLbls>
        <c:gapWidth val="150"/>
        <c:overlap val="100"/>
        <c:axId val="329954816"/>
        <c:axId val="329956352"/>
      </c:barChart>
      <c:catAx>
        <c:axId val="329954816"/>
        <c:scaling>
          <c:orientation val="minMax"/>
        </c:scaling>
        <c:delete val="0"/>
        <c:axPos val="b"/>
        <c:numFmt formatCode="General" sourceLinked="1"/>
        <c:majorTickMark val="out"/>
        <c:minorTickMark val="none"/>
        <c:tickLblPos val="nextTo"/>
        <c:txPr>
          <a:bodyPr/>
          <a:lstStyle/>
          <a:p>
            <a:pPr>
              <a:defRPr sz="1600"/>
            </a:pPr>
            <a:endParaRPr lang="en-US"/>
          </a:p>
        </c:txPr>
        <c:crossAx val="329956352"/>
        <c:crosses val="autoZero"/>
        <c:auto val="1"/>
        <c:lblAlgn val="ctr"/>
        <c:lblOffset val="100"/>
        <c:noMultiLvlLbl val="0"/>
      </c:catAx>
      <c:valAx>
        <c:axId val="329956352"/>
        <c:scaling>
          <c:orientation val="minMax"/>
        </c:scaling>
        <c:delete val="0"/>
        <c:axPos val="l"/>
        <c:majorGridlines/>
        <c:title>
          <c:tx>
            <c:rich>
              <a:bodyPr rot="-5400000" vert="horz"/>
              <a:lstStyle/>
              <a:p>
                <a:pPr>
                  <a:defRPr sz="1400" b="0"/>
                </a:pPr>
                <a:r>
                  <a:rPr lang="en-US" sz="1400" b="0"/>
                  <a:t>Annual sales ($ millions)</a:t>
                </a:r>
              </a:p>
            </c:rich>
          </c:tx>
          <c:layout>
            <c:manualLayout>
              <c:xMode val="edge"/>
              <c:yMode val="edge"/>
              <c:x val="1.3930848122795398E-2"/>
              <c:y val="0.22087671332750072"/>
            </c:manualLayout>
          </c:layout>
          <c:overlay val="0"/>
        </c:title>
        <c:numFmt formatCode="_(&quot;$&quot;* #,##0_);_(&quot;$&quot;* \(#,##0\);_(&quot;$&quot;* &quot;-&quot;??_);_(@_)" sourceLinked="1"/>
        <c:majorTickMark val="out"/>
        <c:minorTickMark val="none"/>
        <c:tickLblPos val="nextTo"/>
        <c:txPr>
          <a:bodyPr/>
          <a:lstStyle/>
          <a:p>
            <a:pPr>
              <a:defRPr sz="1400"/>
            </a:pPr>
            <a:endParaRPr lang="en-US"/>
          </a:p>
        </c:txPr>
        <c:crossAx val="329954816"/>
        <c:crosses val="autoZero"/>
        <c:crossBetween val="between"/>
      </c:valAx>
    </c:plotArea>
    <c:legend>
      <c:legendPos val="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721354739867891"/>
          <c:y val="6.6986693485211829E-2"/>
          <c:w val="0.78583222733873359"/>
          <c:h val="0.81534287886750301"/>
        </c:manualLayout>
      </c:layout>
      <c:barChart>
        <c:barDir val="col"/>
        <c:grouping val="stacked"/>
        <c:varyColors val="0"/>
        <c:ser>
          <c:idx val="1"/>
          <c:order val="0"/>
          <c:tx>
            <c:strRef>
              <c:f>Summary!$B$232</c:f>
              <c:strCache>
                <c:ptCount val="1"/>
                <c:pt idx="0">
                  <c:v>100/400G EOMs</c:v>
                </c:pt>
              </c:strCache>
            </c:strRef>
          </c:tx>
          <c:invertIfNegative val="0"/>
          <c:cat>
            <c:numRef>
              <c:f>Summary!$C$231:$L$231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Summary!$C$232:$L$232</c:f>
              <c:numCache>
                <c:formatCode>_(* #,##0_);_(* \(#,##0\);_(* "-"??_);_(@_)</c:formatCode>
                <c:ptCount val="10"/>
                <c:pt idx="0">
                  <c:v>53000</c:v>
                </c:pt>
                <c:pt idx="1">
                  <c:v>118091</c:v>
                </c:pt>
                <c:pt idx="2">
                  <c:v>166270</c:v>
                </c:pt>
                <c:pt idx="6">
                  <c:v>0</c:v>
                </c:pt>
              </c:numCache>
            </c:numRef>
          </c:val>
          <c:extLst>
            <c:ext xmlns:c16="http://schemas.microsoft.com/office/drawing/2014/chart" uri="{C3380CC4-5D6E-409C-BE32-E72D297353CC}">
              <c16:uniqueId val="{00000001-4924-F64B-95E1-F73E28237C1B}"/>
            </c:ext>
          </c:extLst>
        </c:ser>
        <c:ser>
          <c:idx val="2"/>
          <c:order val="1"/>
          <c:tx>
            <c:strRef>
              <c:f>Summary!$B$233</c:f>
              <c:strCache>
                <c:ptCount val="1"/>
                <c:pt idx="0">
                  <c:v>800G CPO</c:v>
                </c:pt>
              </c:strCache>
            </c:strRef>
          </c:tx>
          <c:invertIfNegative val="0"/>
          <c:cat>
            <c:numRef>
              <c:f>Summary!$C$231:$L$231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Summary!$C$233:$L$233</c:f>
              <c:numCache>
                <c:formatCode>_(* #,##0_);_(* \(#,##0\);_(* "-"??_);_(@_)</c:formatCode>
                <c:ptCount val="10"/>
                <c:pt idx="6">
                  <c:v>30000</c:v>
                </c:pt>
              </c:numCache>
            </c:numRef>
          </c:val>
          <c:extLst>
            <c:ext xmlns:c16="http://schemas.microsoft.com/office/drawing/2014/chart" uri="{C3380CC4-5D6E-409C-BE32-E72D297353CC}">
              <c16:uniqueId val="{00000000-5FE9-6E40-AE35-681119C6C207}"/>
            </c:ext>
          </c:extLst>
        </c:ser>
        <c:ser>
          <c:idx val="0"/>
          <c:order val="2"/>
          <c:tx>
            <c:strRef>
              <c:f>Summary!$B$234</c:f>
              <c:strCache>
                <c:ptCount val="1"/>
                <c:pt idx="0">
                  <c:v>1.6T CPO</c:v>
                </c:pt>
              </c:strCache>
            </c:strRef>
          </c:tx>
          <c:invertIfNegative val="0"/>
          <c:cat>
            <c:numRef>
              <c:f>Summary!$C$231:$L$231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Summary!$C$234:$L$234</c:f>
              <c:numCache>
                <c:formatCode>_(* #,##0_);_(* \(#,##0\);_(* "-"??_);_(@_)</c:formatCode>
                <c:ptCount val="10"/>
              </c:numCache>
            </c:numRef>
          </c:val>
          <c:extLst>
            <c:ext xmlns:c16="http://schemas.microsoft.com/office/drawing/2014/chart" uri="{C3380CC4-5D6E-409C-BE32-E72D297353CC}">
              <c16:uniqueId val="{00000001-9DA9-2D49-A227-769D17A9BB46}"/>
            </c:ext>
          </c:extLst>
        </c:ser>
        <c:dLbls>
          <c:showLegendKey val="0"/>
          <c:showVal val="0"/>
          <c:showCatName val="0"/>
          <c:showSerName val="0"/>
          <c:showPercent val="0"/>
          <c:showBubbleSize val="0"/>
        </c:dLbls>
        <c:gapWidth val="150"/>
        <c:overlap val="100"/>
        <c:axId val="331614464"/>
        <c:axId val="331624448"/>
      </c:barChart>
      <c:catAx>
        <c:axId val="331614464"/>
        <c:scaling>
          <c:orientation val="minMax"/>
        </c:scaling>
        <c:delete val="0"/>
        <c:axPos val="b"/>
        <c:numFmt formatCode="General" sourceLinked="1"/>
        <c:majorTickMark val="out"/>
        <c:minorTickMark val="none"/>
        <c:tickLblPos val="nextTo"/>
        <c:txPr>
          <a:bodyPr/>
          <a:lstStyle/>
          <a:p>
            <a:pPr>
              <a:defRPr sz="1200"/>
            </a:pPr>
            <a:endParaRPr lang="en-US"/>
          </a:p>
        </c:txPr>
        <c:crossAx val="331624448"/>
        <c:crosses val="autoZero"/>
        <c:auto val="1"/>
        <c:lblAlgn val="ctr"/>
        <c:lblOffset val="100"/>
        <c:noMultiLvlLbl val="0"/>
      </c:catAx>
      <c:valAx>
        <c:axId val="331624448"/>
        <c:scaling>
          <c:orientation val="minMax"/>
        </c:scaling>
        <c:delete val="0"/>
        <c:axPos val="l"/>
        <c:majorGridlines/>
        <c:title>
          <c:tx>
            <c:rich>
              <a:bodyPr rot="-5400000" vert="horz"/>
              <a:lstStyle/>
              <a:p>
                <a:pPr>
                  <a:defRPr sz="1400"/>
                </a:pPr>
                <a:r>
                  <a:rPr lang="en-US" sz="1400"/>
                  <a:t>Unit shipments</a:t>
                </a:r>
              </a:p>
            </c:rich>
          </c:tx>
          <c:layout>
            <c:manualLayout>
              <c:xMode val="edge"/>
              <c:yMode val="edge"/>
              <c:x val="7.8957843539699726E-3"/>
              <c:y val="0.27096179374806789"/>
            </c:manualLayout>
          </c:layout>
          <c:overlay val="0"/>
        </c:title>
        <c:numFmt formatCode="_(* #,##0_);_(* \(#,##0\);_(* &quot;-&quot;??_);_(@_)" sourceLinked="1"/>
        <c:majorTickMark val="out"/>
        <c:minorTickMark val="none"/>
        <c:tickLblPos val="nextTo"/>
        <c:txPr>
          <a:bodyPr/>
          <a:lstStyle/>
          <a:p>
            <a:pPr>
              <a:defRPr sz="1200"/>
            </a:pPr>
            <a:endParaRPr lang="en-US"/>
          </a:p>
        </c:txPr>
        <c:crossAx val="331614464"/>
        <c:crosses val="autoZero"/>
        <c:crossBetween val="between"/>
      </c:valAx>
    </c:plotArea>
    <c:legend>
      <c:legendPos val="t"/>
      <c:layout>
        <c:manualLayout>
          <c:xMode val="edge"/>
          <c:yMode val="edge"/>
          <c:x val="0.21249404922956786"/>
          <c:y val="0.12438303387937641"/>
          <c:w val="0.57842178952206025"/>
          <c:h val="8.8047089770395326E-2"/>
        </c:manualLayout>
      </c:layout>
      <c:overlay val="0"/>
      <c:spPr>
        <a:solidFill>
          <a:schemeClr val="bg1"/>
        </a:solidFill>
        <a:ln>
          <a:solidFill>
            <a:schemeClr val="tx1">
              <a:lumMod val="65000"/>
              <a:lumOff val="35000"/>
            </a:schemeClr>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2634516811395"/>
          <c:y val="4.8284110285179288E-2"/>
          <c:w val="0.83155345987254847"/>
          <c:h val="0.83404552155497347"/>
        </c:manualLayout>
      </c:layout>
      <c:barChart>
        <c:barDir val="col"/>
        <c:grouping val="stacked"/>
        <c:varyColors val="0"/>
        <c:ser>
          <c:idx val="1"/>
          <c:order val="0"/>
          <c:tx>
            <c:strRef>
              <c:f>Summary!$O$232</c:f>
              <c:strCache>
                <c:ptCount val="1"/>
                <c:pt idx="0">
                  <c:v>100/400G EOMs</c:v>
                </c:pt>
              </c:strCache>
            </c:strRef>
          </c:tx>
          <c:invertIfNegative val="0"/>
          <c:cat>
            <c:numRef>
              <c:f>Summary!$R$231:$Y$231</c:f>
              <c:numCache>
                <c:formatCode>General</c:formatCode>
                <c:ptCount val="8"/>
                <c:pt idx="0">
                  <c:v>2018</c:v>
                </c:pt>
                <c:pt idx="1">
                  <c:v>2019</c:v>
                </c:pt>
                <c:pt idx="2">
                  <c:v>2020</c:v>
                </c:pt>
                <c:pt idx="3">
                  <c:v>2021</c:v>
                </c:pt>
                <c:pt idx="4">
                  <c:v>2022</c:v>
                </c:pt>
                <c:pt idx="5">
                  <c:v>2023</c:v>
                </c:pt>
                <c:pt idx="6">
                  <c:v>2024</c:v>
                </c:pt>
                <c:pt idx="7">
                  <c:v>2025</c:v>
                </c:pt>
              </c:numCache>
            </c:numRef>
          </c:cat>
          <c:val>
            <c:numRef>
              <c:f>Summary!$R$232:$Y$232</c:f>
              <c:numCache>
                <c:formatCode>_("$"* #,##0_);_("$"* \(#,##0\);_("$"* "-"??_);_(@_)</c:formatCode>
                <c:ptCount val="8"/>
                <c:pt idx="0">
                  <c:v>62.683790000000002</c:v>
                </c:pt>
                <c:pt idx="4">
                  <c:v>0</c:v>
                </c:pt>
              </c:numCache>
            </c:numRef>
          </c:val>
          <c:extLst>
            <c:ext xmlns:c16="http://schemas.microsoft.com/office/drawing/2014/chart" uri="{C3380CC4-5D6E-409C-BE32-E72D297353CC}">
              <c16:uniqueId val="{00000001-4924-F64B-95E1-F73E28237C1B}"/>
            </c:ext>
          </c:extLst>
        </c:ser>
        <c:ser>
          <c:idx val="2"/>
          <c:order val="1"/>
          <c:tx>
            <c:strRef>
              <c:f>Summary!$O$233</c:f>
              <c:strCache>
                <c:ptCount val="1"/>
                <c:pt idx="0">
                  <c:v>800G CPO</c:v>
                </c:pt>
              </c:strCache>
            </c:strRef>
          </c:tx>
          <c:invertIfNegative val="0"/>
          <c:cat>
            <c:numRef>
              <c:f>Summary!$R$231:$Y$231</c:f>
              <c:numCache>
                <c:formatCode>General</c:formatCode>
                <c:ptCount val="8"/>
                <c:pt idx="0">
                  <c:v>2018</c:v>
                </c:pt>
                <c:pt idx="1">
                  <c:v>2019</c:v>
                </c:pt>
                <c:pt idx="2">
                  <c:v>2020</c:v>
                </c:pt>
                <c:pt idx="3">
                  <c:v>2021</c:v>
                </c:pt>
                <c:pt idx="4">
                  <c:v>2022</c:v>
                </c:pt>
                <c:pt idx="5">
                  <c:v>2023</c:v>
                </c:pt>
                <c:pt idx="6">
                  <c:v>2024</c:v>
                </c:pt>
                <c:pt idx="7">
                  <c:v>2025</c:v>
                </c:pt>
              </c:numCache>
            </c:numRef>
          </c:cat>
          <c:val>
            <c:numRef>
              <c:f>Summary!$R$233:$Y$233</c:f>
              <c:numCache>
                <c:formatCode>_("$"* #,##0_);_("$"* \(#,##0\);_("$"* "-"??_);_(@_)</c:formatCode>
                <c:ptCount val="8"/>
                <c:pt idx="4">
                  <c:v>15.955351531349066</c:v>
                </c:pt>
              </c:numCache>
            </c:numRef>
          </c:val>
          <c:extLst>
            <c:ext xmlns:c16="http://schemas.microsoft.com/office/drawing/2014/chart" uri="{C3380CC4-5D6E-409C-BE32-E72D297353CC}">
              <c16:uniqueId val="{00000000-5FE9-6E40-AE35-681119C6C207}"/>
            </c:ext>
          </c:extLst>
        </c:ser>
        <c:ser>
          <c:idx val="0"/>
          <c:order val="2"/>
          <c:tx>
            <c:strRef>
              <c:f>Summary!$O$234</c:f>
              <c:strCache>
                <c:ptCount val="1"/>
                <c:pt idx="0">
                  <c:v>1.6T CPO</c:v>
                </c:pt>
              </c:strCache>
            </c:strRef>
          </c:tx>
          <c:invertIfNegative val="0"/>
          <c:cat>
            <c:numRef>
              <c:f>Summary!$R$231:$Y$231</c:f>
              <c:numCache>
                <c:formatCode>General</c:formatCode>
                <c:ptCount val="8"/>
                <c:pt idx="0">
                  <c:v>2018</c:v>
                </c:pt>
                <c:pt idx="1">
                  <c:v>2019</c:v>
                </c:pt>
                <c:pt idx="2">
                  <c:v>2020</c:v>
                </c:pt>
                <c:pt idx="3">
                  <c:v>2021</c:v>
                </c:pt>
                <c:pt idx="4">
                  <c:v>2022</c:v>
                </c:pt>
                <c:pt idx="5">
                  <c:v>2023</c:v>
                </c:pt>
                <c:pt idx="6">
                  <c:v>2024</c:v>
                </c:pt>
                <c:pt idx="7">
                  <c:v>2025</c:v>
                </c:pt>
              </c:numCache>
            </c:numRef>
          </c:cat>
          <c:val>
            <c:numRef>
              <c:f>Summary!$R$234:$Y$234</c:f>
              <c:numCache>
                <c:formatCode>_("$"* #,##0_);_("$"* \(#,##0\);_("$"* "-"??_);_(@_)</c:formatCode>
                <c:ptCount val="8"/>
                <c:pt idx="4">
                  <c:v>0</c:v>
                </c:pt>
              </c:numCache>
            </c:numRef>
          </c:val>
          <c:extLst>
            <c:ext xmlns:c16="http://schemas.microsoft.com/office/drawing/2014/chart" uri="{C3380CC4-5D6E-409C-BE32-E72D297353CC}">
              <c16:uniqueId val="{00000001-160B-DD4E-974C-ACDB5951D36C}"/>
            </c:ext>
          </c:extLst>
        </c:ser>
        <c:dLbls>
          <c:showLegendKey val="0"/>
          <c:showVal val="0"/>
          <c:showCatName val="0"/>
          <c:showSerName val="0"/>
          <c:showPercent val="0"/>
          <c:showBubbleSize val="0"/>
        </c:dLbls>
        <c:gapWidth val="150"/>
        <c:overlap val="100"/>
        <c:axId val="331664000"/>
        <c:axId val="331665792"/>
      </c:barChart>
      <c:catAx>
        <c:axId val="331664000"/>
        <c:scaling>
          <c:orientation val="minMax"/>
        </c:scaling>
        <c:delete val="0"/>
        <c:axPos val="b"/>
        <c:numFmt formatCode="General" sourceLinked="1"/>
        <c:majorTickMark val="out"/>
        <c:minorTickMark val="none"/>
        <c:tickLblPos val="nextTo"/>
        <c:txPr>
          <a:bodyPr/>
          <a:lstStyle/>
          <a:p>
            <a:pPr>
              <a:defRPr sz="1200"/>
            </a:pPr>
            <a:endParaRPr lang="en-US"/>
          </a:p>
        </c:txPr>
        <c:crossAx val="331665792"/>
        <c:crosses val="autoZero"/>
        <c:auto val="1"/>
        <c:lblAlgn val="ctr"/>
        <c:lblOffset val="100"/>
        <c:noMultiLvlLbl val="0"/>
      </c:catAx>
      <c:valAx>
        <c:axId val="331665792"/>
        <c:scaling>
          <c:orientation val="minMax"/>
        </c:scaling>
        <c:delete val="0"/>
        <c:axPos val="l"/>
        <c:majorGridlines/>
        <c:title>
          <c:tx>
            <c:rich>
              <a:bodyPr rot="-5400000" vert="horz"/>
              <a:lstStyle/>
              <a:p>
                <a:pPr>
                  <a:defRPr sz="1400"/>
                </a:pPr>
                <a:r>
                  <a:rPr lang="en-US" sz="1400"/>
                  <a:t>Annual sales ($ mn)</a:t>
                </a:r>
              </a:p>
            </c:rich>
          </c:tx>
          <c:layout>
            <c:manualLayout>
              <c:xMode val="edge"/>
              <c:yMode val="edge"/>
              <c:x val="7.8957843539699726E-3"/>
              <c:y val="0.27096179374806789"/>
            </c:manualLayout>
          </c:layout>
          <c:overlay val="0"/>
        </c:title>
        <c:numFmt formatCode="&quot;$&quot;#,##0" sourceLinked="0"/>
        <c:majorTickMark val="out"/>
        <c:minorTickMark val="none"/>
        <c:tickLblPos val="nextTo"/>
        <c:txPr>
          <a:bodyPr/>
          <a:lstStyle/>
          <a:p>
            <a:pPr>
              <a:defRPr sz="1200"/>
            </a:pPr>
            <a:endParaRPr lang="en-US"/>
          </a:p>
        </c:txPr>
        <c:crossAx val="331664000"/>
        <c:crosses val="autoZero"/>
        <c:crossBetween val="between"/>
      </c:valAx>
    </c:plotArea>
    <c:legend>
      <c:legendPos val="t"/>
      <c:layout>
        <c:manualLayout>
          <c:xMode val="edge"/>
          <c:yMode val="edge"/>
          <c:x val="0.1828124947161931"/>
          <c:y val="0.13083782654848264"/>
          <c:w val="0.70275844692437217"/>
          <c:h val="8.5802501343469118E-2"/>
        </c:manualLayout>
      </c:layout>
      <c:overlay val="0"/>
      <c:spPr>
        <a:solidFill>
          <a:schemeClr val="bg1"/>
        </a:solidFill>
        <a:ln>
          <a:solidFill>
            <a:schemeClr val="tx1">
              <a:lumMod val="65000"/>
              <a:lumOff val="35000"/>
            </a:schemeClr>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815671482979019"/>
          <c:y val="8.1638229239617152E-2"/>
          <c:w val="0.73437951758602205"/>
          <c:h val="0.7946679161095902"/>
        </c:manualLayout>
      </c:layout>
      <c:lineChart>
        <c:grouping val="standard"/>
        <c:varyColors val="0"/>
        <c:ser>
          <c:idx val="0"/>
          <c:order val="0"/>
          <c:tx>
            <c:strRef>
              <c:f>Summary!$B$80</c:f>
              <c:strCache>
                <c:ptCount val="1"/>
                <c:pt idx="0">
                  <c:v> 40G AOCs </c:v>
                </c:pt>
              </c:strCache>
            </c:strRef>
          </c:tx>
          <c:marker>
            <c:symbol val="none"/>
          </c:marker>
          <c:cat>
            <c:numRef>
              <c:f>Summary!$C$75:$L$75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Summary!$C$80:$L$80</c:f>
              <c:numCache>
                <c:formatCode>_(* #,##0_);_(* \(#,##0\);_(* "-"??_);_(@_)</c:formatCode>
                <c:ptCount val="10"/>
                <c:pt idx="0">
                  <c:v>381394</c:v>
                </c:pt>
                <c:pt idx="1">
                  <c:v>242928</c:v>
                </c:pt>
                <c:pt idx="2">
                  <c:v>343161</c:v>
                </c:pt>
              </c:numCache>
            </c:numRef>
          </c:val>
          <c:smooth val="0"/>
          <c:extLst>
            <c:ext xmlns:c16="http://schemas.microsoft.com/office/drawing/2014/chart" uri="{C3380CC4-5D6E-409C-BE32-E72D297353CC}">
              <c16:uniqueId val="{00000000-8A30-1447-BC6E-2073BD61681A}"/>
            </c:ext>
          </c:extLst>
        </c:ser>
        <c:ser>
          <c:idx val="1"/>
          <c:order val="1"/>
          <c:tx>
            <c:strRef>
              <c:f>Summary!$B$81</c:f>
              <c:strCache>
                <c:ptCount val="1"/>
                <c:pt idx="0">
                  <c:v> 100G AOCs </c:v>
                </c:pt>
              </c:strCache>
            </c:strRef>
          </c:tx>
          <c:marker>
            <c:symbol val="none"/>
          </c:marker>
          <c:cat>
            <c:numRef>
              <c:f>Summary!$C$75:$L$75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Summary!$C$81:$L$81</c:f>
              <c:numCache>
                <c:formatCode>_(* #,##0_);_(* \(#,##0\);_(* "-"??_);_(@_)</c:formatCode>
                <c:ptCount val="10"/>
                <c:pt idx="0">
                  <c:v>140000</c:v>
                </c:pt>
                <c:pt idx="1">
                  <c:v>200209</c:v>
                </c:pt>
                <c:pt idx="2">
                  <c:v>273711</c:v>
                </c:pt>
              </c:numCache>
            </c:numRef>
          </c:val>
          <c:smooth val="0"/>
          <c:extLst>
            <c:ext xmlns:c16="http://schemas.microsoft.com/office/drawing/2014/chart" uri="{C3380CC4-5D6E-409C-BE32-E72D297353CC}">
              <c16:uniqueId val="{00000001-8A30-1447-BC6E-2073BD61681A}"/>
            </c:ext>
          </c:extLst>
        </c:ser>
        <c:ser>
          <c:idx val="2"/>
          <c:order val="2"/>
          <c:tx>
            <c:strRef>
              <c:f>Summary!$B$82</c:f>
              <c:strCache>
                <c:ptCount val="1"/>
                <c:pt idx="0">
                  <c:v> 40G DACs </c:v>
                </c:pt>
              </c:strCache>
            </c:strRef>
          </c:tx>
          <c:marker>
            <c:symbol val="none"/>
          </c:marker>
          <c:cat>
            <c:numRef>
              <c:f>Summary!$C$75:$L$75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Summary!$C$82:$L$82</c:f>
              <c:numCache>
                <c:formatCode>_(* #,##0_);_(* \(#,##0\);_(* "-"??_);_(@_)</c:formatCode>
                <c:ptCount val="10"/>
                <c:pt idx="0">
                  <c:v>1672205.7074885746</c:v>
                </c:pt>
                <c:pt idx="1">
                  <c:v>1222748.8825000001</c:v>
                </c:pt>
                <c:pt idx="2">
                  <c:v>1815514.6020258623</c:v>
                </c:pt>
              </c:numCache>
            </c:numRef>
          </c:val>
          <c:smooth val="0"/>
          <c:extLst>
            <c:ext xmlns:c16="http://schemas.microsoft.com/office/drawing/2014/chart" uri="{C3380CC4-5D6E-409C-BE32-E72D297353CC}">
              <c16:uniqueId val="{00000002-8A30-1447-BC6E-2073BD61681A}"/>
            </c:ext>
          </c:extLst>
        </c:ser>
        <c:ser>
          <c:idx val="3"/>
          <c:order val="3"/>
          <c:tx>
            <c:strRef>
              <c:f>Summary!$B$83</c:f>
              <c:strCache>
                <c:ptCount val="1"/>
                <c:pt idx="0">
                  <c:v> 100G DAC/ACC/AECs </c:v>
                </c:pt>
              </c:strCache>
            </c:strRef>
          </c:tx>
          <c:marker>
            <c:symbol val="none"/>
          </c:marker>
          <c:cat>
            <c:numRef>
              <c:f>Summary!$C$75:$L$75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Summary!$C$83:$L$83</c:f>
              <c:numCache>
                <c:formatCode>_(* #,##0_);_(* \(#,##0\);_(* "-"??_);_(@_)</c:formatCode>
                <c:ptCount val="10"/>
                <c:pt idx="0">
                  <c:v>162811.34000000003</c:v>
                </c:pt>
                <c:pt idx="1">
                  <c:v>464323.94</c:v>
                </c:pt>
                <c:pt idx="2">
                  <c:v>641422.97215182055</c:v>
                </c:pt>
              </c:numCache>
            </c:numRef>
          </c:val>
          <c:smooth val="0"/>
          <c:extLst>
            <c:ext xmlns:c16="http://schemas.microsoft.com/office/drawing/2014/chart" uri="{C3380CC4-5D6E-409C-BE32-E72D297353CC}">
              <c16:uniqueId val="{00000003-8A30-1447-BC6E-2073BD61681A}"/>
            </c:ext>
          </c:extLst>
        </c:ser>
        <c:dLbls>
          <c:showLegendKey val="0"/>
          <c:showVal val="0"/>
          <c:showCatName val="0"/>
          <c:showSerName val="0"/>
          <c:showPercent val="0"/>
          <c:showBubbleSize val="0"/>
        </c:dLbls>
        <c:smooth val="0"/>
        <c:axId val="331702656"/>
        <c:axId val="331704192"/>
      </c:lineChart>
      <c:catAx>
        <c:axId val="331702656"/>
        <c:scaling>
          <c:orientation val="minMax"/>
        </c:scaling>
        <c:delete val="0"/>
        <c:axPos val="b"/>
        <c:numFmt formatCode="General" sourceLinked="1"/>
        <c:majorTickMark val="out"/>
        <c:minorTickMark val="none"/>
        <c:tickLblPos val="nextTo"/>
        <c:txPr>
          <a:bodyPr/>
          <a:lstStyle/>
          <a:p>
            <a:pPr>
              <a:defRPr sz="1200"/>
            </a:pPr>
            <a:endParaRPr lang="en-US"/>
          </a:p>
        </c:txPr>
        <c:crossAx val="331704192"/>
        <c:crosses val="autoZero"/>
        <c:auto val="1"/>
        <c:lblAlgn val="ctr"/>
        <c:lblOffset val="100"/>
        <c:noMultiLvlLbl val="0"/>
      </c:catAx>
      <c:valAx>
        <c:axId val="331704192"/>
        <c:scaling>
          <c:orientation val="minMax"/>
          <c:max val="6000000"/>
        </c:scaling>
        <c:delete val="0"/>
        <c:axPos val="l"/>
        <c:majorGridlines/>
        <c:title>
          <c:tx>
            <c:rich>
              <a:bodyPr rot="-5400000" vert="horz"/>
              <a:lstStyle/>
              <a:p>
                <a:pPr>
                  <a:defRPr sz="1400" b="0"/>
                </a:pPr>
                <a:r>
                  <a:rPr lang="en-US" sz="1400" b="0"/>
                  <a:t>Annual shipments (units)</a:t>
                </a:r>
              </a:p>
            </c:rich>
          </c:tx>
          <c:layout>
            <c:manualLayout>
              <c:xMode val="edge"/>
              <c:yMode val="edge"/>
              <c:x val="2.3029628134108946E-2"/>
              <c:y val="0.14982060486379986"/>
            </c:manualLayout>
          </c:layout>
          <c:overlay val="0"/>
        </c:title>
        <c:numFmt formatCode="_(* #,##0_);_(* \(#,##0\);_(* &quot;-&quot;??_);_(@_)" sourceLinked="1"/>
        <c:majorTickMark val="out"/>
        <c:minorTickMark val="none"/>
        <c:tickLblPos val="nextTo"/>
        <c:txPr>
          <a:bodyPr/>
          <a:lstStyle/>
          <a:p>
            <a:pPr>
              <a:defRPr sz="1200"/>
            </a:pPr>
            <a:endParaRPr lang="en-US"/>
          </a:p>
        </c:txPr>
        <c:crossAx val="331702656"/>
        <c:crosses val="autoZero"/>
        <c:crossBetween val="between"/>
      </c:valAx>
    </c:plotArea>
    <c:legend>
      <c:legendPos val="t"/>
      <c:layout>
        <c:manualLayout>
          <c:xMode val="edge"/>
          <c:yMode val="edge"/>
          <c:x val="0.22470482047067283"/>
          <c:y val="0.10632500636658815"/>
          <c:w val="0.35448694899209676"/>
          <c:h val="0.34201145720591669"/>
        </c:manualLayout>
      </c:layout>
      <c:overlay val="0"/>
      <c:spPr>
        <a:solidFill>
          <a:schemeClr val="bg1"/>
        </a:solidFill>
        <a:ln>
          <a:solidFill>
            <a:sysClr val="windowText" lastClr="000000"/>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54502099681566"/>
          <c:y val="4.7464257274895977E-2"/>
          <c:w val="0.73708619120045749"/>
          <c:h val="0.82884191135383833"/>
        </c:manualLayout>
      </c:layout>
      <c:lineChart>
        <c:grouping val="standard"/>
        <c:varyColors val="0"/>
        <c:ser>
          <c:idx val="0"/>
          <c:order val="0"/>
          <c:tx>
            <c:strRef>
              <c:f>Summary!$B$84</c:f>
              <c:strCache>
                <c:ptCount val="1"/>
                <c:pt idx="0">
                  <c:v> 200G AOCs </c:v>
                </c:pt>
              </c:strCache>
            </c:strRef>
          </c:tx>
          <c:marker>
            <c:symbol val="none"/>
          </c:marker>
          <c:cat>
            <c:numRef>
              <c:f>Summary!$C$75:$L$75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Summary!$C$84:$L$84</c:f>
              <c:numCache>
                <c:formatCode>_(* #,##0_);_(* \(#,##0\);_(* "-"??_);_(@_)</c:formatCode>
                <c:ptCount val="10"/>
                <c:pt idx="0">
                  <c:v>0</c:v>
                </c:pt>
                <c:pt idx="1">
                  <c:v>0</c:v>
                </c:pt>
                <c:pt idx="2">
                  <c:v>0</c:v>
                </c:pt>
              </c:numCache>
            </c:numRef>
          </c:val>
          <c:smooth val="0"/>
          <c:extLst>
            <c:ext xmlns:c16="http://schemas.microsoft.com/office/drawing/2014/chart" uri="{C3380CC4-5D6E-409C-BE32-E72D297353CC}">
              <c16:uniqueId val="{00000000-5E38-2849-9227-40CAB7BDA23F}"/>
            </c:ext>
          </c:extLst>
        </c:ser>
        <c:ser>
          <c:idx val="1"/>
          <c:order val="1"/>
          <c:tx>
            <c:strRef>
              <c:f>Summary!$B$85</c:f>
              <c:strCache>
                <c:ptCount val="1"/>
                <c:pt idx="0">
                  <c:v> 400G AOCs </c:v>
                </c:pt>
              </c:strCache>
            </c:strRef>
          </c:tx>
          <c:marker>
            <c:symbol val="none"/>
          </c:marker>
          <c:cat>
            <c:numRef>
              <c:f>Summary!$C$75:$L$75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Summary!$C$85:$L$85</c:f>
              <c:numCache>
                <c:formatCode>_(* #,##0_);_(* \(#,##0\);_(* "-"??_);_(@_)</c:formatCode>
                <c:ptCount val="10"/>
                <c:pt idx="0">
                  <c:v>0</c:v>
                </c:pt>
                <c:pt idx="1">
                  <c:v>0</c:v>
                </c:pt>
                <c:pt idx="2">
                  <c:v>0</c:v>
                </c:pt>
              </c:numCache>
            </c:numRef>
          </c:val>
          <c:smooth val="0"/>
          <c:extLst>
            <c:ext xmlns:c16="http://schemas.microsoft.com/office/drawing/2014/chart" uri="{C3380CC4-5D6E-409C-BE32-E72D297353CC}">
              <c16:uniqueId val="{00000001-5E38-2849-9227-40CAB7BDA23F}"/>
            </c:ext>
          </c:extLst>
        </c:ser>
        <c:ser>
          <c:idx val="2"/>
          <c:order val="2"/>
          <c:tx>
            <c:strRef>
              <c:f>Summary!$B$86</c:f>
              <c:strCache>
                <c:ptCount val="1"/>
                <c:pt idx="0">
                  <c:v> 200G DAC/ACC/AECs </c:v>
                </c:pt>
              </c:strCache>
            </c:strRef>
          </c:tx>
          <c:marker>
            <c:symbol val="none"/>
          </c:marker>
          <c:cat>
            <c:numRef>
              <c:f>Summary!$C$75:$L$75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Summary!$C$86:$L$86</c:f>
              <c:numCache>
                <c:formatCode>_(* #,##0_);_(* \(#,##0\);_(* "-"??_);_(@_)</c:formatCode>
                <c:ptCount val="10"/>
                <c:pt idx="0">
                  <c:v>0</c:v>
                </c:pt>
                <c:pt idx="1">
                  <c:v>0</c:v>
                </c:pt>
                <c:pt idx="2">
                  <c:v>0</c:v>
                </c:pt>
              </c:numCache>
            </c:numRef>
          </c:val>
          <c:smooth val="0"/>
          <c:extLst>
            <c:ext xmlns:c16="http://schemas.microsoft.com/office/drawing/2014/chart" uri="{C3380CC4-5D6E-409C-BE32-E72D297353CC}">
              <c16:uniqueId val="{00000002-5E38-2849-9227-40CAB7BDA23F}"/>
            </c:ext>
          </c:extLst>
        </c:ser>
        <c:ser>
          <c:idx val="3"/>
          <c:order val="3"/>
          <c:tx>
            <c:strRef>
              <c:f>Summary!$B$87</c:f>
              <c:strCache>
                <c:ptCount val="1"/>
                <c:pt idx="0">
                  <c:v> 400G DAC/ACC/AECs </c:v>
                </c:pt>
              </c:strCache>
            </c:strRef>
          </c:tx>
          <c:marker>
            <c:symbol val="none"/>
          </c:marker>
          <c:cat>
            <c:numRef>
              <c:f>Summary!$C$75:$L$75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Summary!$C$87:$L$87</c:f>
              <c:numCache>
                <c:formatCode>_(* #,##0_);_(* \(#,##0\);_(* "-"??_);_(@_)</c:formatCode>
                <c:ptCount val="10"/>
                <c:pt idx="0">
                  <c:v>0</c:v>
                </c:pt>
                <c:pt idx="1">
                  <c:v>0</c:v>
                </c:pt>
                <c:pt idx="2">
                  <c:v>0</c:v>
                </c:pt>
              </c:numCache>
            </c:numRef>
          </c:val>
          <c:smooth val="0"/>
          <c:extLst>
            <c:ext xmlns:c16="http://schemas.microsoft.com/office/drawing/2014/chart" uri="{C3380CC4-5D6E-409C-BE32-E72D297353CC}">
              <c16:uniqueId val="{00000003-5E38-2849-9227-40CAB7BDA23F}"/>
            </c:ext>
          </c:extLst>
        </c:ser>
        <c:dLbls>
          <c:showLegendKey val="0"/>
          <c:showVal val="0"/>
          <c:showCatName val="0"/>
          <c:showSerName val="0"/>
          <c:showPercent val="0"/>
          <c:showBubbleSize val="0"/>
        </c:dLbls>
        <c:smooth val="0"/>
        <c:axId val="331741056"/>
        <c:axId val="331742592"/>
      </c:lineChart>
      <c:catAx>
        <c:axId val="331741056"/>
        <c:scaling>
          <c:orientation val="minMax"/>
        </c:scaling>
        <c:delete val="0"/>
        <c:axPos val="b"/>
        <c:numFmt formatCode="General" sourceLinked="1"/>
        <c:majorTickMark val="out"/>
        <c:minorTickMark val="none"/>
        <c:tickLblPos val="nextTo"/>
        <c:txPr>
          <a:bodyPr/>
          <a:lstStyle/>
          <a:p>
            <a:pPr>
              <a:defRPr sz="1200"/>
            </a:pPr>
            <a:endParaRPr lang="en-US"/>
          </a:p>
        </c:txPr>
        <c:crossAx val="331742592"/>
        <c:crosses val="autoZero"/>
        <c:auto val="1"/>
        <c:lblAlgn val="ctr"/>
        <c:lblOffset val="100"/>
        <c:noMultiLvlLbl val="0"/>
      </c:catAx>
      <c:valAx>
        <c:axId val="331742592"/>
        <c:scaling>
          <c:orientation val="minMax"/>
        </c:scaling>
        <c:delete val="0"/>
        <c:axPos val="l"/>
        <c:majorGridlines/>
        <c:title>
          <c:tx>
            <c:rich>
              <a:bodyPr rot="-5400000" vert="horz"/>
              <a:lstStyle/>
              <a:p>
                <a:pPr>
                  <a:defRPr sz="1400" b="0"/>
                </a:pPr>
                <a:r>
                  <a:rPr lang="en-US" sz="1400" b="0"/>
                  <a:t>Annual shipments (units)</a:t>
                </a:r>
              </a:p>
            </c:rich>
          </c:tx>
          <c:layout>
            <c:manualLayout>
              <c:xMode val="edge"/>
              <c:yMode val="edge"/>
              <c:x val="1.3013626955794472E-2"/>
              <c:y val="0.16847050460189605"/>
            </c:manualLayout>
          </c:layout>
          <c:overlay val="0"/>
        </c:title>
        <c:numFmt formatCode="_(* #,##0_);_(* \(#,##0\);_(* &quot;-&quot;??_);_(@_)" sourceLinked="1"/>
        <c:majorTickMark val="out"/>
        <c:minorTickMark val="none"/>
        <c:tickLblPos val="nextTo"/>
        <c:txPr>
          <a:bodyPr/>
          <a:lstStyle/>
          <a:p>
            <a:pPr>
              <a:defRPr sz="1200"/>
            </a:pPr>
            <a:endParaRPr lang="en-US"/>
          </a:p>
        </c:txPr>
        <c:crossAx val="331741056"/>
        <c:crosses val="autoZero"/>
        <c:crossBetween val="between"/>
        <c:majorUnit val="500000"/>
      </c:valAx>
    </c:plotArea>
    <c:legend>
      <c:legendPos val="t"/>
      <c:layout>
        <c:manualLayout>
          <c:xMode val="edge"/>
          <c:yMode val="edge"/>
          <c:x val="0.22057672197887021"/>
          <c:y val="8.9236633403422666E-2"/>
          <c:w val="0.35472638831952302"/>
          <c:h val="0.36915528840877193"/>
        </c:manualLayout>
      </c:layout>
      <c:overlay val="0"/>
      <c:spPr>
        <a:solidFill>
          <a:schemeClr val="bg1"/>
        </a:solidFill>
        <a:ln>
          <a:solidFill>
            <a:sysClr val="windowText" lastClr="000000"/>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A.S.P.</a:t>
            </a:r>
          </a:p>
          <a:p>
            <a:pPr>
              <a:defRPr/>
            </a:pPr>
            <a:endParaRPr lang="en-US"/>
          </a:p>
        </c:rich>
      </c:tx>
      <c:overlay val="0"/>
    </c:title>
    <c:autoTitleDeleted val="0"/>
    <c:plotArea>
      <c:layout>
        <c:manualLayout>
          <c:layoutTarget val="inner"/>
          <c:xMode val="edge"/>
          <c:yMode val="edge"/>
          <c:x val="0.121590669333536"/>
          <c:y val="0.192825713193919"/>
          <c:w val="0.81231907908617496"/>
          <c:h val="0.71908853436156694"/>
        </c:manualLayout>
      </c:layout>
      <c:barChart>
        <c:barDir val="col"/>
        <c:grouping val="clustered"/>
        <c:varyColors val="0"/>
        <c:ser>
          <c:idx val="1"/>
          <c:order val="0"/>
          <c:tx>
            <c:strRef>
              <c:f>Dashboard!$D$35</c:f>
              <c:strCache>
                <c:ptCount val="1"/>
                <c:pt idx="0">
                  <c:v>A.S.P. ($)</c:v>
                </c:pt>
              </c:strCache>
            </c:strRef>
          </c:tx>
          <c:invertIfNegative val="0"/>
          <c:cat>
            <c:numRef>
              <c:f>Dashboard!$E$28:$N$28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Dashboard!$E$35:$N$35</c:f>
              <c:numCache>
                <c:formatCode>_("$"* #,##0_);_("$"* \(#,##0\);_("$"* "-"??_);_(@_)</c:formatCode>
                <c:ptCount val="10"/>
                <c:pt idx="0">
                  <c:v>99.044357736149038</c:v>
                </c:pt>
                <c:pt idx="1">
                  <c:v>61.683752962405102</c:v>
                </c:pt>
                <c:pt idx="2">
                  <c:v>47.014751380169997</c:v>
                </c:pt>
              </c:numCache>
            </c:numRef>
          </c:val>
          <c:extLst>
            <c:ext xmlns:c16="http://schemas.microsoft.com/office/drawing/2014/chart" uri="{C3380CC4-5D6E-409C-BE32-E72D297353CC}">
              <c16:uniqueId val="{00000000-1D9E-0A42-9FC4-8E6894DCAAEF}"/>
            </c:ext>
          </c:extLst>
        </c:ser>
        <c:dLbls>
          <c:showLegendKey val="0"/>
          <c:showVal val="0"/>
          <c:showCatName val="0"/>
          <c:showSerName val="0"/>
          <c:showPercent val="0"/>
          <c:showBubbleSize val="0"/>
        </c:dLbls>
        <c:gapWidth val="150"/>
        <c:axId val="329859072"/>
        <c:axId val="329860608"/>
      </c:barChart>
      <c:catAx>
        <c:axId val="329859072"/>
        <c:scaling>
          <c:orientation val="minMax"/>
        </c:scaling>
        <c:delete val="0"/>
        <c:axPos val="b"/>
        <c:numFmt formatCode="General" sourceLinked="1"/>
        <c:majorTickMark val="out"/>
        <c:minorTickMark val="none"/>
        <c:tickLblPos val="nextTo"/>
        <c:crossAx val="329860608"/>
        <c:crosses val="autoZero"/>
        <c:auto val="1"/>
        <c:lblAlgn val="ctr"/>
        <c:lblOffset val="100"/>
        <c:noMultiLvlLbl val="0"/>
      </c:catAx>
      <c:valAx>
        <c:axId val="329860608"/>
        <c:scaling>
          <c:orientation val="minMax"/>
        </c:scaling>
        <c:delete val="0"/>
        <c:axPos val="l"/>
        <c:majorGridlines/>
        <c:numFmt formatCode="_(&quot;$&quot;* #,##0_);_(&quot;$&quot;* \(#,##0\);_(&quot;$&quot;* &quot;-&quot;??_);_(@_)" sourceLinked="1"/>
        <c:majorTickMark val="out"/>
        <c:minorTickMark val="none"/>
        <c:tickLblPos val="nextTo"/>
        <c:crossAx val="329859072"/>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CPOs by Application Segment</a:t>
            </a:r>
          </a:p>
        </c:rich>
      </c:tx>
      <c:overlay val="1"/>
    </c:title>
    <c:autoTitleDeleted val="0"/>
    <c:plotArea>
      <c:layout>
        <c:manualLayout>
          <c:layoutTarget val="inner"/>
          <c:xMode val="edge"/>
          <c:yMode val="edge"/>
          <c:x val="0.18300484235312062"/>
          <c:y val="0.13775647581653741"/>
          <c:w val="0.60706450037538362"/>
          <c:h val="0.73521046315822047"/>
        </c:manualLayout>
      </c:layout>
      <c:barChart>
        <c:barDir val="col"/>
        <c:grouping val="stacked"/>
        <c:varyColors val="0"/>
        <c:ser>
          <c:idx val="0"/>
          <c:order val="0"/>
          <c:tx>
            <c:strRef>
              <c:f>Summary!$B$289</c:f>
              <c:strCache>
                <c:ptCount val="1"/>
                <c:pt idx="0">
                  <c:v>HPC &amp; AI Clusters</c:v>
                </c:pt>
              </c:strCache>
            </c:strRef>
          </c:tx>
          <c:invertIfNegative val="0"/>
          <c:cat>
            <c:numRef>
              <c:f>Summary!$H$288:$M$288</c:f>
              <c:numCache>
                <c:formatCode>General</c:formatCode>
                <c:ptCount val="6"/>
                <c:pt idx="0">
                  <c:v>2020</c:v>
                </c:pt>
                <c:pt idx="1">
                  <c:v>2021</c:v>
                </c:pt>
                <c:pt idx="2">
                  <c:v>2022</c:v>
                </c:pt>
                <c:pt idx="3">
                  <c:v>2023</c:v>
                </c:pt>
                <c:pt idx="4">
                  <c:v>2024</c:v>
                </c:pt>
                <c:pt idx="5">
                  <c:v>2025</c:v>
                </c:pt>
              </c:numCache>
            </c:numRef>
          </c:cat>
          <c:val>
            <c:numRef>
              <c:f>Summary!$H$289:$M$289</c:f>
              <c:numCache>
                <c:formatCode>_(* #,##0_);_(* \(#,##0\);_(* "-"??_);_(@_)</c:formatCode>
                <c:ptCount val="6"/>
              </c:numCache>
            </c:numRef>
          </c:val>
          <c:extLst>
            <c:ext xmlns:c16="http://schemas.microsoft.com/office/drawing/2014/chart" uri="{C3380CC4-5D6E-409C-BE32-E72D297353CC}">
              <c16:uniqueId val="{00000000-0649-E94E-913B-3DA2AC04D941}"/>
            </c:ext>
          </c:extLst>
        </c:ser>
        <c:ser>
          <c:idx val="1"/>
          <c:order val="1"/>
          <c:tx>
            <c:strRef>
              <c:f>Summary!$B$290</c:f>
              <c:strCache>
                <c:ptCount val="1"/>
                <c:pt idx="0">
                  <c:v>Core Routing &amp; Optical Transport</c:v>
                </c:pt>
              </c:strCache>
            </c:strRef>
          </c:tx>
          <c:invertIfNegative val="0"/>
          <c:cat>
            <c:numRef>
              <c:f>Summary!$H$288:$M$288</c:f>
              <c:numCache>
                <c:formatCode>General</c:formatCode>
                <c:ptCount val="6"/>
                <c:pt idx="0">
                  <c:v>2020</c:v>
                </c:pt>
                <c:pt idx="1">
                  <c:v>2021</c:v>
                </c:pt>
                <c:pt idx="2">
                  <c:v>2022</c:v>
                </c:pt>
                <c:pt idx="3">
                  <c:v>2023</c:v>
                </c:pt>
                <c:pt idx="4">
                  <c:v>2024</c:v>
                </c:pt>
                <c:pt idx="5">
                  <c:v>2025</c:v>
                </c:pt>
              </c:numCache>
            </c:numRef>
          </c:cat>
          <c:val>
            <c:numRef>
              <c:f>Summary!$H$290:$M$290</c:f>
              <c:numCache>
                <c:formatCode>_(* #,##0_);_(* \(#,##0\);_(* "-"??_);_(@_)</c:formatCode>
                <c:ptCount val="6"/>
              </c:numCache>
            </c:numRef>
          </c:val>
          <c:extLst>
            <c:ext xmlns:c16="http://schemas.microsoft.com/office/drawing/2014/chart" uri="{C3380CC4-5D6E-409C-BE32-E72D297353CC}">
              <c16:uniqueId val="{00000001-0649-E94E-913B-3DA2AC04D941}"/>
            </c:ext>
          </c:extLst>
        </c:ser>
        <c:ser>
          <c:idx val="2"/>
          <c:order val="2"/>
          <c:tx>
            <c:strRef>
              <c:f>Summary!$B$291</c:f>
              <c:strCache>
                <c:ptCount val="1"/>
                <c:pt idx="0">
                  <c:v>Cloud DC Switches</c:v>
                </c:pt>
              </c:strCache>
            </c:strRef>
          </c:tx>
          <c:invertIfNegative val="0"/>
          <c:cat>
            <c:numRef>
              <c:f>Summary!$H$288:$M$288</c:f>
              <c:numCache>
                <c:formatCode>General</c:formatCode>
                <c:ptCount val="6"/>
                <c:pt idx="0">
                  <c:v>2020</c:v>
                </c:pt>
                <c:pt idx="1">
                  <c:v>2021</c:v>
                </c:pt>
                <c:pt idx="2">
                  <c:v>2022</c:v>
                </c:pt>
                <c:pt idx="3">
                  <c:v>2023</c:v>
                </c:pt>
                <c:pt idx="4">
                  <c:v>2024</c:v>
                </c:pt>
                <c:pt idx="5">
                  <c:v>2025</c:v>
                </c:pt>
              </c:numCache>
            </c:numRef>
          </c:cat>
          <c:val>
            <c:numRef>
              <c:f>Summary!$H$291:$M$291</c:f>
              <c:numCache>
                <c:formatCode>_(* #,##0_);_(* \(#,##0\);_(* "-"??_);_(@_)</c:formatCode>
                <c:ptCount val="6"/>
              </c:numCache>
            </c:numRef>
          </c:val>
          <c:extLst>
            <c:ext xmlns:c16="http://schemas.microsoft.com/office/drawing/2014/chart" uri="{C3380CC4-5D6E-409C-BE32-E72D297353CC}">
              <c16:uniqueId val="{00000002-0649-E94E-913B-3DA2AC04D941}"/>
            </c:ext>
          </c:extLst>
        </c:ser>
        <c:ser>
          <c:idx val="3"/>
          <c:order val="3"/>
          <c:tx>
            <c:strRef>
              <c:f>Summary!$B$292</c:f>
              <c:strCache>
                <c:ptCount val="1"/>
                <c:pt idx="0">
                  <c:v>Other</c:v>
                </c:pt>
              </c:strCache>
            </c:strRef>
          </c:tx>
          <c:invertIfNegative val="0"/>
          <c:cat>
            <c:numRef>
              <c:f>Summary!$H$288:$M$288</c:f>
              <c:numCache>
                <c:formatCode>General</c:formatCode>
                <c:ptCount val="6"/>
                <c:pt idx="0">
                  <c:v>2020</c:v>
                </c:pt>
                <c:pt idx="1">
                  <c:v>2021</c:v>
                </c:pt>
                <c:pt idx="2">
                  <c:v>2022</c:v>
                </c:pt>
                <c:pt idx="3">
                  <c:v>2023</c:v>
                </c:pt>
                <c:pt idx="4">
                  <c:v>2024</c:v>
                </c:pt>
                <c:pt idx="5">
                  <c:v>2025</c:v>
                </c:pt>
              </c:numCache>
            </c:numRef>
          </c:cat>
          <c:val>
            <c:numRef>
              <c:f>Summary!$H$292:$M$292</c:f>
              <c:numCache>
                <c:formatCode>_(* #,##0_);_(* \(#,##0\);_(* "-"??_);_(@_)</c:formatCode>
                <c:ptCount val="6"/>
              </c:numCache>
            </c:numRef>
          </c:val>
          <c:extLst>
            <c:ext xmlns:c16="http://schemas.microsoft.com/office/drawing/2014/chart" uri="{C3380CC4-5D6E-409C-BE32-E72D297353CC}">
              <c16:uniqueId val="{00000000-5848-3D4E-8B4C-8653D7B899A0}"/>
            </c:ext>
          </c:extLst>
        </c:ser>
        <c:dLbls>
          <c:showLegendKey val="0"/>
          <c:showVal val="0"/>
          <c:showCatName val="0"/>
          <c:showSerName val="0"/>
          <c:showPercent val="0"/>
          <c:showBubbleSize val="0"/>
        </c:dLbls>
        <c:gapWidth val="150"/>
        <c:overlap val="100"/>
        <c:axId val="331856896"/>
        <c:axId val="331870976"/>
      </c:barChart>
      <c:catAx>
        <c:axId val="331856896"/>
        <c:scaling>
          <c:orientation val="minMax"/>
        </c:scaling>
        <c:delete val="0"/>
        <c:axPos val="b"/>
        <c:numFmt formatCode="General" sourceLinked="1"/>
        <c:majorTickMark val="out"/>
        <c:minorTickMark val="none"/>
        <c:tickLblPos val="nextTo"/>
        <c:txPr>
          <a:bodyPr/>
          <a:lstStyle/>
          <a:p>
            <a:pPr>
              <a:defRPr sz="1400"/>
            </a:pPr>
            <a:endParaRPr lang="en-US"/>
          </a:p>
        </c:txPr>
        <c:crossAx val="331870976"/>
        <c:crosses val="autoZero"/>
        <c:auto val="1"/>
        <c:lblAlgn val="ctr"/>
        <c:lblOffset val="100"/>
        <c:noMultiLvlLbl val="0"/>
      </c:catAx>
      <c:valAx>
        <c:axId val="331870976"/>
        <c:scaling>
          <c:orientation val="minMax"/>
          <c:min val="0"/>
        </c:scaling>
        <c:delete val="0"/>
        <c:axPos val="l"/>
        <c:majorGridlines/>
        <c:title>
          <c:tx>
            <c:rich>
              <a:bodyPr rot="-5400000" vert="horz"/>
              <a:lstStyle/>
              <a:p>
                <a:pPr>
                  <a:defRPr sz="1600" b="0"/>
                </a:pPr>
                <a:r>
                  <a:rPr lang="en-US" sz="1600" b="0"/>
                  <a:t>Annual</a:t>
                </a:r>
                <a:r>
                  <a:rPr lang="en-US" sz="1600" b="0" baseline="0"/>
                  <a:t> shipments</a:t>
                </a:r>
                <a:endParaRPr lang="en-US" sz="1600" b="0"/>
              </a:p>
            </c:rich>
          </c:tx>
          <c:layout>
            <c:manualLayout>
              <c:xMode val="edge"/>
              <c:yMode val="edge"/>
              <c:x val="1.6730666435279738E-2"/>
              <c:y val="0.27851225672262664"/>
            </c:manualLayout>
          </c:layout>
          <c:overlay val="0"/>
        </c:title>
        <c:numFmt formatCode="_(* #,##0_);_(* \(#,##0\);_(* &quot;-&quot;??_);_(@_)" sourceLinked="1"/>
        <c:majorTickMark val="out"/>
        <c:minorTickMark val="none"/>
        <c:tickLblPos val="nextTo"/>
        <c:txPr>
          <a:bodyPr/>
          <a:lstStyle/>
          <a:p>
            <a:pPr>
              <a:defRPr sz="1400"/>
            </a:pPr>
            <a:endParaRPr lang="en-US"/>
          </a:p>
        </c:txPr>
        <c:crossAx val="331856896"/>
        <c:crosses val="autoZero"/>
        <c:crossBetween val="between"/>
      </c:valAx>
    </c:plotArea>
    <c:legend>
      <c:legendPos val="r"/>
      <c:layout>
        <c:manualLayout>
          <c:xMode val="edge"/>
          <c:yMode val="edge"/>
          <c:x val="0.80114463830979976"/>
          <c:y val="0.22022753141939488"/>
          <c:w val="0.19393621328413921"/>
          <c:h val="0.63132321755780196"/>
        </c:manualLayout>
      </c:layout>
      <c:overlay val="0"/>
      <c:spPr>
        <a:solidFill>
          <a:schemeClr val="bg1"/>
        </a:solidFill>
        <a:ln>
          <a:solidFill>
            <a:sysClr val="windowText" lastClr="000000"/>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2022</a:t>
            </a:r>
          </a:p>
        </c:rich>
      </c:tx>
      <c:overlay val="0"/>
    </c:title>
    <c:autoTitleDeleted val="0"/>
    <c:plotArea>
      <c:layout/>
      <c:pieChart>
        <c:varyColors val="1"/>
        <c:ser>
          <c:idx val="0"/>
          <c:order val="0"/>
          <c:dLbls>
            <c:spPr>
              <a:noFill/>
              <a:ln>
                <a:noFill/>
              </a:ln>
              <a:effectLst/>
            </c:spPr>
            <c:txPr>
              <a:bodyPr/>
              <a:lstStyle/>
              <a:p>
                <a:pPr>
                  <a:defRPr sz="12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Summary!$B$289:$B$292</c:f>
              <c:strCache>
                <c:ptCount val="4"/>
                <c:pt idx="0">
                  <c:v>HPC &amp; AI Clusters</c:v>
                </c:pt>
                <c:pt idx="1">
                  <c:v>Core Routing &amp; Optical Transport</c:v>
                </c:pt>
                <c:pt idx="2">
                  <c:v>Cloud DC Switches</c:v>
                </c:pt>
                <c:pt idx="3">
                  <c:v>Other</c:v>
                </c:pt>
              </c:strCache>
            </c:strRef>
          </c:cat>
          <c:val>
            <c:numRef>
              <c:f>Summary!$J$289:$J$292</c:f>
              <c:numCache>
                <c:formatCode>_(* #,##0_);_(* \(#,##0\);_(* "-"??_);_(@_)</c:formatCode>
                <c:ptCount val="4"/>
              </c:numCache>
            </c:numRef>
          </c:val>
          <c:extLst>
            <c:ext xmlns:c16="http://schemas.microsoft.com/office/drawing/2014/chart" uri="{C3380CC4-5D6E-409C-BE32-E72D297353CC}">
              <c16:uniqueId val="{00000000-5FEE-1F45-90D4-9BD81B0D4C51}"/>
            </c:ext>
          </c:extLst>
        </c:ser>
        <c:dLbls>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2025</a:t>
            </a:r>
          </a:p>
        </c:rich>
      </c:tx>
      <c:overlay val="0"/>
    </c:title>
    <c:autoTitleDeleted val="0"/>
    <c:plotArea>
      <c:layout/>
      <c:pieChart>
        <c:varyColors val="1"/>
        <c:ser>
          <c:idx val="0"/>
          <c:order val="0"/>
          <c:dLbls>
            <c:spPr>
              <a:noFill/>
              <a:ln>
                <a:noFill/>
              </a:ln>
              <a:effectLst/>
            </c:spPr>
            <c:txPr>
              <a:bodyPr/>
              <a:lstStyle/>
              <a:p>
                <a:pPr>
                  <a:defRPr sz="12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Summary!$B$289:$B$292</c:f>
              <c:strCache>
                <c:ptCount val="4"/>
                <c:pt idx="0">
                  <c:v>HPC &amp; AI Clusters</c:v>
                </c:pt>
                <c:pt idx="1">
                  <c:v>Core Routing &amp; Optical Transport</c:v>
                </c:pt>
                <c:pt idx="2">
                  <c:v>Cloud DC Switches</c:v>
                </c:pt>
                <c:pt idx="3">
                  <c:v>Other</c:v>
                </c:pt>
              </c:strCache>
            </c:strRef>
          </c:cat>
          <c:val>
            <c:numRef>
              <c:f>Summary!$M$289:$M$292</c:f>
              <c:numCache>
                <c:formatCode>_(* #,##0_);_(* \(#,##0\);_(* "-"??_);_(@_)</c:formatCode>
                <c:ptCount val="4"/>
              </c:numCache>
            </c:numRef>
          </c:val>
          <c:extLst>
            <c:ext xmlns:c16="http://schemas.microsoft.com/office/drawing/2014/chart" uri="{C3380CC4-5D6E-409C-BE32-E72D297353CC}">
              <c16:uniqueId val="{00000000-99B8-D54E-9D00-CCE1B2D285A1}"/>
            </c:ext>
          </c:extLst>
        </c:ser>
        <c:dLbls>
          <c:showLegendKey val="0"/>
          <c:showVal val="1"/>
          <c:showCatName val="0"/>
          <c:showSerName val="0"/>
          <c:showPercent val="0"/>
          <c:showBubbleSize val="0"/>
          <c:showLeaderLines val="1"/>
        </c:dLbls>
        <c:firstSliceAng val="0"/>
      </c:pieChart>
    </c:plotArea>
    <c:legend>
      <c:legendPos val="r"/>
      <c:layout>
        <c:manualLayout>
          <c:xMode val="edge"/>
          <c:yMode val="edge"/>
          <c:x val="0.53846523152519077"/>
          <c:y val="0.12975381108181347"/>
          <c:w val="0.4242641202952312"/>
          <c:h val="0.80248697384422241"/>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685889002228"/>
          <c:y val="4.7316663115170819E-2"/>
          <c:w val="0.75018318926976424"/>
          <c:h val="0.84591832454408022"/>
        </c:manualLayout>
      </c:layout>
      <c:lineChart>
        <c:grouping val="standard"/>
        <c:varyColors val="0"/>
        <c:ser>
          <c:idx val="0"/>
          <c:order val="0"/>
          <c:tx>
            <c:strRef>
              <c:f>Summary!$O$199</c:f>
              <c:strCache>
                <c:ptCount val="1"/>
                <c:pt idx="0">
                  <c:v>10G</c:v>
                </c:pt>
              </c:strCache>
            </c:strRef>
          </c:tx>
          <c:cat>
            <c:numRef>
              <c:f>Summary!$P$198:$Y$198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Summary!$P$199:$Y$199</c:f>
              <c:numCache>
                <c:formatCode>_("$"* #,##0_);_("$"* \(#,##0\);_("$"* "-"??_);_(@_)</c:formatCode>
                <c:ptCount val="10"/>
                <c:pt idx="0">
                  <c:v>70.673932160447592</c:v>
                </c:pt>
                <c:pt idx="1">
                  <c:v>51.579628705502515</c:v>
                </c:pt>
                <c:pt idx="2">
                  <c:v>42.906206723868529</c:v>
                </c:pt>
              </c:numCache>
            </c:numRef>
          </c:val>
          <c:smooth val="0"/>
          <c:extLst>
            <c:ext xmlns:c16="http://schemas.microsoft.com/office/drawing/2014/chart" uri="{C3380CC4-5D6E-409C-BE32-E72D297353CC}">
              <c16:uniqueId val="{00000000-9E88-5C41-AF46-FFCB0F4050EA}"/>
            </c:ext>
          </c:extLst>
        </c:ser>
        <c:ser>
          <c:idx val="1"/>
          <c:order val="1"/>
          <c:tx>
            <c:strRef>
              <c:f>Summary!$O$200</c:f>
              <c:strCache>
                <c:ptCount val="1"/>
                <c:pt idx="0">
                  <c:v>25G</c:v>
                </c:pt>
              </c:strCache>
            </c:strRef>
          </c:tx>
          <c:cat>
            <c:numRef>
              <c:f>Summary!$P$198:$Y$198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Summary!$P$200:$Y$200</c:f>
              <c:numCache>
                <c:formatCode>_("$"* #,##0_);_("$"* \(#,##0\);_("$"* "-"??_);_(@_)</c:formatCode>
                <c:ptCount val="10"/>
                <c:pt idx="0">
                  <c:v>37.52837550000001</c:v>
                </c:pt>
                <c:pt idx="1">
                  <c:v>57.626435004851608</c:v>
                </c:pt>
                <c:pt idx="2">
                  <c:v>57.537742700516695</c:v>
                </c:pt>
              </c:numCache>
            </c:numRef>
          </c:val>
          <c:smooth val="0"/>
          <c:extLst>
            <c:ext xmlns:c16="http://schemas.microsoft.com/office/drawing/2014/chart" uri="{C3380CC4-5D6E-409C-BE32-E72D297353CC}">
              <c16:uniqueId val="{00000001-9E88-5C41-AF46-FFCB0F4050EA}"/>
            </c:ext>
          </c:extLst>
        </c:ser>
        <c:ser>
          <c:idx val="2"/>
          <c:order val="2"/>
          <c:tx>
            <c:strRef>
              <c:f>Summary!$O$201</c:f>
              <c:strCache>
                <c:ptCount val="1"/>
                <c:pt idx="0">
                  <c:v>40G</c:v>
                </c:pt>
              </c:strCache>
            </c:strRef>
          </c:tx>
          <c:cat>
            <c:numRef>
              <c:f>Summary!$P$198:$Y$198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Summary!$P$201:$Y$201</c:f>
              <c:numCache>
                <c:formatCode>_("$"* #,##0_);_("$"* \(#,##0\);_("$"* "-"??_);_(@_)</c:formatCode>
                <c:ptCount val="10"/>
                <c:pt idx="0">
                  <c:v>102.17953707392044</c:v>
                </c:pt>
                <c:pt idx="1">
                  <c:v>72.516352540852367</c:v>
                </c:pt>
                <c:pt idx="2">
                  <c:v>91.412697904245206</c:v>
                </c:pt>
              </c:numCache>
            </c:numRef>
          </c:val>
          <c:smooth val="0"/>
          <c:extLst>
            <c:ext xmlns:c16="http://schemas.microsoft.com/office/drawing/2014/chart" uri="{C3380CC4-5D6E-409C-BE32-E72D297353CC}">
              <c16:uniqueId val="{00000002-9E88-5C41-AF46-FFCB0F4050EA}"/>
            </c:ext>
          </c:extLst>
        </c:ser>
        <c:ser>
          <c:idx val="3"/>
          <c:order val="3"/>
          <c:tx>
            <c:strRef>
              <c:f>Summary!$O$202</c:f>
              <c:strCache>
                <c:ptCount val="1"/>
                <c:pt idx="0">
                  <c:v>56G</c:v>
                </c:pt>
              </c:strCache>
            </c:strRef>
          </c:tx>
          <c:cat>
            <c:numRef>
              <c:f>Summary!$P$198:$Y$198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Summary!$P$202:$Y$202</c:f>
              <c:numCache>
                <c:formatCode>_("$"* #,##0_);_("$"* \(#,##0\);_("$"* "-"??_);_(@_)</c:formatCode>
                <c:ptCount val="10"/>
                <c:pt idx="0">
                  <c:v>27.198075903832958</c:v>
                </c:pt>
                <c:pt idx="1">
                  <c:v>24.775568635814039</c:v>
                </c:pt>
                <c:pt idx="2">
                  <c:v>9.2602208597830753</c:v>
                </c:pt>
              </c:numCache>
            </c:numRef>
          </c:val>
          <c:smooth val="0"/>
          <c:extLst>
            <c:ext xmlns:c16="http://schemas.microsoft.com/office/drawing/2014/chart" uri="{C3380CC4-5D6E-409C-BE32-E72D297353CC}">
              <c16:uniqueId val="{00000003-9E88-5C41-AF46-FFCB0F4050EA}"/>
            </c:ext>
          </c:extLst>
        </c:ser>
        <c:ser>
          <c:idx val="4"/>
          <c:order val="4"/>
          <c:tx>
            <c:strRef>
              <c:f>Summary!$O$203</c:f>
              <c:strCache>
                <c:ptCount val="1"/>
                <c:pt idx="0">
                  <c:v>100G</c:v>
                </c:pt>
              </c:strCache>
            </c:strRef>
          </c:tx>
          <c:cat>
            <c:numRef>
              <c:f>Summary!$P$198:$Y$198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Summary!$P$203:$Y$203</c:f>
              <c:numCache>
                <c:formatCode>_("$"* #,##0_);_("$"* \(#,##0\);_("$"* "-"??_);_(@_)</c:formatCode>
                <c:ptCount val="10"/>
                <c:pt idx="0">
                  <c:v>32.822766144000006</c:v>
                </c:pt>
                <c:pt idx="1">
                  <c:v>53.044366905600008</c:v>
                </c:pt>
                <c:pt idx="2">
                  <c:v>44.003188336459552</c:v>
                </c:pt>
              </c:numCache>
            </c:numRef>
          </c:val>
          <c:smooth val="0"/>
          <c:extLst>
            <c:ext xmlns:c16="http://schemas.microsoft.com/office/drawing/2014/chart" uri="{C3380CC4-5D6E-409C-BE32-E72D297353CC}">
              <c16:uniqueId val="{00000004-9E88-5C41-AF46-FFCB0F4050EA}"/>
            </c:ext>
          </c:extLst>
        </c:ser>
        <c:ser>
          <c:idx val="5"/>
          <c:order val="5"/>
          <c:tx>
            <c:strRef>
              <c:f>Summary!$O$204</c:f>
              <c:strCache>
                <c:ptCount val="1"/>
                <c:pt idx="0">
                  <c:v>200G</c:v>
                </c:pt>
              </c:strCache>
            </c:strRef>
          </c:tx>
          <c:cat>
            <c:numRef>
              <c:f>Summary!$P$198:$Y$198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Summary!$P$204:$Y$204</c:f>
              <c:numCache>
                <c:formatCode>_("$"* #,##0_);_("$"* \(#,##0\);_("$"* "-"??_);_(@_)</c:formatCode>
                <c:ptCount val="10"/>
                <c:pt idx="0">
                  <c:v>0</c:v>
                </c:pt>
                <c:pt idx="1">
                  <c:v>0</c:v>
                </c:pt>
                <c:pt idx="2">
                  <c:v>0</c:v>
                </c:pt>
              </c:numCache>
            </c:numRef>
          </c:val>
          <c:smooth val="0"/>
          <c:extLst>
            <c:ext xmlns:c16="http://schemas.microsoft.com/office/drawing/2014/chart" uri="{C3380CC4-5D6E-409C-BE32-E72D297353CC}">
              <c16:uniqueId val="{00000005-9E88-5C41-AF46-FFCB0F4050EA}"/>
            </c:ext>
          </c:extLst>
        </c:ser>
        <c:ser>
          <c:idx val="6"/>
          <c:order val="6"/>
          <c:tx>
            <c:strRef>
              <c:f>Summary!$O$205</c:f>
              <c:strCache>
                <c:ptCount val="1"/>
                <c:pt idx="0">
                  <c:v>400G</c:v>
                </c:pt>
              </c:strCache>
            </c:strRef>
          </c:tx>
          <c:cat>
            <c:numRef>
              <c:f>Summary!$P$198:$Y$198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Summary!$P$205:$Y$205</c:f>
              <c:numCache>
                <c:formatCode>_("$"* #,##0_);_("$"* \(#,##0\);_("$"* "-"??_);_(@_)</c:formatCode>
                <c:ptCount val="10"/>
                <c:pt idx="0">
                  <c:v>0</c:v>
                </c:pt>
                <c:pt idx="1">
                  <c:v>0</c:v>
                </c:pt>
                <c:pt idx="2">
                  <c:v>0</c:v>
                </c:pt>
              </c:numCache>
            </c:numRef>
          </c:val>
          <c:smooth val="0"/>
          <c:extLst>
            <c:ext xmlns:c16="http://schemas.microsoft.com/office/drawing/2014/chart" uri="{C3380CC4-5D6E-409C-BE32-E72D297353CC}">
              <c16:uniqueId val="{00000006-9E88-5C41-AF46-FFCB0F4050EA}"/>
            </c:ext>
          </c:extLst>
        </c:ser>
        <c:ser>
          <c:idx val="7"/>
          <c:order val="7"/>
          <c:tx>
            <c:strRef>
              <c:f>Summary!$O$206</c:f>
              <c:strCache>
                <c:ptCount val="1"/>
                <c:pt idx="0">
                  <c:v>800G</c:v>
                </c:pt>
              </c:strCache>
            </c:strRef>
          </c:tx>
          <c:cat>
            <c:numRef>
              <c:f>Summary!$P$198:$Y$198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Summary!$P$206:$Y$206</c:f>
              <c:numCache>
                <c:formatCode>_("$"* #,##0_);_("$"* \(#,##0\);_("$"* "-"??_);_(@_)</c:formatCode>
                <c:ptCount val="10"/>
                <c:pt idx="0">
                  <c:v>0</c:v>
                </c:pt>
                <c:pt idx="1">
                  <c:v>0</c:v>
                </c:pt>
                <c:pt idx="2">
                  <c:v>0</c:v>
                </c:pt>
              </c:numCache>
            </c:numRef>
          </c:val>
          <c:smooth val="0"/>
          <c:extLst>
            <c:ext xmlns:c16="http://schemas.microsoft.com/office/drawing/2014/chart" uri="{C3380CC4-5D6E-409C-BE32-E72D297353CC}">
              <c16:uniqueId val="{00000000-90D0-2647-AF67-B6D9C7210CB8}"/>
            </c:ext>
          </c:extLst>
        </c:ser>
        <c:dLbls>
          <c:showLegendKey val="0"/>
          <c:showVal val="0"/>
          <c:showCatName val="0"/>
          <c:showSerName val="0"/>
          <c:showPercent val="0"/>
          <c:showBubbleSize val="0"/>
        </c:dLbls>
        <c:marker val="1"/>
        <c:smooth val="0"/>
        <c:axId val="331984896"/>
        <c:axId val="331986432"/>
      </c:lineChart>
      <c:catAx>
        <c:axId val="331984896"/>
        <c:scaling>
          <c:orientation val="minMax"/>
        </c:scaling>
        <c:delete val="0"/>
        <c:axPos val="b"/>
        <c:numFmt formatCode="General" sourceLinked="1"/>
        <c:majorTickMark val="out"/>
        <c:minorTickMark val="none"/>
        <c:tickLblPos val="nextTo"/>
        <c:crossAx val="331986432"/>
        <c:crosses val="autoZero"/>
        <c:auto val="1"/>
        <c:lblAlgn val="ctr"/>
        <c:lblOffset val="100"/>
        <c:noMultiLvlLbl val="0"/>
      </c:catAx>
      <c:valAx>
        <c:axId val="331986432"/>
        <c:scaling>
          <c:orientation val="minMax"/>
        </c:scaling>
        <c:delete val="0"/>
        <c:axPos val="l"/>
        <c:majorGridlines/>
        <c:title>
          <c:tx>
            <c:rich>
              <a:bodyPr rot="-5400000" vert="horz"/>
              <a:lstStyle/>
              <a:p>
                <a:pPr>
                  <a:defRPr/>
                </a:pPr>
                <a:r>
                  <a:rPr lang="en-US"/>
                  <a:t>Annual sales ($ mn)</a:t>
                </a:r>
              </a:p>
            </c:rich>
          </c:tx>
          <c:layout>
            <c:manualLayout>
              <c:xMode val="edge"/>
              <c:yMode val="edge"/>
              <c:x val="1.4630903549482386E-2"/>
              <c:y val="0.28375836628953693"/>
            </c:manualLayout>
          </c:layout>
          <c:overlay val="0"/>
        </c:title>
        <c:numFmt formatCode="_(&quot;$&quot;* #,##0_);_(&quot;$&quot;* \(#,##0\);_(&quot;$&quot;* &quot;-&quot;??_);_(@_)" sourceLinked="1"/>
        <c:majorTickMark val="out"/>
        <c:minorTickMark val="none"/>
        <c:tickLblPos val="nextTo"/>
        <c:crossAx val="331984896"/>
        <c:crosses val="autoZero"/>
        <c:crossBetween val="between"/>
      </c:valAx>
    </c:plotArea>
    <c:legend>
      <c:legendPos val="r"/>
      <c:layout>
        <c:manualLayout>
          <c:xMode val="edge"/>
          <c:yMode val="edge"/>
          <c:x val="0.87719407035400887"/>
          <c:y val="0.12343131546847026"/>
          <c:w val="9.6701469918385824E-2"/>
          <c:h val="0.76568818761294177"/>
        </c:manualLayout>
      </c:layout>
      <c:overlay val="0"/>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38600588970641"/>
          <c:y val="0.1279618728779639"/>
          <c:w val="0.80915053404652337"/>
          <c:h val="0.74834437606863591"/>
        </c:manualLayout>
      </c:layout>
      <c:barChart>
        <c:barDir val="col"/>
        <c:grouping val="stacked"/>
        <c:varyColors val="0"/>
        <c:ser>
          <c:idx val="0"/>
          <c:order val="0"/>
          <c:tx>
            <c:strRef>
              <c:f>Summary!$B$113</c:f>
              <c:strCache>
                <c:ptCount val="1"/>
                <c:pt idx="0">
                  <c:v>10G AOCs</c:v>
                </c:pt>
              </c:strCache>
            </c:strRef>
          </c:tx>
          <c:invertIfNegative val="0"/>
          <c:cat>
            <c:numRef>
              <c:f>Summary!$C$112:$L$112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Summary!$C$113:$L$113</c:f>
              <c:numCache>
                <c:formatCode>_("$"* #,##0_);_("$"* \(#,##0\);_("$"* "-"??_);_(@_)</c:formatCode>
                <c:ptCount val="10"/>
                <c:pt idx="0">
                  <c:v>40.21456932280806</c:v>
                </c:pt>
                <c:pt idx="1">
                  <c:v>60.527746000000008</c:v>
                </c:pt>
                <c:pt idx="2">
                  <c:v>66.906791699999971</c:v>
                </c:pt>
              </c:numCache>
            </c:numRef>
          </c:val>
          <c:extLst>
            <c:ext xmlns:c16="http://schemas.microsoft.com/office/drawing/2014/chart" uri="{C3380CC4-5D6E-409C-BE32-E72D297353CC}">
              <c16:uniqueId val="{00000001-418D-CA40-BB12-27A1D1357B58}"/>
            </c:ext>
          </c:extLst>
        </c:ser>
        <c:ser>
          <c:idx val="1"/>
          <c:order val="1"/>
          <c:tx>
            <c:strRef>
              <c:f>Summary!$B$114</c:f>
              <c:strCache>
                <c:ptCount val="1"/>
                <c:pt idx="0">
                  <c:v>25G AOCs</c:v>
                </c:pt>
              </c:strCache>
            </c:strRef>
          </c:tx>
          <c:invertIfNegative val="0"/>
          <c:cat>
            <c:numRef>
              <c:f>Summary!$C$112:$L$112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Summary!$C$114:$L$114</c:f>
              <c:numCache>
                <c:formatCode>_("$"* #,##0_);_("$"* \(#,##0\);_("$"* "-"??_);_(@_)</c:formatCode>
                <c:ptCount val="10"/>
                <c:pt idx="0">
                  <c:v>1.1000000000000001</c:v>
                </c:pt>
                <c:pt idx="1">
                  <c:v>13.144417999999996</c:v>
                </c:pt>
                <c:pt idx="2">
                  <c:v>52.011518000000002</c:v>
                </c:pt>
              </c:numCache>
            </c:numRef>
          </c:val>
          <c:extLst>
            <c:ext xmlns:c16="http://schemas.microsoft.com/office/drawing/2014/chart" uri="{C3380CC4-5D6E-409C-BE32-E72D297353CC}">
              <c16:uniqueId val="{00000002-418D-CA40-BB12-27A1D1357B58}"/>
            </c:ext>
          </c:extLst>
        </c:ser>
        <c:ser>
          <c:idx val="2"/>
          <c:order val="2"/>
          <c:tx>
            <c:strRef>
              <c:f>Summary!$B$115</c:f>
              <c:strCache>
                <c:ptCount val="1"/>
                <c:pt idx="0">
                  <c:v>10G DACs</c:v>
                </c:pt>
              </c:strCache>
            </c:strRef>
          </c:tx>
          <c:invertIfNegative val="0"/>
          <c:cat>
            <c:numRef>
              <c:f>Summary!$C$112:$L$112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Summary!$C$115:$L$115</c:f>
              <c:numCache>
                <c:formatCode>_("$"* #,##0_);_("$"* \(#,##0\);_("$"* "-"??_);_(@_)</c:formatCode>
                <c:ptCount val="10"/>
                <c:pt idx="0">
                  <c:v>70.673932160447592</c:v>
                </c:pt>
                <c:pt idx="1">
                  <c:v>51.579628705502515</c:v>
                </c:pt>
                <c:pt idx="2">
                  <c:v>42.906206723868529</c:v>
                </c:pt>
              </c:numCache>
            </c:numRef>
          </c:val>
          <c:extLst>
            <c:ext xmlns:c16="http://schemas.microsoft.com/office/drawing/2014/chart" uri="{C3380CC4-5D6E-409C-BE32-E72D297353CC}">
              <c16:uniqueId val="{00000001-6867-2544-B8CD-FC82B37A4371}"/>
            </c:ext>
          </c:extLst>
        </c:ser>
        <c:ser>
          <c:idx val="3"/>
          <c:order val="3"/>
          <c:tx>
            <c:strRef>
              <c:f>Summary!$B$116</c:f>
              <c:strCache>
                <c:ptCount val="1"/>
                <c:pt idx="0">
                  <c:v>25G DACs</c:v>
                </c:pt>
              </c:strCache>
            </c:strRef>
          </c:tx>
          <c:invertIfNegative val="0"/>
          <c:cat>
            <c:numRef>
              <c:f>Summary!$C$112:$L$112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Summary!$C$116:$L$116</c:f>
              <c:numCache>
                <c:formatCode>_("$"* #,##0_);_("$"* \(#,##0\);_("$"* "-"??_);_(@_)</c:formatCode>
                <c:ptCount val="10"/>
                <c:pt idx="0">
                  <c:v>37.52837550000001</c:v>
                </c:pt>
                <c:pt idx="1">
                  <c:v>57.626435004851608</c:v>
                </c:pt>
                <c:pt idx="2">
                  <c:v>57.537742700516695</c:v>
                </c:pt>
              </c:numCache>
            </c:numRef>
          </c:val>
          <c:extLst>
            <c:ext xmlns:c16="http://schemas.microsoft.com/office/drawing/2014/chart" uri="{C3380CC4-5D6E-409C-BE32-E72D297353CC}">
              <c16:uniqueId val="{00000002-6867-2544-B8CD-FC82B37A4371}"/>
            </c:ext>
          </c:extLst>
        </c:ser>
        <c:dLbls>
          <c:showLegendKey val="0"/>
          <c:showVal val="0"/>
          <c:showCatName val="0"/>
          <c:showSerName val="0"/>
          <c:showPercent val="0"/>
          <c:showBubbleSize val="0"/>
        </c:dLbls>
        <c:gapWidth val="150"/>
        <c:overlap val="100"/>
        <c:axId val="332027776"/>
        <c:axId val="332029312"/>
      </c:barChart>
      <c:catAx>
        <c:axId val="332027776"/>
        <c:scaling>
          <c:orientation val="minMax"/>
        </c:scaling>
        <c:delete val="0"/>
        <c:axPos val="b"/>
        <c:numFmt formatCode="General" sourceLinked="1"/>
        <c:majorTickMark val="out"/>
        <c:minorTickMark val="none"/>
        <c:tickLblPos val="nextTo"/>
        <c:txPr>
          <a:bodyPr/>
          <a:lstStyle/>
          <a:p>
            <a:pPr>
              <a:defRPr sz="1200"/>
            </a:pPr>
            <a:endParaRPr lang="en-US"/>
          </a:p>
        </c:txPr>
        <c:crossAx val="332029312"/>
        <c:crosses val="autoZero"/>
        <c:auto val="1"/>
        <c:lblAlgn val="ctr"/>
        <c:lblOffset val="100"/>
        <c:noMultiLvlLbl val="0"/>
      </c:catAx>
      <c:valAx>
        <c:axId val="332029312"/>
        <c:scaling>
          <c:orientation val="minMax"/>
        </c:scaling>
        <c:delete val="0"/>
        <c:axPos val="l"/>
        <c:majorGridlines/>
        <c:title>
          <c:tx>
            <c:rich>
              <a:bodyPr rot="-5400000" vert="horz"/>
              <a:lstStyle/>
              <a:p>
                <a:pPr>
                  <a:defRPr sz="1600" b="0"/>
                </a:pPr>
                <a:r>
                  <a:rPr lang="en-US" sz="1600" b="0"/>
                  <a:t>Annual revenues ($ mn)</a:t>
                </a:r>
              </a:p>
            </c:rich>
          </c:tx>
          <c:layout>
            <c:manualLayout>
              <c:xMode val="edge"/>
              <c:yMode val="edge"/>
              <c:x val="9.0589502581078663E-3"/>
              <c:y val="0.17929725576006714"/>
            </c:manualLayout>
          </c:layout>
          <c:overlay val="0"/>
        </c:title>
        <c:numFmt formatCode="_(&quot;$&quot;* #,##0_);_(&quot;$&quot;* \(#,##0\);_(&quot;$&quot;* &quot;-&quot;??_);_(@_)" sourceLinked="1"/>
        <c:majorTickMark val="out"/>
        <c:minorTickMark val="none"/>
        <c:tickLblPos val="nextTo"/>
        <c:txPr>
          <a:bodyPr/>
          <a:lstStyle/>
          <a:p>
            <a:pPr>
              <a:defRPr sz="1200"/>
            </a:pPr>
            <a:endParaRPr lang="en-US"/>
          </a:p>
        </c:txPr>
        <c:crossAx val="332027776"/>
        <c:crosses val="autoZero"/>
        <c:crossBetween val="between"/>
      </c:valAx>
    </c:plotArea>
    <c:legend>
      <c:legendPos val="t"/>
      <c:layout>
        <c:manualLayout>
          <c:xMode val="edge"/>
          <c:yMode val="edge"/>
          <c:x val="0.17360396564906108"/>
          <c:y val="2.9678580805272241E-2"/>
          <c:w val="0.68055443515198633"/>
          <c:h val="8.0746828616575533E-2"/>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00360756975482"/>
          <c:y val="4.7316663115170819E-2"/>
          <c:w val="0.71438633781676009"/>
          <c:h val="0.84591832454408022"/>
        </c:manualLayout>
      </c:layout>
      <c:lineChart>
        <c:grouping val="standard"/>
        <c:varyColors val="0"/>
        <c:ser>
          <c:idx val="0"/>
          <c:order val="0"/>
          <c:tx>
            <c:strRef>
              <c:f>Summary!$B$199</c:f>
              <c:strCache>
                <c:ptCount val="1"/>
                <c:pt idx="0">
                  <c:v>10G</c:v>
                </c:pt>
              </c:strCache>
            </c:strRef>
          </c:tx>
          <c:cat>
            <c:numRef>
              <c:f>Summary!$C$198:$L$198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Summary!$C$199:$L$199</c:f>
              <c:numCache>
                <c:formatCode>_(* #,##0_);_(* \(#,##0\);_(* "-"??_);_(@_)</c:formatCode>
                <c:ptCount val="10"/>
                <c:pt idx="0">
                  <c:v>4845145.5</c:v>
                </c:pt>
                <c:pt idx="1">
                  <c:v>4589910</c:v>
                </c:pt>
                <c:pt idx="2">
                  <c:v>4549211.2050000001</c:v>
                </c:pt>
              </c:numCache>
            </c:numRef>
          </c:val>
          <c:smooth val="0"/>
          <c:extLst>
            <c:ext xmlns:c16="http://schemas.microsoft.com/office/drawing/2014/chart" uri="{C3380CC4-5D6E-409C-BE32-E72D297353CC}">
              <c16:uniqueId val="{00000000-9E88-5C41-AF46-FFCB0F4050EA}"/>
            </c:ext>
          </c:extLst>
        </c:ser>
        <c:ser>
          <c:idx val="1"/>
          <c:order val="1"/>
          <c:tx>
            <c:strRef>
              <c:f>Summary!$B$200</c:f>
              <c:strCache>
                <c:ptCount val="1"/>
                <c:pt idx="0">
                  <c:v>25G</c:v>
                </c:pt>
              </c:strCache>
            </c:strRef>
          </c:tx>
          <c:cat>
            <c:numRef>
              <c:f>Summary!$C$198:$L$198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Summary!$C$200:$L$200</c:f>
              <c:numCache>
                <c:formatCode>_(* #,##0_);_(* \(#,##0\);_(* "-"??_);_(@_)</c:formatCode>
                <c:ptCount val="10"/>
                <c:pt idx="0">
                  <c:v>568611.75000000012</c:v>
                </c:pt>
                <c:pt idx="1">
                  <c:v>1246925.55</c:v>
                </c:pt>
                <c:pt idx="2">
                  <c:v>1890581.28</c:v>
                </c:pt>
              </c:numCache>
            </c:numRef>
          </c:val>
          <c:smooth val="0"/>
          <c:extLst>
            <c:ext xmlns:c16="http://schemas.microsoft.com/office/drawing/2014/chart" uri="{C3380CC4-5D6E-409C-BE32-E72D297353CC}">
              <c16:uniqueId val="{00000001-9E88-5C41-AF46-FFCB0F4050EA}"/>
            </c:ext>
          </c:extLst>
        </c:ser>
        <c:ser>
          <c:idx val="2"/>
          <c:order val="2"/>
          <c:tx>
            <c:strRef>
              <c:f>Summary!$B$201</c:f>
              <c:strCache>
                <c:ptCount val="1"/>
                <c:pt idx="0">
                  <c:v>40G</c:v>
                </c:pt>
              </c:strCache>
            </c:strRef>
          </c:tx>
          <c:cat>
            <c:numRef>
              <c:f>Summary!$C$198:$L$198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Summary!$C$201:$L$201</c:f>
              <c:numCache>
                <c:formatCode>_(* #,##0_);_(* \(#,##0\);_(* "-"??_);_(@_)</c:formatCode>
                <c:ptCount val="10"/>
                <c:pt idx="0">
                  <c:v>1672205.7074885746</c:v>
                </c:pt>
                <c:pt idx="1">
                  <c:v>1222748.8825000001</c:v>
                </c:pt>
                <c:pt idx="2">
                  <c:v>1815514.6020258623</c:v>
                </c:pt>
              </c:numCache>
            </c:numRef>
          </c:val>
          <c:smooth val="0"/>
          <c:extLst>
            <c:ext xmlns:c16="http://schemas.microsoft.com/office/drawing/2014/chart" uri="{C3380CC4-5D6E-409C-BE32-E72D297353CC}">
              <c16:uniqueId val="{00000002-9E88-5C41-AF46-FFCB0F4050EA}"/>
            </c:ext>
          </c:extLst>
        </c:ser>
        <c:ser>
          <c:idx val="3"/>
          <c:order val="3"/>
          <c:tx>
            <c:strRef>
              <c:f>Summary!$B$202</c:f>
              <c:strCache>
                <c:ptCount val="1"/>
                <c:pt idx="0">
                  <c:v>56G</c:v>
                </c:pt>
              </c:strCache>
            </c:strRef>
          </c:tx>
          <c:cat>
            <c:numRef>
              <c:f>Summary!$C$198:$L$198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Summary!$C$202:$L$202</c:f>
              <c:numCache>
                <c:formatCode>_(* #,##0_);_(* \(#,##0\);_(* "-"??_);_(@_)</c:formatCode>
                <c:ptCount val="10"/>
                <c:pt idx="0">
                  <c:v>402361.84385246772</c:v>
                </c:pt>
                <c:pt idx="1">
                  <c:v>364851.71764485457</c:v>
                </c:pt>
                <c:pt idx="2">
                  <c:v>163770.15025505435</c:v>
                </c:pt>
              </c:numCache>
            </c:numRef>
          </c:val>
          <c:smooth val="0"/>
          <c:extLst>
            <c:ext xmlns:c16="http://schemas.microsoft.com/office/drawing/2014/chart" uri="{C3380CC4-5D6E-409C-BE32-E72D297353CC}">
              <c16:uniqueId val="{00000003-9E88-5C41-AF46-FFCB0F4050EA}"/>
            </c:ext>
          </c:extLst>
        </c:ser>
        <c:ser>
          <c:idx val="4"/>
          <c:order val="4"/>
          <c:tx>
            <c:strRef>
              <c:f>Summary!$B$203</c:f>
              <c:strCache>
                <c:ptCount val="1"/>
                <c:pt idx="0">
                  <c:v>100G</c:v>
                </c:pt>
              </c:strCache>
            </c:strRef>
          </c:tx>
          <c:cat>
            <c:numRef>
              <c:f>Summary!$C$198:$L$198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Summary!$C$203:$L$203</c:f>
              <c:numCache>
                <c:formatCode>_(* #,##0_);_(* \(#,##0\);_(* "-"??_);_(@_)</c:formatCode>
                <c:ptCount val="10"/>
                <c:pt idx="0">
                  <c:v>162811.34000000003</c:v>
                </c:pt>
                <c:pt idx="1">
                  <c:v>464323.94</c:v>
                </c:pt>
                <c:pt idx="2">
                  <c:v>641422.97215182055</c:v>
                </c:pt>
              </c:numCache>
            </c:numRef>
          </c:val>
          <c:smooth val="0"/>
          <c:extLst>
            <c:ext xmlns:c16="http://schemas.microsoft.com/office/drawing/2014/chart" uri="{C3380CC4-5D6E-409C-BE32-E72D297353CC}">
              <c16:uniqueId val="{00000004-9E88-5C41-AF46-FFCB0F4050EA}"/>
            </c:ext>
          </c:extLst>
        </c:ser>
        <c:ser>
          <c:idx val="5"/>
          <c:order val="5"/>
          <c:tx>
            <c:strRef>
              <c:f>Summary!$B$204</c:f>
              <c:strCache>
                <c:ptCount val="1"/>
                <c:pt idx="0">
                  <c:v>200G</c:v>
                </c:pt>
              </c:strCache>
            </c:strRef>
          </c:tx>
          <c:cat>
            <c:numRef>
              <c:f>Summary!$C$198:$L$198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Summary!$C$204:$L$204</c:f>
              <c:numCache>
                <c:formatCode>_(* #,##0_);_(* \(#,##0\);_(* "-"??_);_(@_)</c:formatCode>
                <c:ptCount val="10"/>
                <c:pt idx="0">
                  <c:v>0</c:v>
                </c:pt>
                <c:pt idx="1">
                  <c:v>0</c:v>
                </c:pt>
                <c:pt idx="2">
                  <c:v>0</c:v>
                </c:pt>
              </c:numCache>
            </c:numRef>
          </c:val>
          <c:smooth val="0"/>
          <c:extLst>
            <c:ext xmlns:c16="http://schemas.microsoft.com/office/drawing/2014/chart" uri="{C3380CC4-5D6E-409C-BE32-E72D297353CC}">
              <c16:uniqueId val="{00000005-9E88-5C41-AF46-FFCB0F4050EA}"/>
            </c:ext>
          </c:extLst>
        </c:ser>
        <c:ser>
          <c:idx val="6"/>
          <c:order val="6"/>
          <c:tx>
            <c:strRef>
              <c:f>Summary!$B$205</c:f>
              <c:strCache>
                <c:ptCount val="1"/>
                <c:pt idx="0">
                  <c:v>400G</c:v>
                </c:pt>
              </c:strCache>
            </c:strRef>
          </c:tx>
          <c:cat>
            <c:numRef>
              <c:f>Summary!$C$198:$L$198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Summary!$C$205:$L$205</c:f>
              <c:numCache>
                <c:formatCode>_(* #,##0_);_(* \(#,##0\);_(* "-"??_);_(@_)</c:formatCode>
                <c:ptCount val="10"/>
                <c:pt idx="0">
                  <c:v>0</c:v>
                </c:pt>
                <c:pt idx="1">
                  <c:v>0</c:v>
                </c:pt>
                <c:pt idx="2">
                  <c:v>0</c:v>
                </c:pt>
              </c:numCache>
            </c:numRef>
          </c:val>
          <c:smooth val="0"/>
          <c:extLst>
            <c:ext xmlns:c16="http://schemas.microsoft.com/office/drawing/2014/chart" uri="{C3380CC4-5D6E-409C-BE32-E72D297353CC}">
              <c16:uniqueId val="{00000006-9E88-5C41-AF46-FFCB0F4050EA}"/>
            </c:ext>
          </c:extLst>
        </c:ser>
        <c:ser>
          <c:idx val="7"/>
          <c:order val="7"/>
          <c:tx>
            <c:strRef>
              <c:f>Summary!$B$206</c:f>
              <c:strCache>
                <c:ptCount val="1"/>
                <c:pt idx="0">
                  <c:v>800G</c:v>
                </c:pt>
              </c:strCache>
            </c:strRef>
          </c:tx>
          <c:cat>
            <c:numRef>
              <c:f>Summary!$C$198:$L$198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Summary!$C$206:$L$206</c:f>
              <c:numCache>
                <c:formatCode>_(* #,##0_);_(* \(#,##0\);_(* "-"??_);_(@_)</c:formatCode>
                <c:ptCount val="10"/>
                <c:pt idx="0">
                  <c:v>0</c:v>
                </c:pt>
                <c:pt idx="1">
                  <c:v>0</c:v>
                </c:pt>
                <c:pt idx="2">
                  <c:v>0</c:v>
                </c:pt>
              </c:numCache>
            </c:numRef>
          </c:val>
          <c:smooth val="0"/>
          <c:extLst>
            <c:ext xmlns:c16="http://schemas.microsoft.com/office/drawing/2014/chart" uri="{C3380CC4-5D6E-409C-BE32-E72D297353CC}">
              <c16:uniqueId val="{00000000-CE30-934C-B0F3-7A88A8291F6C}"/>
            </c:ext>
          </c:extLst>
        </c:ser>
        <c:dLbls>
          <c:showLegendKey val="0"/>
          <c:showVal val="0"/>
          <c:showCatName val="0"/>
          <c:showSerName val="0"/>
          <c:showPercent val="0"/>
          <c:showBubbleSize val="0"/>
        </c:dLbls>
        <c:marker val="1"/>
        <c:smooth val="0"/>
        <c:axId val="331574656"/>
        <c:axId val="331584640"/>
      </c:lineChart>
      <c:catAx>
        <c:axId val="331574656"/>
        <c:scaling>
          <c:orientation val="minMax"/>
        </c:scaling>
        <c:delete val="0"/>
        <c:axPos val="b"/>
        <c:numFmt formatCode="General" sourceLinked="1"/>
        <c:majorTickMark val="out"/>
        <c:minorTickMark val="none"/>
        <c:tickLblPos val="nextTo"/>
        <c:crossAx val="331584640"/>
        <c:crosses val="autoZero"/>
        <c:auto val="1"/>
        <c:lblAlgn val="ctr"/>
        <c:lblOffset val="100"/>
        <c:noMultiLvlLbl val="0"/>
      </c:catAx>
      <c:valAx>
        <c:axId val="331584640"/>
        <c:scaling>
          <c:orientation val="minMax"/>
        </c:scaling>
        <c:delete val="0"/>
        <c:axPos val="l"/>
        <c:majorGridlines/>
        <c:title>
          <c:tx>
            <c:rich>
              <a:bodyPr rot="-5400000" vert="horz"/>
              <a:lstStyle/>
              <a:p>
                <a:pPr>
                  <a:defRPr/>
                </a:pPr>
                <a:r>
                  <a:rPr lang="en-US"/>
                  <a:t>Annual shipments</a:t>
                </a:r>
              </a:p>
            </c:rich>
          </c:tx>
          <c:layout>
            <c:manualLayout>
              <c:xMode val="edge"/>
              <c:yMode val="edge"/>
              <c:x val="1.4630903549482386E-2"/>
              <c:y val="0.28375836628953693"/>
            </c:manualLayout>
          </c:layout>
          <c:overlay val="0"/>
        </c:title>
        <c:numFmt formatCode="_(* #,##0_);_(* \(#,##0\);_(* &quot;-&quot;??_);_(@_)" sourceLinked="1"/>
        <c:majorTickMark val="out"/>
        <c:minorTickMark val="none"/>
        <c:tickLblPos val="nextTo"/>
        <c:crossAx val="331574656"/>
        <c:crosses val="autoZero"/>
        <c:crossBetween val="between"/>
      </c:valAx>
    </c:plotArea>
    <c:legend>
      <c:legendPos val="r"/>
      <c:layout>
        <c:manualLayout>
          <c:xMode val="edge"/>
          <c:yMode val="edge"/>
          <c:x val="0.87719407035400887"/>
          <c:y val="0.12343131546847026"/>
          <c:w val="9.6701469918385824E-2"/>
          <c:h val="0.76568818761294177"/>
        </c:manualLayout>
      </c:layout>
      <c:overlay val="0"/>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2025 Shipments of CPO:</a:t>
            </a:r>
            <a:r>
              <a:rPr lang="en-US" baseline="0"/>
              <a:t> about 1 million chiplets</a:t>
            </a:r>
            <a:endParaRPr lang="en-US"/>
          </a:p>
        </c:rich>
      </c:tx>
      <c:layout>
        <c:manualLayout>
          <c:xMode val="edge"/>
          <c:yMode val="edge"/>
          <c:x val="0.17690756590208834"/>
          <c:y val="0"/>
        </c:manualLayout>
      </c:layout>
      <c:overlay val="0"/>
    </c:title>
    <c:autoTitleDeleted val="0"/>
    <c:plotArea>
      <c:layout>
        <c:manualLayout>
          <c:layoutTarget val="inner"/>
          <c:xMode val="edge"/>
          <c:yMode val="edge"/>
          <c:x val="0.14058507360492981"/>
          <c:y val="0.19256593890274229"/>
          <c:w val="0.39995703526189663"/>
          <c:h val="0.79661579206121591"/>
        </c:manualLayout>
      </c:layout>
      <c:pieChart>
        <c:varyColors val="1"/>
        <c:ser>
          <c:idx val="0"/>
          <c:order val="0"/>
          <c:dLbls>
            <c:spPr>
              <a:noFill/>
              <a:ln>
                <a:noFill/>
              </a:ln>
              <a:effectLst/>
            </c:spPr>
            <c:txPr>
              <a:bodyPr/>
              <a:lstStyle/>
              <a:p>
                <a:pPr>
                  <a:defRPr sz="12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Summary!$B$289:$B$292</c:f>
              <c:strCache>
                <c:ptCount val="4"/>
                <c:pt idx="0">
                  <c:v>HPC &amp; AI Clusters</c:v>
                </c:pt>
                <c:pt idx="1">
                  <c:v>Core Routing &amp; Optical Transport</c:v>
                </c:pt>
                <c:pt idx="2">
                  <c:v>Cloud DC Switches</c:v>
                </c:pt>
                <c:pt idx="3">
                  <c:v>Other</c:v>
                </c:pt>
              </c:strCache>
            </c:strRef>
          </c:cat>
          <c:val>
            <c:numRef>
              <c:f>Summary!$M$289:$M$292</c:f>
              <c:numCache>
                <c:formatCode>_(* #,##0_);_(* \(#,##0\);_(* "-"??_);_(@_)</c:formatCode>
                <c:ptCount val="4"/>
              </c:numCache>
            </c:numRef>
          </c:val>
          <c:extLst>
            <c:ext xmlns:c16="http://schemas.microsoft.com/office/drawing/2014/chart" uri="{C3380CC4-5D6E-409C-BE32-E72D297353CC}">
              <c16:uniqueId val="{00000000-5ACF-B643-BD77-3C16B1A78960}"/>
            </c:ext>
          </c:extLst>
        </c:ser>
        <c:dLbls>
          <c:showLegendKey val="0"/>
          <c:showVal val="1"/>
          <c:showCatName val="0"/>
          <c:showSerName val="0"/>
          <c:showPercent val="0"/>
          <c:showBubbleSize val="0"/>
          <c:showLeaderLines val="1"/>
        </c:dLbls>
        <c:firstSliceAng val="0"/>
      </c:pieChart>
    </c:plotArea>
    <c:legend>
      <c:legendPos val="r"/>
      <c:layout>
        <c:manualLayout>
          <c:xMode val="edge"/>
          <c:yMode val="edge"/>
          <c:x val="0.52976959945224233"/>
          <c:y val="0.18171255336514958"/>
          <c:w val="0.4242641202952312"/>
          <c:h val="0.80248697384422241"/>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2020 Shipments of EOMs:</a:t>
            </a:r>
          </a:p>
          <a:p>
            <a:pPr>
              <a:defRPr/>
            </a:pPr>
            <a:r>
              <a:rPr lang="en-US"/>
              <a:t>275,000 units</a:t>
            </a:r>
          </a:p>
        </c:rich>
      </c:tx>
      <c:layout>
        <c:manualLayout>
          <c:xMode val="edge"/>
          <c:yMode val="edge"/>
          <c:x val="0.15731127906249406"/>
          <c:y val="0"/>
        </c:manualLayout>
      </c:layout>
      <c:overlay val="0"/>
    </c:title>
    <c:autoTitleDeleted val="0"/>
    <c:plotArea>
      <c:layout>
        <c:manualLayout>
          <c:layoutTarget val="inner"/>
          <c:xMode val="edge"/>
          <c:yMode val="edge"/>
          <c:x val="0.21526438744734142"/>
          <c:y val="0.26877897537549084"/>
          <c:w val="0.54183992885485144"/>
          <c:h val="0.67926223980547507"/>
        </c:manualLayout>
      </c:layout>
      <c:pieChart>
        <c:varyColors val="1"/>
        <c:ser>
          <c:idx val="0"/>
          <c:order val="0"/>
          <c:dLbls>
            <c:spPr>
              <a:noFill/>
              <a:ln>
                <a:noFill/>
              </a:ln>
              <a:effectLst/>
            </c:spPr>
            <c:txPr>
              <a:bodyPr/>
              <a:lstStyle/>
              <a:p>
                <a:pPr>
                  <a:defRPr sz="12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Summary!$B$282:$B$285</c:f>
              <c:strCache>
                <c:ptCount val="4"/>
                <c:pt idx="0">
                  <c:v>HPC &amp; AI Clusters</c:v>
                </c:pt>
                <c:pt idx="1">
                  <c:v>Core Routing &amp; Optical Transport</c:v>
                </c:pt>
                <c:pt idx="2">
                  <c:v>Cloud (Datacenter)</c:v>
                </c:pt>
                <c:pt idx="3">
                  <c:v>Other</c:v>
                </c:pt>
              </c:strCache>
            </c:strRef>
          </c:cat>
          <c:val>
            <c:numRef>
              <c:f>Summary!$H$282:$H$285</c:f>
              <c:numCache>
                <c:formatCode>_(* #,##0_);_(* \(#,##0\);_(* "-"??_);_(@_)</c:formatCode>
                <c:ptCount val="4"/>
              </c:numCache>
            </c:numRef>
          </c:val>
          <c:extLst>
            <c:ext xmlns:c16="http://schemas.microsoft.com/office/drawing/2014/chart" uri="{C3380CC4-5D6E-409C-BE32-E72D297353CC}">
              <c16:uniqueId val="{00000000-FF1C-454D-A048-FC6955C5A27C}"/>
            </c:ext>
          </c:extLst>
        </c:ser>
        <c:dLbls>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68729094983136"/>
          <c:y val="4.2400892088060312E-2"/>
          <c:w val="0.81936248163444447"/>
          <c:h val="0.87636907533275743"/>
        </c:manualLayout>
      </c:layout>
      <c:barChart>
        <c:barDir val="col"/>
        <c:grouping val="clustered"/>
        <c:varyColors val="0"/>
        <c:ser>
          <c:idx val="0"/>
          <c:order val="0"/>
          <c:tx>
            <c:strRef>
              <c:f>Summary!$O$208</c:f>
              <c:strCache>
                <c:ptCount val="1"/>
                <c:pt idx="0">
                  <c:v>High-speed copper cables</c:v>
                </c:pt>
              </c:strCache>
            </c:strRef>
          </c:tx>
          <c:spPr>
            <a:solidFill>
              <a:schemeClr val="accent1"/>
            </a:solidFill>
            <a:ln>
              <a:noFill/>
            </a:ln>
            <a:effectLst/>
          </c:spPr>
          <c:invertIfNegative val="0"/>
          <c:cat>
            <c:numRef>
              <c:f>Summary!$P$198:$Y$198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Summary!$P$208:$Y$208</c:f>
              <c:numCache>
                <c:formatCode>_("$"* #,##0_);_("$"* \(#,##0\);_("$"* "-"??_);_(@_)</c:formatCode>
                <c:ptCount val="10"/>
                <c:pt idx="0">
                  <c:v>270.40268678220099</c:v>
                </c:pt>
                <c:pt idx="1">
                  <c:v>259.54235179262054</c:v>
                </c:pt>
                <c:pt idx="2">
                  <c:v>245.12005652487304</c:v>
                </c:pt>
              </c:numCache>
            </c:numRef>
          </c:val>
          <c:extLst>
            <c:ext xmlns:c16="http://schemas.microsoft.com/office/drawing/2014/chart" uri="{C3380CC4-5D6E-409C-BE32-E72D297353CC}">
              <c16:uniqueId val="{00000000-AD89-8846-A432-EA124019A779}"/>
            </c:ext>
          </c:extLst>
        </c:ser>
        <c:ser>
          <c:idx val="1"/>
          <c:order val="1"/>
          <c:tx>
            <c:strRef>
              <c:f>Summary!$O$209</c:f>
              <c:strCache>
                <c:ptCount val="1"/>
                <c:pt idx="0">
                  <c:v>AOCs</c:v>
                </c:pt>
              </c:strCache>
            </c:strRef>
          </c:tx>
          <c:spPr>
            <a:solidFill>
              <a:schemeClr val="accent2"/>
            </a:solidFill>
            <a:ln>
              <a:noFill/>
            </a:ln>
            <a:effectLst/>
          </c:spPr>
          <c:invertIfNegative val="0"/>
          <c:cat>
            <c:numRef>
              <c:f>Summary!$P$198:$Y$198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Summary!$P$209:$Y$209</c:f>
              <c:numCache>
                <c:formatCode>_("$"* #,##0_);_("$"* \(#,##0\);_("$"* "-"??_);_(@_)</c:formatCode>
                <c:ptCount val="10"/>
                <c:pt idx="0">
                  <c:v>230.29326625918645</c:v>
                </c:pt>
                <c:pt idx="1">
                  <c:v>212.30244933354021</c:v>
                </c:pt>
                <c:pt idx="2">
                  <c:v>231.77161952831403</c:v>
                </c:pt>
              </c:numCache>
            </c:numRef>
          </c:val>
          <c:extLst>
            <c:ext xmlns:c16="http://schemas.microsoft.com/office/drawing/2014/chart" uri="{C3380CC4-5D6E-409C-BE32-E72D297353CC}">
              <c16:uniqueId val="{00000001-AD89-8846-A432-EA124019A779}"/>
            </c:ext>
          </c:extLst>
        </c:ser>
        <c:dLbls>
          <c:showLegendKey val="0"/>
          <c:showVal val="0"/>
          <c:showCatName val="0"/>
          <c:showSerName val="0"/>
          <c:showPercent val="0"/>
          <c:showBubbleSize val="0"/>
        </c:dLbls>
        <c:gapWidth val="219"/>
        <c:overlap val="-27"/>
        <c:axId val="332355072"/>
        <c:axId val="332356608"/>
      </c:barChart>
      <c:catAx>
        <c:axId val="332355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332356608"/>
        <c:crosses val="autoZero"/>
        <c:auto val="1"/>
        <c:lblAlgn val="ctr"/>
        <c:lblOffset val="100"/>
        <c:noMultiLvlLbl val="0"/>
      </c:catAx>
      <c:valAx>
        <c:axId val="3323566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Annual Sales ($mn)</a:t>
                </a:r>
              </a:p>
            </c:rich>
          </c:tx>
          <c:layout>
            <c:manualLayout>
              <c:xMode val="edge"/>
              <c:yMode val="edge"/>
              <c:x val="1.9149209745359535E-2"/>
              <c:y val="0.28381645664516369"/>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332355072"/>
        <c:crosses val="autoZero"/>
        <c:crossBetween val="between"/>
        <c:majorUnit val="200"/>
      </c:valAx>
      <c:spPr>
        <a:noFill/>
        <a:ln>
          <a:noFill/>
        </a:ln>
        <a:effectLst/>
      </c:spPr>
    </c:plotArea>
    <c:legend>
      <c:legendPos val="b"/>
      <c:layout>
        <c:manualLayout>
          <c:xMode val="edge"/>
          <c:yMode val="edge"/>
          <c:x val="0.18865390121259812"/>
          <c:y val="0.12933577196636337"/>
          <c:w val="0.50495912902367857"/>
          <c:h val="0.19030441061959788"/>
        </c:manualLayout>
      </c:layout>
      <c:overlay val="0"/>
      <c:spPr>
        <a:solidFill>
          <a:schemeClr val="bg1"/>
        </a:solidFill>
        <a:ln>
          <a:solidFill>
            <a:schemeClr val="bg1">
              <a:lumMod val="50000"/>
            </a:schemeClr>
          </a:solid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19196506136375"/>
          <c:y val="4.7316663115170819E-2"/>
          <c:w val="0.80781611147088728"/>
          <c:h val="0.84591832454408022"/>
        </c:manualLayout>
      </c:layout>
      <c:barChart>
        <c:barDir val="col"/>
        <c:grouping val="stacked"/>
        <c:varyColors val="0"/>
        <c:ser>
          <c:idx val="0"/>
          <c:order val="0"/>
          <c:tx>
            <c:strRef>
              <c:f>Summary!$O$203</c:f>
              <c:strCache>
                <c:ptCount val="1"/>
                <c:pt idx="0">
                  <c:v>100G</c:v>
                </c:pt>
              </c:strCache>
            </c:strRef>
          </c:tx>
          <c:invertIfNegative val="0"/>
          <c:cat>
            <c:numRef>
              <c:f>Summary!$P$198:$Y$198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Summary!$P$203:$Y$203</c:f>
              <c:numCache>
                <c:formatCode>_("$"* #,##0_);_("$"* \(#,##0\);_("$"* "-"??_);_(@_)</c:formatCode>
                <c:ptCount val="10"/>
                <c:pt idx="0">
                  <c:v>32.822766144000006</c:v>
                </c:pt>
                <c:pt idx="1">
                  <c:v>53.044366905600008</c:v>
                </c:pt>
                <c:pt idx="2">
                  <c:v>44.003188336459552</c:v>
                </c:pt>
              </c:numCache>
            </c:numRef>
          </c:val>
          <c:extLst>
            <c:ext xmlns:c16="http://schemas.microsoft.com/office/drawing/2014/chart" uri="{C3380CC4-5D6E-409C-BE32-E72D297353CC}">
              <c16:uniqueId val="{00000000-A8E3-DF4A-8D4B-164AE09F18C5}"/>
            </c:ext>
          </c:extLst>
        </c:ser>
        <c:ser>
          <c:idx val="1"/>
          <c:order val="1"/>
          <c:tx>
            <c:strRef>
              <c:f>Summary!$O$204</c:f>
              <c:strCache>
                <c:ptCount val="1"/>
                <c:pt idx="0">
                  <c:v>200G</c:v>
                </c:pt>
              </c:strCache>
            </c:strRef>
          </c:tx>
          <c:invertIfNegative val="0"/>
          <c:cat>
            <c:numRef>
              <c:f>Summary!$P$198:$Y$198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Summary!$P$204:$Y$204</c:f>
              <c:numCache>
                <c:formatCode>_("$"* #,##0_);_("$"* \(#,##0\);_("$"* "-"??_);_(@_)</c:formatCode>
                <c:ptCount val="10"/>
                <c:pt idx="0">
                  <c:v>0</c:v>
                </c:pt>
                <c:pt idx="1">
                  <c:v>0</c:v>
                </c:pt>
                <c:pt idx="2">
                  <c:v>0</c:v>
                </c:pt>
              </c:numCache>
            </c:numRef>
          </c:val>
          <c:extLst>
            <c:ext xmlns:c16="http://schemas.microsoft.com/office/drawing/2014/chart" uri="{C3380CC4-5D6E-409C-BE32-E72D297353CC}">
              <c16:uniqueId val="{00000001-A8E3-DF4A-8D4B-164AE09F18C5}"/>
            </c:ext>
          </c:extLst>
        </c:ser>
        <c:ser>
          <c:idx val="2"/>
          <c:order val="2"/>
          <c:tx>
            <c:strRef>
              <c:f>Summary!$O$205</c:f>
              <c:strCache>
                <c:ptCount val="1"/>
                <c:pt idx="0">
                  <c:v>400G</c:v>
                </c:pt>
              </c:strCache>
            </c:strRef>
          </c:tx>
          <c:invertIfNegative val="0"/>
          <c:cat>
            <c:numRef>
              <c:f>Summary!$P$198:$Y$198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Summary!$P$205:$Y$205</c:f>
              <c:numCache>
                <c:formatCode>_("$"* #,##0_);_("$"* \(#,##0\);_("$"* "-"??_);_(@_)</c:formatCode>
                <c:ptCount val="10"/>
                <c:pt idx="0">
                  <c:v>0</c:v>
                </c:pt>
                <c:pt idx="1">
                  <c:v>0</c:v>
                </c:pt>
                <c:pt idx="2">
                  <c:v>0</c:v>
                </c:pt>
              </c:numCache>
            </c:numRef>
          </c:val>
          <c:extLst>
            <c:ext xmlns:c16="http://schemas.microsoft.com/office/drawing/2014/chart" uri="{C3380CC4-5D6E-409C-BE32-E72D297353CC}">
              <c16:uniqueId val="{00000002-A8E3-DF4A-8D4B-164AE09F18C5}"/>
            </c:ext>
          </c:extLst>
        </c:ser>
        <c:ser>
          <c:idx val="3"/>
          <c:order val="3"/>
          <c:tx>
            <c:strRef>
              <c:f>Summary!$O$206</c:f>
              <c:strCache>
                <c:ptCount val="1"/>
                <c:pt idx="0">
                  <c:v>800G</c:v>
                </c:pt>
              </c:strCache>
            </c:strRef>
          </c:tx>
          <c:invertIfNegative val="0"/>
          <c:cat>
            <c:numRef>
              <c:f>Summary!$P$198:$Y$198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Summary!$P$206:$Y$206</c:f>
              <c:numCache>
                <c:formatCode>_("$"* #,##0_);_("$"* \(#,##0\);_("$"* "-"??_);_(@_)</c:formatCode>
                <c:ptCount val="10"/>
                <c:pt idx="0">
                  <c:v>0</c:v>
                </c:pt>
                <c:pt idx="1">
                  <c:v>0</c:v>
                </c:pt>
                <c:pt idx="2">
                  <c:v>0</c:v>
                </c:pt>
              </c:numCache>
            </c:numRef>
          </c:val>
          <c:extLst>
            <c:ext xmlns:c16="http://schemas.microsoft.com/office/drawing/2014/chart" uri="{C3380CC4-5D6E-409C-BE32-E72D297353CC}">
              <c16:uniqueId val="{00000003-A8E3-DF4A-8D4B-164AE09F18C5}"/>
            </c:ext>
          </c:extLst>
        </c:ser>
        <c:dLbls>
          <c:showLegendKey val="0"/>
          <c:showVal val="0"/>
          <c:showCatName val="0"/>
          <c:showSerName val="0"/>
          <c:showPercent val="0"/>
          <c:showBubbleSize val="0"/>
        </c:dLbls>
        <c:gapWidth val="150"/>
        <c:overlap val="100"/>
        <c:axId val="332500352"/>
        <c:axId val="332502144"/>
      </c:barChart>
      <c:catAx>
        <c:axId val="332500352"/>
        <c:scaling>
          <c:orientation val="minMax"/>
        </c:scaling>
        <c:delete val="0"/>
        <c:axPos val="b"/>
        <c:numFmt formatCode="General" sourceLinked="1"/>
        <c:majorTickMark val="out"/>
        <c:minorTickMark val="none"/>
        <c:tickLblPos val="nextTo"/>
        <c:crossAx val="332502144"/>
        <c:crosses val="autoZero"/>
        <c:auto val="1"/>
        <c:lblAlgn val="ctr"/>
        <c:lblOffset val="100"/>
        <c:noMultiLvlLbl val="0"/>
      </c:catAx>
      <c:valAx>
        <c:axId val="332502144"/>
        <c:scaling>
          <c:orientation val="minMax"/>
        </c:scaling>
        <c:delete val="0"/>
        <c:axPos val="l"/>
        <c:majorGridlines/>
        <c:title>
          <c:tx>
            <c:rich>
              <a:bodyPr rot="-5400000" vert="horz"/>
              <a:lstStyle/>
              <a:p>
                <a:pPr>
                  <a:defRPr sz="1200"/>
                </a:pPr>
                <a:r>
                  <a:rPr lang="en-US" sz="1200"/>
                  <a:t>Annual sales ($ mn)</a:t>
                </a:r>
              </a:p>
            </c:rich>
          </c:tx>
          <c:layout>
            <c:manualLayout>
              <c:xMode val="edge"/>
              <c:yMode val="edge"/>
              <c:x val="1.4630903549482386E-2"/>
              <c:y val="0.28375836628953693"/>
            </c:manualLayout>
          </c:layout>
          <c:overlay val="0"/>
        </c:title>
        <c:numFmt formatCode="_(&quot;$&quot;* #,##0_);_(&quot;$&quot;* \(#,##0\);_(&quot;$&quot;* &quot;-&quot;??_);_(@_)" sourceLinked="1"/>
        <c:majorTickMark val="out"/>
        <c:minorTickMark val="none"/>
        <c:tickLblPos val="nextTo"/>
        <c:crossAx val="332500352"/>
        <c:crosses val="autoZero"/>
        <c:crossBetween val="between"/>
      </c:valAx>
    </c:plotArea>
    <c:legend>
      <c:legendPos val="r"/>
      <c:layout>
        <c:manualLayout>
          <c:xMode val="edge"/>
          <c:yMode val="edge"/>
          <c:x val="0.21245814313468434"/>
          <c:y val="9.9835915265515981E-2"/>
          <c:w val="0.13863242366257683"/>
          <c:h val="0.43782118690988003"/>
        </c:manualLayout>
      </c:layout>
      <c:overlay val="0"/>
      <c:spPr>
        <a:solidFill>
          <a:schemeClr val="bg1"/>
        </a:solidFill>
        <a:ln>
          <a:solidFill>
            <a:schemeClr val="bg1">
              <a:lumMod val="50000"/>
            </a:schemeClr>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a:pPr>
            <a:r>
              <a:rPr lang="en-US"/>
              <a:t>Revenues ($ million)</a:t>
            </a:r>
          </a:p>
          <a:p>
            <a:pPr>
              <a:defRPr/>
            </a:pPr>
            <a:endParaRPr lang="en-US"/>
          </a:p>
        </c:rich>
      </c:tx>
      <c:overlay val="0"/>
    </c:title>
    <c:autoTitleDeleted val="0"/>
    <c:plotArea>
      <c:layout>
        <c:manualLayout>
          <c:layoutTarget val="inner"/>
          <c:xMode val="edge"/>
          <c:yMode val="edge"/>
          <c:x val="0.116231686635501"/>
          <c:y val="0.19959169376439101"/>
          <c:w val="0.81767818013574001"/>
          <c:h val="0.71232234350845103"/>
        </c:manualLayout>
      </c:layout>
      <c:barChart>
        <c:barDir val="col"/>
        <c:grouping val="clustered"/>
        <c:varyColors val="0"/>
        <c:ser>
          <c:idx val="1"/>
          <c:order val="0"/>
          <c:tx>
            <c:strRef>
              <c:f>Dashboard!$D$36</c:f>
              <c:strCache>
                <c:ptCount val="1"/>
                <c:pt idx="0">
                  <c:v>Revenues ($ million)</c:v>
                </c:pt>
              </c:strCache>
            </c:strRef>
          </c:tx>
          <c:invertIfNegative val="0"/>
          <c:cat>
            <c:numRef>
              <c:f>Dashboard!$E$28:$N$28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Dashboard!$E$36:$N$36</c:f>
              <c:numCache>
                <c:formatCode>_("$"* #,##0_);_("$"* \(#,##0\);_("$"* "-"??_);_(@_)</c:formatCode>
                <c:ptCount val="10"/>
                <c:pt idx="0">
                  <c:v>254.58226587697411</c:v>
                </c:pt>
                <c:pt idx="1">
                  <c:v>261.78257833354024</c:v>
                </c:pt>
                <c:pt idx="2">
                  <c:v>294.45540952831408</c:v>
                </c:pt>
              </c:numCache>
            </c:numRef>
          </c:val>
          <c:extLst>
            <c:ext xmlns:c16="http://schemas.microsoft.com/office/drawing/2014/chart" uri="{C3380CC4-5D6E-409C-BE32-E72D297353CC}">
              <c16:uniqueId val="{00000000-5427-2240-A33B-8EA47F997B57}"/>
            </c:ext>
          </c:extLst>
        </c:ser>
        <c:dLbls>
          <c:showLegendKey val="0"/>
          <c:showVal val="0"/>
          <c:showCatName val="0"/>
          <c:showSerName val="0"/>
          <c:showPercent val="0"/>
          <c:showBubbleSize val="0"/>
        </c:dLbls>
        <c:gapWidth val="150"/>
        <c:axId val="329889664"/>
        <c:axId val="329891200"/>
      </c:barChart>
      <c:catAx>
        <c:axId val="329889664"/>
        <c:scaling>
          <c:orientation val="minMax"/>
        </c:scaling>
        <c:delete val="0"/>
        <c:axPos val="b"/>
        <c:numFmt formatCode="General" sourceLinked="1"/>
        <c:majorTickMark val="out"/>
        <c:minorTickMark val="none"/>
        <c:tickLblPos val="nextTo"/>
        <c:crossAx val="329891200"/>
        <c:crosses val="autoZero"/>
        <c:auto val="1"/>
        <c:lblAlgn val="ctr"/>
        <c:lblOffset val="100"/>
        <c:noMultiLvlLbl val="0"/>
      </c:catAx>
      <c:valAx>
        <c:axId val="329891200"/>
        <c:scaling>
          <c:orientation val="minMax"/>
        </c:scaling>
        <c:delete val="0"/>
        <c:axPos val="l"/>
        <c:majorGridlines/>
        <c:numFmt formatCode="_(&quot;$&quot;* #,##0_);_(&quot;$&quot;* \(#,##0\);_(&quot;$&quot;* &quot;-&quot;??_);_(@_)" sourceLinked="1"/>
        <c:majorTickMark val="out"/>
        <c:minorTickMark val="none"/>
        <c:tickLblPos val="nextTo"/>
        <c:crossAx val="329889664"/>
        <c:crosses val="autoZero"/>
        <c:crossBetween val="between"/>
      </c:valAx>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9254304251129"/>
          <c:y val="0.1279618728779639"/>
          <c:w val="0.8134438396571384"/>
          <c:h val="0.74834437606863591"/>
        </c:manualLayout>
      </c:layout>
      <c:barChart>
        <c:barDir val="col"/>
        <c:grouping val="stacked"/>
        <c:varyColors val="0"/>
        <c:ser>
          <c:idx val="0"/>
          <c:order val="0"/>
          <c:tx>
            <c:strRef>
              <c:f>Summary!$B$118</c:f>
              <c:strCache>
                <c:ptCount val="1"/>
                <c:pt idx="0">
                  <c:v>100G AOCs</c:v>
                </c:pt>
              </c:strCache>
            </c:strRef>
          </c:tx>
          <c:invertIfNegative val="0"/>
          <c:cat>
            <c:numRef>
              <c:f>Summary!$C$112:$L$112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Summary!$C$118:$L$118</c:f>
              <c:numCache>
                <c:formatCode>_("$"* #,##0_);_("$"* \(#,##0\);_("$"* "-"??_);_(@_)</c:formatCode>
                <c:ptCount val="10"/>
                <c:pt idx="0">
                  <c:v>67.2</c:v>
                </c:pt>
                <c:pt idx="1">
                  <c:v>53.504848000000003</c:v>
                </c:pt>
                <c:pt idx="2">
                  <c:v>44.266548524645216</c:v>
                </c:pt>
              </c:numCache>
            </c:numRef>
          </c:val>
          <c:extLst>
            <c:ext xmlns:c16="http://schemas.microsoft.com/office/drawing/2014/chart" uri="{C3380CC4-5D6E-409C-BE32-E72D297353CC}">
              <c16:uniqueId val="{00000000-8E96-5B48-8C19-B0BF6310714B}"/>
            </c:ext>
          </c:extLst>
        </c:ser>
        <c:ser>
          <c:idx val="3"/>
          <c:order val="1"/>
          <c:tx>
            <c:strRef>
              <c:f>Summary!$B$121</c:f>
              <c:strCache>
                <c:ptCount val="1"/>
                <c:pt idx="0">
                  <c:v>200G AOCs</c:v>
                </c:pt>
              </c:strCache>
            </c:strRef>
          </c:tx>
          <c:spPr>
            <a:solidFill>
              <a:srgbClr val="00B050"/>
            </a:solidFill>
          </c:spPr>
          <c:invertIfNegative val="0"/>
          <c:cat>
            <c:numRef>
              <c:f>Summary!$C$112:$L$112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Summary!$C$121:$L$121</c:f>
              <c:numCache>
                <c:formatCode>_("$"* #,##0_);_("$"* \(#,##0\);_("$"* "-"??_);_(@_)</c:formatCode>
                <c:ptCount val="10"/>
                <c:pt idx="0">
                  <c:v>0</c:v>
                </c:pt>
                <c:pt idx="1">
                  <c:v>0</c:v>
                </c:pt>
                <c:pt idx="2">
                  <c:v>0</c:v>
                </c:pt>
              </c:numCache>
            </c:numRef>
          </c:val>
          <c:extLst>
            <c:ext xmlns:c16="http://schemas.microsoft.com/office/drawing/2014/chart" uri="{C3380CC4-5D6E-409C-BE32-E72D297353CC}">
              <c16:uniqueId val="{00000003-8E96-5B48-8C19-B0BF6310714B}"/>
            </c:ext>
          </c:extLst>
        </c:ser>
        <c:ser>
          <c:idx val="4"/>
          <c:order val="2"/>
          <c:tx>
            <c:strRef>
              <c:f>Summary!$B$122</c:f>
              <c:strCache>
                <c:ptCount val="1"/>
                <c:pt idx="0">
                  <c:v>400G AOCs</c:v>
                </c:pt>
              </c:strCache>
            </c:strRef>
          </c:tx>
          <c:spPr>
            <a:solidFill>
              <a:srgbClr val="FFC000"/>
            </a:solidFill>
          </c:spPr>
          <c:invertIfNegative val="0"/>
          <c:cat>
            <c:numRef>
              <c:f>Summary!$C$112:$L$112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Summary!$C$122:$L$122</c:f>
              <c:numCache>
                <c:formatCode>_("$"* #,##0_);_("$"* \(#,##0\);_("$"* "-"??_);_(@_)</c:formatCode>
                <c:ptCount val="10"/>
                <c:pt idx="0">
                  <c:v>0</c:v>
                </c:pt>
                <c:pt idx="1">
                  <c:v>0</c:v>
                </c:pt>
                <c:pt idx="2">
                  <c:v>0</c:v>
                </c:pt>
              </c:numCache>
            </c:numRef>
          </c:val>
          <c:extLst>
            <c:ext xmlns:c16="http://schemas.microsoft.com/office/drawing/2014/chart" uri="{C3380CC4-5D6E-409C-BE32-E72D297353CC}">
              <c16:uniqueId val="{00000005-8E96-5B48-8C19-B0BF6310714B}"/>
            </c:ext>
          </c:extLst>
        </c:ser>
        <c:ser>
          <c:idx val="7"/>
          <c:order val="3"/>
          <c:tx>
            <c:strRef>
              <c:f>Summary!$B$125</c:f>
              <c:strCache>
                <c:ptCount val="1"/>
                <c:pt idx="0">
                  <c:v>800G AOCs</c:v>
                </c:pt>
              </c:strCache>
            </c:strRef>
          </c:tx>
          <c:spPr>
            <a:solidFill>
              <a:srgbClr val="FF0000"/>
            </a:solidFill>
          </c:spPr>
          <c:invertIfNegative val="0"/>
          <c:cat>
            <c:numRef>
              <c:f>Summary!$C$112:$L$112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Summary!$C$125:$L$125</c:f>
              <c:numCache>
                <c:formatCode>_(* #,##0_);_(* \(#,##0\);_(* "-"??_);_(@_)</c:formatCode>
                <c:ptCount val="10"/>
                <c:pt idx="0">
                  <c:v>0</c:v>
                </c:pt>
                <c:pt idx="1">
                  <c:v>0</c:v>
                </c:pt>
                <c:pt idx="2">
                  <c:v>0</c:v>
                </c:pt>
              </c:numCache>
            </c:numRef>
          </c:val>
          <c:extLst>
            <c:ext xmlns:c16="http://schemas.microsoft.com/office/drawing/2014/chart" uri="{C3380CC4-5D6E-409C-BE32-E72D297353CC}">
              <c16:uniqueId val="{00000008-8E96-5B48-8C19-B0BF6310714B}"/>
            </c:ext>
          </c:extLst>
        </c:ser>
        <c:dLbls>
          <c:showLegendKey val="0"/>
          <c:showVal val="0"/>
          <c:showCatName val="0"/>
          <c:showSerName val="0"/>
          <c:showPercent val="0"/>
          <c:showBubbleSize val="0"/>
        </c:dLbls>
        <c:gapWidth val="150"/>
        <c:overlap val="100"/>
        <c:axId val="332604928"/>
        <c:axId val="332606464"/>
      </c:barChart>
      <c:catAx>
        <c:axId val="332604928"/>
        <c:scaling>
          <c:orientation val="minMax"/>
        </c:scaling>
        <c:delete val="0"/>
        <c:axPos val="b"/>
        <c:numFmt formatCode="General" sourceLinked="1"/>
        <c:majorTickMark val="out"/>
        <c:minorTickMark val="none"/>
        <c:tickLblPos val="nextTo"/>
        <c:txPr>
          <a:bodyPr/>
          <a:lstStyle/>
          <a:p>
            <a:pPr>
              <a:defRPr sz="1200"/>
            </a:pPr>
            <a:endParaRPr lang="en-US"/>
          </a:p>
        </c:txPr>
        <c:crossAx val="332606464"/>
        <c:crosses val="autoZero"/>
        <c:auto val="1"/>
        <c:lblAlgn val="ctr"/>
        <c:lblOffset val="100"/>
        <c:noMultiLvlLbl val="0"/>
      </c:catAx>
      <c:valAx>
        <c:axId val="332606464"/>
        <c:scaling>
          <c:orientation val="minMax"/>
        </c:scaling>
        <c:delete val="0"/>
        <c:axPos val="l"/>
        <c:majorGridlines/>
        <c:title>
          <c:tx>
            <c:rich>
              <a:bodyPr rot="-5400000" vert="horz"/>
              <a:lstStyle/>
              <a:p>
                <a:pPr>
                  <a:defRPr sz="1600" b="0"/>
                </a:pPr>
                <a:r>
                  <a:rPr lang="en-US" sz="1600" b="0"/>
                  <a:t>Annual revenues ($ mn)</a:t>
                </a:r>
              </a:p>
            </c:rich>
          </c:tx>
          <c:layout>
            <c:manualLayout>
              <c:xMode val="edge"/>
              <c:yMode val="edge"/>
              <c:x val="1.3013670467168264E-2"/>
              <c:y val="0.21406770079979873"/>
            </c:manualLayout>
          </c:layout>
          <c:overlay val="0"/>
        </c:title>
        <c:numFmt formatCode="_(&quot;$&quot;* #,##0_);_(&quot;$&quot;* \(#,##0\);_(&quot;$&quot;* &quot;-&quot;??_);_(@_)" sourceLinked="1"/>
        <c:majorTickMark val="out"/>
        <c:minorTickMark val="none"/>
        <c:tickLblPos val="nextTo"/>
        <c:txPr>
          <a:bodyPr/>
          <a:lstStyle/>
          <a:p>
            <a:pPr>
              <a:defRPr sz="1200"/>
            </a:pPr>
            <a:endParaRPr lang="en-US"/>
          </a:p>
        </c:txPr>
        <c:crossAx val="332604928"/>
        <c:crosses val="autoZero"/>
        <c:crossBetween val="between"/>
      </c:valAx>
    </c:plotArea>
    <c:legend>
      <c:legendPos val="t"/>
      <c:layout>
        <c:manualLayout>
          <c:xMode val="edge"/>
          <c:yMode val="edge"/>
          <c:x val="0.17810714637320163"/>
          <c:y val="2.6311584451914727E-2"/>
          <c:w val="0.75049918091925372"/>
          <c:h val="8.0845218060804663E-2"/>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05226838909547"/>
          <c:y val="8.5632531735117881E-2"/>
          <c:w val="0.79364496856189126"/>
          <c:h val="0.81536567704964158"/>
        </c:manualLayout>
      </c:layout>
      <c:barChart>
        <c:barDir val="col"/>
        <c:grouping val="stacked"/>
        <c:varyColors val="0"/>
        <c:ser>
          <c:idx val="0"/>
          <c:order val="0"/>
          <c:tx>
            <c:v>100G DAC/ACC/AECs</c:v>
          </c:tx>
          <c:invertIfNegative val="0"/>
          <c:cat>
            <c:numRef>
              <c:f>Summary!$C$112:$L$112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Summary!$C$120:$L$120</c:f>
              <c:numCache>
                <c:formatCode>_("$"* #,##0_);_("$"* \(#,##0\);_("$"* "-"??_);_(@_)</c:formatCode>
                <c:ptCount val="10"/>
                <c:pt idx="0">
                  <c:v>32.822766144000006</c:v>
                </c:pt>
                <c:pt idx="1">
                  <c:v>53.044366905600008</c:v>
                </c:pt>
                <c:pt idx="2">
                  <c:v>44.003188336459552</c:v>
                </c:pt>
              </c:numCache>
            </c:numRef>
          </c:val>
          <c:extLst>
            <c:ext xmlns:c16="http://schemas.microsoft.com/office/drawing/2014/chart" uri="{C3380CC4-5D6E-409C-BE32-E72D297353CC}">
              <c16:uniqueId val="{00000000-E20E-B245-9475-45784E5C6258}"/>
            </c:ext>
          </c:extLst>
        </c:ser>
        <c:ser>
          <c:idx val="3"/>
          <c:order val="1"/>
          <c:tx>
            <c:v>200G DAC/ACC/AECs</c:v>
          </c:tx>
          <c:spPr>
            <a:solidFill>
              <a:srgbClr val="00B050"/>
            </a:solidFill>
          </c:spPr>
          <c:invertIfNegative val="0"/>
          <c:cat>
            <c:numRef>
              <c:f>Summary!$C$112:$L$112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Summary!$C$123:$L$123</c:f>
              <c:numCache>
                <c:formatCode>_("$"* #,##0_);_("$"* \(#,##0\);_("$"* "-"??_);_(@_)</c:formatCode>
                <c:ptCount val="10"/>
                <c:pt idx="0">
                  <c:v>0</c:v>
                </c:pt>
                <c:pt idx="1">
                  <c:v>0</c:v>
                </c:pt>
                <c:pt idx="2">
                  <c:v>0</c:v>
                </c:pt>
              </c:numCache>
            </c:numRef>
          </c:val>
          <c:extLst>
            <c:ext xmlns:c16="http://schemas.microsoft.com/office/drawing/2014/chart" uri="{C3380CC4-5D6E-409C-BE32-E72D297353CC}">
              <c16:uniqueId val="{00000001-E20E-B245-9475-45784E5C6258}"/>
            </c:ext>
          </c:extLst>
        </c:ser>
        <c:ser>
          <c:idx val="4"/>
          <c:order val="2"/>
          <c:tx>
            <c:v>400G DAC/ACC/AECs</c:v>
          </c:tx>
          <c:spPr>
            <a:solidFill>
              <a:srgbClr val="FFC000"/>
            </a:solidFill>
          </c:spPr>
          <c:invertIfNegative val="0"/>
          <c:cat>
            <c:numRef>
              <c:f>Summary!$C$112:$L$112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Summary!$C$124:$L$124</c:f>
              <c:numCache>
                <c:formatCode>_("$"* #,##0_);_("$"* \(#,##0\);_("$"* "-"??_);_(@_)</c:formatCode>
                <c:ptCount val="10"/>
                <c:pt idx="0">
                  <c:v>0</c:v>
                </c:pt>
                <c:pt idx="1">
                  <c:v>0</c:v>
                </c:pt>
                <c:pt idx="2">
                  <c:v>0</c:v>
                </c:pt>
              </c:numCache>
            </c:numRef>
          </c:val>
          <c:extLst>
            <c:ext xmlns:c16="http://schemas.microsoft.com/office/drawing/2014/chart" uri="{C3380CC4-5D6E-409C-BE32-E72D297353CC}">
              <c16:uniqueId val="{00000002-E20E-B245-9475-45784E5C6258}"/>
            </c:ext>
          </c:extLst>
        </c:ser>
        <c:ser>
          <c:idx val="7"/>
          <c:order val="3"/>
          <c:tx>
            <c:v>800G DAC/ACC/AECs</c:v>
          </c:tx>
          <c:spPr>
            <a:solidFill>
              <a:srgbClr val="FF0000"/>
            </a:solidFill>
          </c:spPr>
          <c:invertIfNegative val="0"/>
          <c:cat>
            <c:numRef>
              <c:f>Summary!$C$112:$L$112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Summary!$C$126:$L$126</c:f>
              <c:numCache>
                <c:formatCode>_("$"* #,##0_);_("$"* \(#,##0\);_("$"* "-"??_);_(@_)</c:formatCode>
                <c:ptCount val="10"/>
                <c:pt idx="0">
                  <c:v>0</c:v>
                </c:pt>
                <c:pt idx="1">
                  <c:v>0</c:v>
                </c:pt>
                <c:pt idx="2">
                  <c:v>0</c:v>
                </c:pt>
              </c:numCache>
            </c:numRef>
          </c:val>
          <c:extLst>
            <c:ext xmlns:c16="http://schemas.microsoft.com/office/drawing/2014/chart" uri="{C3380CC4-5D6E-409C-BE32-E72D297353CC}">
              <c16:uniqueId val="{00000003-E20E-B245-9475-45784E5C6258}"/>
            </c:ext>
          </c:extLst>
        </c:ser>
        <c:dLbls>
          <c:showLegendKey val="0"/>
          <c:showVal val="0"/>
          <c:showCatName val="0"/>
          <c:showSerName val="0"/>
          <c:showPercent val="0"/>
          <c:showBubbleSize val="0"/>
        </c:dLbls>
        <c:gapWidth val="150"/>
        <c:overlap val="100"/>
        <c:axId val="332706560"/>
        <c:axId val="332708096"/>
      </c:barChart>
      <c:catAx>
        <c:axId val="332706560"/>
        <c:scaling>
          <c:orientation val="minMax"/>
        </c:scaling>
        <c:delete val="0"/>
        <c:axPos val="b"/>
        <c:numFmt formatCode="General" sourceLinked="1"/>
        <c:majorTickMark val="out"/>
        <c:minorTickMark val="none"/>
        <c:tickLblPos val="nextTo"/>
        <c:txPr>
          <a:bodyPr/>
          <a:lstStyle/>
          <a:p>
            <a:pPr>
              <a:defRPr sz="1200"/>
            </a:pPr>
            <a:endParaRPr lang="en-US"/>
          </a:p>
        </c:txPr>
        <c:crossAx val="332708096"/>
        <c:crosses val="autoZero"/>
        <c:auto val="1"/>
        <c:lblAlgn val="ctr"/>
        <c:lblOffset val="100"/>
        <c:noMultiLvlLbl val="0"/>
      </c:catAx>
      <c:valAx>
        <c:axId val="332708096"/>
        <c:scaling>
          <c:orientation val="minMax"/>
        </c:scaling>
        <c:delete val="0"/>
        <c:axPos val="l"/>
        <c:majorGridlines/>
        <c:title>
          <c:tx>
            <c:rich>
              <a:bodyPr rot="-5400000" vert="horz"/>
              <a:lstStyle/>
              <a:p>
                <a:pPr>
                  <a:defRPr sz="1600" b="0"/>
                </a:pPr>
                <a:r>
                  <a:rPr lang="en-US" sz="1600" b="0"/>
                  <a:t>Annual revenues ($ mn)</a:t>
                </a:r>
              </a:p>
            </c:rich>
          </c:tx>
          <c:layout>
            <c:manualLayout>
              <c:xMode val="edge"/>
              <c:yMode val="edge"/>
              <c:x val="1.3013670467168264E-2"/>
              <c:y val="0.21406770079979873"/>
            </c:manualLayout>
          </c:layout>
          <c:overlay val="0"/>
        </c:title>
        <c:numFmt formatCode="_(&quot;$&quot;* #,##0_);_(&quot;$&quot;* \(#,##0\);_(&quot;$&quot;* &quot;-&quot;??_);_(@_)" sourceLinked="1"/>
        <c:majorTickMark val="out"/>
        <c:minorTickMark val="none"/>
        <c:tickLblPos val="nextTo"/>
        <c:txPr>
          <a:bodyPr/>
          <a:lstStyle/>
          <a:p>
            <a:pPr>
              <a:defRPr sz="1200"/>
            </a:pPr>
            <a:endParaRPr lang="en-US"/>
          </a:p>
        </c:txPr>
        <c:crossAx val="332706560"/>
        <c:crosses val="autoZero"/>
        <c:crossBetween val="between"/>
      </c:valAx>
    </c:plotArea>
    <c:legend>
      <c:legendPos val="t"/>
      <c:layout>
        <c:manualLayout>
          <c:xMode val="edge"/>
          <c:yMode val="edge"/>
          <c:x val="0.19196639867001491"/>
          <c:y val="0.11097007540102363"/>
          <c:w val="0.33682053245548998"/>
          <c:h val="0.47239059324526594"/>
        </c:manualLayout>
      </c:layout>
      <c:overlay val="0"/>
      <c:spPr>
        <a:solidFill>
          <a:schemeClr val="bg1"/>
        </a:solidFill>
        <a:ln>
          <a:solidFill>
            <a:schemeClr val="bg1">
              <a:lumMod val="50000"/>
            </a:schemeClr>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b="1">
                <a:effectLst/>
              </a:rPr>
              <a:t> AOCs by Application</a:t>
            </a:r>
            <a:r>
              <a:rPr lang="en-US" sz="1800" b="1" baseline="0">
                <a:effectLst/>
              </a:rPr>
              <a:t> Segment (excluding 10/25G)</a:t>
            </a:r>
            <a:endParaRPr lang="en-US" sz="1800">
              <a:effectLst/>
            </a:endParaRPr>
          </a:p>
        </c:rich>
      </c:tx>
      <c:layout>
        <c:manualLayout>
          <c:xMode val="edge"/>
          <c:yMode val="edge"/>
          <c:x val="0.26659673647254239"/>
          <c:y val="3.1583692350893792E-3"/>
        </c:manualLayout>
      </c:layout>
      <c:overlay val="0"/>
    </c:title>
    <c:autoTitleDeleted val="0"/>
    <c:plotArea>
      <c:layout>
        <c:manualLayout>
          <c:layoutTarget val="inner"/>
          <c:xMode val="edge"/>
          <c:yMode val="edge"/>
          <c:x val="0.18186269622181353"/>
          <c:y val="0.10138284785805141"/>
          <c:w val="0.6054578575696552"/>
          <c:h val="0.78027327088740883"/>
        </c:manualLayout>
      </c:layout>
      <c:barChart>
        <c:barDir val="col"/>
        <c:grouping val="stacked"/>
        <c:varyColors val="0"/>
        <c:ser>
          <c:idx val="0"/>
          <c:order val="0"/>
          <c:tx>
            <c:strRef>
              <c:f>Summary!$B$171</c:f>
              <c:strCache>
                <c:ptCount val="1"/>
                <c:pt idx="0">
                  <c:v>HPC &amp; AI Clusters</c:v>
                </c:pt>
              </c:strCache>
            </c:strRef>
          </c:tx>
          <c:invertIfNegative val="0"/>
          <c:cat>
            <c:numRef>
              <c:f>Summary!$D$170:$M$170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Summary!$D$171:$M$171</c:f>
              <c:numCache>
                <c:formatCode>_(* #,##0_);_(* \(#,##0\);_(* "-"??_);_(@_)</c:formatCode>
                <c:ptCount val="10"/>
                <c:pt idx="0">
                  <c:v>337856.26539750211</c:v>
                </c:pt>
                <c:pt idx="1">
                  <c:v>275841.05499512912</c:v>
                </c:pt>
                <c:pt idx="2">
                  <c:v>214870.97089959428</c:v>
                </c:pt>
              </c:numCache>
            </c:numRef>
          </c:val>
          <c:extLst>
            <c:ext xmlns:c16="http://schemas.microsoft.com/office/drawing/2014/chart" uri="{C3380CC4-5D6E-409C-BE32-E72D297353CC}">
              <c16:uniqueId val="{00000000-CDD9-C944-88E8-B5447B318530}"/>
            </c:ext>
          </c:extLst>
        </c:ser>
        <c:ser>
          <c:idx val="1"/>
          <c:order val="1"/>
          <c:tx>
            <c:strRef>
              <c:f>Summary!$B$172</c:f>
              <c:strCache>
                <c:ptCount val="1"/>
                <c:pt idx="0">
                  <c:v>Core Routing &amp; Optical Transport</c:v>
                </c:pt>
              </c:strCache>
            </c:strRef>
          </c:tx>
          <c:invertIfNegative val="0"/>
          <c:cat>
            <c:numRef>
              <c:f>Summary!$D$170:$M$170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Summary!$D$172:$M$172</c:f>
              <c:numCache>
                <c:formatCode>_(* #,##0_);_(* \(#,##0\);_(* "-"??_);_(@_)</c:formatCode>
                <c:ptCount val="10"/>
                <c:pt idx="0">
                  <c:v>86380.119124785328</c:v>
                </c:pt>
                <c:pt idx="1">
                  <c:v>92216.575004870916</c:v>
                </c:pt>
                <c:pt idx="2">
                  <c:v>82998.254100405713</c:v>
                </c:pt>
              </c:numCache>
            </c:numRef>
          </c:val>
          <c:extLst>
            <c:ext xmlns:c16="http://schemas.microsoft.com/office/drawing/2014/chart" uri="{C3380CC4-5D6E-409C-BE32-E72D297353CC}">
              <c16:uniqueId val="{00000001-CDD9-C944-88E8-B5447B318530}"/>
            </c:ext>
          </c:extLst>
        </c:ser>
        <c:ser>
          <c:idx val="2"/>
          <c:order val="2"/>
          <c:tx>
            <c:strRef>
              <c:f>Summary!$B$173</c:f>
              <c:strCache>
                <c:ptCount val="1"/>
                <c:pt idx="0">
                  <c:v>Cloud (Datacenter) (except 10/25G)</c:v>
                </c:pt>
              </c:strCache>
            </c:strRef>
          </c:tx>
          <c:invertIfNegative val="0"/>
          <c:cat>
            <c:numRef>
              <c:f>Summary!$D$170:$M$170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Summary!$D$173:$M$173</c:f>
              <c:numCache>
                <c:formatCode>_(* #,##0_);_(* \(#,##0\);_(* "-"??_);_(@_)</c:formatCode>
                <c:ptCount val="10"/>
                <c:pt idx="0">
                  <c:v>428971.97262056964</c:v>
                </c:pt>
                <c:pt idx="1">
                  <c:v>355441.37000000011</c:v>
                </c:pt>
                <c:pt idx="2">
                  <c:v>517152.77500000037</c:v>
                </c:pt>
              </c:numCache>
            </c:numRef>
          </c:val>
          <c:extLst>
            <c:ext xmlns:c16="http://schemas.microsoft.com/office/drawing/2014/chart" uri="{C3380CC4-5D6E-409C-BE32-E72D297353CC}">
              <c16:uniqueId val="{00000002-CDD9-C944-88E8-B5447B318530}"/>
            </c:ext>
          </c:extLst>
        </c:ser>
        <c:dLbls>
          <c:showLegendKey val="0"/>
          <c:showVal val="0"/>
          <c:showCatName val="0"/>
          <c:showSerName val="0"/>
          <c:showPercent val="0"/>
          <c:showBubbleSize val="0"/>
        </c:dLbls>
        <c:gapWidth val="150"/>
        <c:overlap val="100"/>
        <c:axId val="329693440"/>
        <c:axId val="329695232"/>
      </c:barChart>
      <c:catAx>
        <c:axId val="329693440"/>
        <c:scaling>
          <c:orientation val="minMax"/>
        </c:scaling>
        <c:delete val="0"/>
        <c:axPos val="b"/>
        <c:numFmt formatCode="General" sourceLinked="1"/>
        <c:majorTickMark val="out"/>
        <c:minorTickMark val="none"/>
        <c:tickLblPos val="nextTo"/>
        <c:txPr>
          <a:bodyPr/>
          <a:lstStyle/>
          <a:p>
            <a:pPr>
              <a:defRPr sz="1400"/>
            </a:pPr>
            <a:endParaRPr lang="en-US"/>
          </a:p>
        </c:txPr>
        <c:crossAx val="329695232"/>
        <c:crosses val="autoZero"/>
        <c:auto val="1"/>
        <c:lblAlgn val="ctr"/>
        <c:lblOffset val="100"/>
        <c:noMultiLvlLbl val="0"/>
      </c:catAx>
      <c:valAx>
        <c:axId val="329695232"/>
        <c:scaling>
          <c:orientation val="minMax"/>
        </c:scaling>
        <c:delete val="0"/>
        <c:axPos val="l"/>
        <c:majorGridlines/>
        <c:title>
          <c:tx>
            <c:rich>
              <a:bodyPr rot="-5400000" vert="horz"/>
              <a:lstStyle/>
              <a:p>
                <a:pPr>
                  <a:defRPr sz="1600" b="0"/>
                </a:pPr>
                <a:r>
                  <a:rPr lang="en-US" sz="1600" b="0"/>
                  <a:t>Annual</a:t>
                </a:r>
                <a:r>
                  <a:rPr lang="en-US" sz="1600" b="0" baseline="0"/>
                  <a:t> shipments</a:t>
                </a:r>
                <a:endParaRPr lang="en-US" sz="1600" b="0"/>
              </a:p>
            </c:rich>
          </c:tx>
          <c:layout>
            <c:manualLayout>
              <c:xMode val="edge"/>
              <c:yMode val="edge"/>
              <c:x val="5.4102771530839403E-4"/>
              <c:y val="0.24588943116166787"/>
            </c:manualLayout>
          </c:layout>
          <c:overlay val="0"/>
        </c:title>
        <c:numFmt formatCode="_(* #,##0_);_(* \(#,##0\);_(* &quot;-&quot;??_);_(@_)" sourceLinked="1"/>
        <c:majorTickMark val="out"/>
        <c:minorTickMark val="none"/>
        <c:tickLblPos val="nextTo"/>
        <c:txPr>
          <a:bodyPr/>
          <a:lstStyle/>
          <a:p>
            <a:pPr>
              <a:defRPr sz="1400"/>
            </a:pPr>
            <a:endParaRPr lang="en-US"/>
          </a:p>
        </c:txPr>
        <c:crossAx val="329693440"/>
        <c:crosses val="autoZero"/>
        <c:crossBetween val="between"/>
      </c:valAx>
    </c:plotArea>
    <c:legend>
      <c:legendPos val="r"/>
      <c:layout>
        <c:manualLayout>
          <c:xMode val="edge"/>
          <c:yMode val="edge"/>
          <c:x val="0.79317484900210522"/>
          <c:y val="0.23879730042825431"/>
          <c:w val="0.19848754864865042"/>
          <c:h val="0.53597291459577423"/>
        </c:manualLayout>
      </c:layout>
      <c:overlay val="0"/>
      <c:spPr>
        <a:solidFill>
          <a:schemeClr val="bg1"/>
        </a:solidFill>
        <a:ln>
          <a:solidFill>
            <a:sysClr val="windowText" lastClr="000000"/>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2020</a:t>
            </a:r>
          </a:p>
        </c:rich>
      </c:tx>
      <c:overlay val="0"/>
    </c:title>
    <c:autoTitleDeleted val="0"/>
    <c:plotArea>
      <c:layout>
        <c:manualLayout>
          <c:layoutTarget val="inner"/>
          <c:xMode val="edge"/>
          <c:yMode val="edge"/>
          <c:x val="0.21871928886786579"/>
          <c:y val="0.13367081155002739"/>
          <c:w val="0.486864158866049"/>
          <c:h val="0.76093462958753622"/>
        </c:manualLayout>
      </c:layout>
      <c:pieChart>
        <c:varyColors val="1"/>
        <c:ser>
          <c:idx val="0"/>
          <c:order val="0"/>
          <c:dLbls>
            <c:spPr>
              <a:noFill/>
              <a:ln>
                <a:noFill/>
              </a:ln>
              <a:effectLst/>
            </c:spPr>
            <c:txPr>
              <a:bodyPr/>
              <a:lstStyle/>
              <a:p>
                <a:pPr>
                  <a:defRPr sz="1200"/>
                </a:pPr>
                <a:endParaRPr lang="en-US"/>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Summary!$B$171:$B$173</c:f>
              <c:strCache>
                <c:ptCount val="3"/>
                <c:pt idx="0">
                  <c:v>HPC &amp; AI Clusters</c:v>
                </c:pt>
                <c:pt idx="1">
                  <c:v>Core Routing &amp; Optical Transport</c:v>
                </c:pt>
                <c:pt idx="2">
                  <c:v>Cloud (Datacenter) (except 10/25G)</c:v>
                </c:pt>
              </c:strCache>
            </c:strRef>
          </c:cat>
          <c:val>
            <c:numRef>
              <c:f>Summary!$H$171:$H$173</c:f>
              <c:numCache>
                <c:formatCode>_(* #,##0_);_(* \(#,##0\);_(* "-"??_);_(@_)</c:formatCode>
                <c:ptCount val="3"/>
              </c:numCache>
            </c:numRef>
          </c:val>
          <c:extLst>
            <c:ext xmlns:c16="http://schemas.microsoft.com/office/drawing/2014/chart" uri="{C3380CC4-5D6E-409C-BE32-E72D297353CC}">
              <c16:uniqueId val="{00000000-EA9C-5E44-850C-7204F1703FAC}"/>
            </c:ext>
          </c:extLst>
        </c:ser>
        <c:dLbls>
          <c:showLegendKey val="0"/>
          <c:showVal val="1"/>
          <c:showCatName val="0"/>
          <c:showSerName val="0"/>
          <c:showPercent val="0"/>
          <c:showBubbleSize val="0"/>
          <c:showLeaderLines val="1"/>
        </c:dLbls>
        <c:firstSliceAng val="69"/>
      </c:pieChart>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2025</a:t>
            </a:r>
          </a:p>
        </c:rich>
      </c:tx>
      <c:overlay val="0"/>
    </c:title>
    <c:autoTitleDeleted val="0"/>
    <c:plotArea>
      <c:layout>
        <c:manualLayout>
          <c:layoutTarget val="inner"/>
          <c:xMode val="edge"/>
          <c:yMode val="edge"/>
          <c:x val="8.6104478538228113E-2"/>
          <c:y val="0.17152997991526403"/>
          <c:w val="0.42255394159924303"/>
          <c:h val="0.7230754612222996"/>
        </c:manualLayout>
      </c:layout>
      <c:pieChart>
        <c:varyColors val="1"/>
        <c:ser>
          <c:idx val="0"/>
          <c:order val="0"/>
          <c:dLbls>
            <c:spPr>
              <a:noFill/>
              <a:ln>
                <a:noFill/>
              </a:ln>
              <a:effectLst/>
            </c:spPr>
            <c:txPr>
              <a:bodyPr/>
              <a:lstStyle/>
              <a:p>
                <a:pPr>
                  <a:defRPr sz="1200"/>
                </a:pPr>
                <a:endParaRPr lang="en-US"/>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Summary!$B$171:$B$173</c:f>
              <c:strCache>
                <c:ptCount val="3"/>
                <c:pt idx="0">
                  <c:v>HPC &amp; AI Clusters</c:v>
                </c:pt>
                <c:pt idx="1">
                  <c:v>Core Routing &amp; Optical Transport</c:v>
                </c:pt>
                <c:pt idx="2">
                  <c:v>Cloud (Datacenter) (except 10/25G)</c:v>
                </c:pt>
              </c:strCache>
            </c:strRef>
          </c:cat>
          <c:val>
            <c:numRef>
              <c:f>Summary!$M$171:$M$173</c:f>
              <c:numCache>
                <c:formatCode>_(* #,##0_);_(* \(#,##0\);_(* "-"??_);_(@_)</c:formatCode>
                <c:ptCount val="3"/>
              </c:numCache>
            </c:numRef>
          </c:val>
          <c:extLst>
            <c:ext xmlns:c16="http://schemas.microsoft.com/office/drawing/2014/chart" uri="{C3380CC4-5D6E-409C-BE32-E72D297353CC}">
              <c16:uniqueId val="{00000000-6D6A-2F43-AC52-157206C29462}"/>
            </c:ext>
          </c:extLst>
        </c:ser>
        <c:dLbls>
          <c:showLegendKey val="0"/>
          <c:showVal val="1"/>
          <c:showCatName val="0"/>
          <c:showSerName val="0"/>
          <c:showPercent val="0"/>
          <c:showBubbleSize val="0"/>
          <c:showLeaderLines val="1"/>
        </c:dLbls>
        <c:firstSliceAng val="70"/>
      </c:pieChart>
    </c:plotArea>
    <c:legend>
      <c:legendPos val="r"/>
      <c:layout>
        <c:manualLayout>
          <c:xMode val="edge"/>
          <c:yMode val="edge"/>
          <c:x val="0.59668896616330425"/>
          <c:y val="0.15025707748010464"/>
          <c:w val="0.38272213623821"/>
          <c:h val="0.78560488638661019"/>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636415535685686"/>
          <c:y val="0.1279618728779639"/>
          <c:w val="0.76617234448975857"/>
          <c:h val="0.74834437606863591"/>
        </c:manualLayout>
      </c:layout>
      <c:lineChart>
        <c:grouping val="standard"/>
        <c:varyColors val="0"/>
        <c:ser>
          <c:idx val="0"/>
          <c:order val="0"/>
          <c:tx>
            <c:strRef>
              <c:f>Summary!$B$76</c:f>
              <c:strCache>
                <c:ptCount val="1"/>
                <c:pt idx="0">
                  <c:v> 10G AOCs </c:v>
                </c:pt>
              </c:strCache>
            </c:strRef>
          </c:tx>
          <c:marker>
            <c:symbol val="none"/>
          </c:marker>
          <c:cat>
            <c:numRef>
              <c:f>Summary!$C$75:$L$75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Summary!$C$76:$L$76</c:f>
              <c:numCache>
                <c:formatCode>_(* #,##0_);_(* \(#,##0\);_(* "-"??_);_(@_)</c:formatCode>
                <c:ptCount val="10"/>
                <c:pt idx="0">
                  <c:v>1654178</c:v>
                </c:pt>
                <c:pt idx="1">
                  <c:v>3231705</c:v>
                </c:pt>
                <c:pt idx="2">
                  <c:v>4256351</c:v>
                </c:pt>
              </c:numCache>
            </c:numRef>
          </c:val>
          <c:smooth val="0"/>
          <c:extLst>
            <c:ext xmlns:c16="http://schemas.microsoft.com/office/drawing/2014/chart" uri="{C3380CC4-5D6E-409C-BE32-E72D297353CC}">
              <c16:uniqueId val="{00000001-418D-CA40-BB12-27A1D1357B58}"/>
            </c:ext>
          </c:extLst>
        </c:ser>
        <c:ser>
          <c:idx val="1"/>
          <c:order val="1"/>
          <c:tx>
            <c:strRef>
              <c:f>Summary!$B$77</c:f>
              <c:strCache>
                <c:ptCount val="1"/>
                <c:pt idx="0">
                  <c:v> 25G AOCs </c:v>
                </c:pt>
              </c:strCache>
            </c:strRef>
          </c:tx>
          <c:marker>
            <c:symbol val="none"/>
          </c:marker>
          <c:cat>
            <c:numRef>
              <c:f>Summary!$C$75:$L$75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Summary!$C$77:$L$77</c:f>
              <c:numCache>
                <c:formatCode>_(* #,##0_);_(* \(#,##0\);_(* "-"??_);_(@_)</c:formatCode>
                <c:ptCount val="10"/>
                <c:pt idx="0">
                  <c:v>10000</c:v>
                </c:pt>
                <c:pt idx="1">
                  <c:v>170652</c:v>
                </c:pt>
                <c:pt idx="2">
                  <c:v>1025400</c:v>
                </c:pt>
              </c:numCache>
            </c:numRef>
          </c:val>
          <c:smooth val="0"/>
          <c:extLst>
            <c:ext xmlns:c16="http://schemas.microsoft.com/office/drawing/2014/chart" uri="{C3380CC4-5D6E-409C-BE32-E72D297353CC}">
              <c16:uniqueId val="{00000002-418D-CA40-BB12-27A1D1357B58}"/>
            </c:ext>
          </c:extLst>
        </c:ser>
        <c:ser>
          <c:idx val="2"/>
          <c:order val="2"/>
          <c:tx>
            <c:strRef>
              <c:f>Summary!$B$78</c:f>
              <c:strCache>
                <c:ptCount val="1"/>
                <c:pt idx="0">
                  <c:v> 10G DACs </c:v>
                </c:pt>
              </c:strCache>
            </c:strRef>
          </c:tx>
          <c:marker>
            <c:symbol val="none"/>
          </c:marker>
          <c:cat>
            <c:numRef>
              <c:f>Summary!$C$75:$L$75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Summary!$C$78:$L$78</c:f>
              <c:numCache>
                <c:formatCode>_(* #,##0_);_(* \(#,##0\);_(* "-"??_);_(@_)</c:formatCode>
                <c:ptCount val="10"/>
                <c:pt idx="0">
                  <c:v>4845145.5</c:v>
                </c:pt>
                <c:pt idx="1">
                  <c:v>4589910</c:v>
                </c:pt>
                <c:pt idx="2">
                  <c:v>4549211.2050000001</c:v>
                </c:pt>
              </c:numCache>
            </c:numRef>
          </c:val>
          <c:smooth val="0"/>
          <c:extLst>
            <c:ext xmlns:c16="http://schemas.microsoft.com/office/drawing/2014/chart" uri="{C3380CC4-5D6E-409C-BE32-E72D297353CC}">
              <c16:uniqueId val="{00000001-6867-2544-B8CD-FC82B37A4371}"/>
            </c:ext>
          </c:extLst>
        </c:ser>
        <c:ser>
          <c:idx val="3"/>
          <c:order val="3"/>
          <c:tx>
            <c:strRef>
              <c:f>Summary!$B$79</c:f>
              <c:strCache>
                <c:ptCount val="1"/>
                <c:pt idx="0">
                  <c:v> 25G DACs </c:v>
                </c:pt>
              </c:strCache>
            </c:strRef>
          </c:tx>
          <c:marker>
            <c:symbol val="none"/>
          </c:marker>
          <c:cat>
            <c:numRef>
              <c:f>Summary!$C$75:$L$75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Summary!$C$79:$L$79</c:f>
              <c:numCache>
                <c:formatCode>_(* #,##0_);_(* \(#,##0\);_(* "-"??_);_(@_)</c:formatCode>
                <c:ptCount val="10"/>
                <c:pt idx="0">
                  <c:v>568611.75000000012</c:v>
                </c:pt>
                <c:pt idx="1">
                  <c:v>1246925.55</c:v>
                </c:pt>
                <c:pt idx="2">
                  <c:v>1890581.28</c:v>
                </c:pt>
              </c:numCache>
            </c:numRef>
          </c:val>
          <c:smooth val="0"/>
          <c:extLst>
            <c:ext xmlns:c16="http://schemas.microsoft.com/office/drawing/2014/chart" uri="{C3380CC4-5D6E-409C-BE32-E72D297353CC}">
              <c16:uniqueId val="{00000002-6867-2544-B8CD-FC82B37A4371}"/>
            </c:ext>
          </c:extLst>
        </c:ser>
        <c:dLbls>
          <c:showLegendKey val="0"/>
          <c:showVal val="0"/>
          <c:showCatName val="0"/>
          <c:showSerName val="0"/>
          <c:showPercent val="0"/>
          <c:showBubbleSize val="0"/>
        </c:dLbls>
        <c:smooth val="0"/>
        <c:axId val="330338688"/>
        <c:axId val="330340224"/>
      </c:lineChart>
      <c:catAx>
        <c:axId val="330338688"/>
        <c:scaling>
          <c:orientation val="minMax"/>
        </c:scaling>
        <c:delete val="0"/>
        <c:axPos val="b"/>
        <c:numFmt formatCode="General" sourceLinked="1"/>
        <c:majorTickMark val="out"/>
        <c:minorTickMark val="none"/>
        <c:tickLblPos val="nextTo"/>
        <c:txPr>
          <a:bodyPr/>
          <a:lstStyle/>
          <a:p>
            <a:pPr>
              <a:defRPr sz="1200"/>
            </a:pPr>
            <a:endParaRPr lang="en-US"/>
          </a:p>
        </c:txPr>
        <c:crossAx val="330340224"/>
        <c:crosses val="autoZero"/>
        <c:auto val="1"/>
        <c:lblAlgn val="ctr"/>
        <c:lblOffset val="100"/>
        <c:noMultiLvlLbl val="0"/>
      </c:catAx>
      <c:valAx>
        <c:axId val="330340224"/>
        <c:scaling>
          <c:orientation val="minMax"/>
        </c:scaling>
        <c:delete val="0"/>
        <c:axPos val="l"/>
        <c:majorGridlines/>
        <c:title>
          <c:tx>
            <c:rich>
              <a:bodyPr rot="-5400000" vert="horz"/>
              <a:lstStyle/>
              <a:p>
                <a:pPr>
                  <a:defRPr sz="1400" b="0"/>
                </a:pPr>
                <a:r>
                  <a:rPr lang="en-US" sz="1400" b="0"/>
                  <a:t>Annual shipments (units)</a:t>
                </a:r>
              </a:p>
            </c:rich>
          </c:tx>
          <c:layout>
            <c:manualLayout>
              <c:xMode val="edge"/>
              <c:yMode val="edge"/>
              <c:x val="9.0589502581078663E-3"/>
              <c:y val="0.17929725576006714"/>
            </c:manualLayout>
          </c:layout>
          <c:overlay val="0"/>
        </c:title>
        <c:numFmt formatCode="_(* #,##0_);_(* \(#,##0\);_(* &quot;-&quot;??_);_(@_)" sourceLinked="1"/>
        <c:majorTickMark val="out"/>
        <c:minorTickMark val="none"/>
        <c:tickLblPos val="nextTo"/>
        <c:txPr>
          <a:bodyPr/>
          <a:lstStyle/>
          <a:p>
            <a:pPr>
              <a:defRPr sz="1200"/>
            </a:pPr>
            <a:endParaRPr lang="en-US"/>
          </a:p>
        </c:txPr>
        <c:crossAx val="330338688"/>
        <c:crosses val="autoZero"/>
        <c:crossBetween val="between"/>
      </c:valAx>
    </c:plotArea>
    <c:legend>
      <c:legendPos val="t"/>
      <c:layout>
        <c:manualLayout>
          <c:xMode val="edge"/>
          <c:yMode val="edge"/>
          <c:x val="0.17360396564906108"/>
          <c:y val="2.9678580805272241E-2"/>
          <c:w val="0.76062310710912184"/>
          <c:h val="7.9853708574333493E-2"/>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b="1">
                <a:effectLst/>
              </a:rPr>
              <a:t> EOMs by Application</a:t>
            </a:r>
            <a:r>
              <a:rPr lang="en-US" sz="1800" b="1" baseline="0">
                <a:effectLst/>
              </a:rPr>
              <a:t> Segment</a:t>
            </a:r>
            <a:endParaRPr lang="en-US" sz="1800">
              <a:effectLst/>
            </a:endParaRPr>
          </a:p>
        </c:rich>
      </c:tx>
      <c:layout>
        <c:manualLayout>
          <c:xMode val="edge"/>
          <c:yMode val="edge"/>
          <c:x val="0.33577673920548556"/>
          <c:y val="3.0071186808515067E-3"/>
        </c:manualLayout>
      </c:layout>
      <c:overlay val="0"/>
    </c:title>
    <c:autoTitleDeleted val="0"/>
    <c:plotArea>
      <c:layout>
        <c:manualLayout>
          <c:layoutTarget val="inner"/>
          <c:xMode val="edge"/>
          <c:yMode val="edge"/>
          <c:x val="0.18300484235312062"/>
          <c:y val="9.1304115287475854E-2"/>
          <c:w val="0.62052927428711913"/>
          <c:h val="0.78166275441984845"/>
        </c:manualLayout>
      </c:layout>
      <c:barChart>
        <c:barDir val="col"/>
        <c:grouping val="stacked"/>
        <c:varyColors val="0"/>
        <c:ser>
          <c:idx val="0"/>
          <c:order val="0"/>
          <c:tx>
            <c:strRef>
              <c:f>Summary!$B$282</c:f>
              <c:strCache>
                <c:ptCount val="1"/>
                <c:pt idx="0">
                  <c:v>HPC &amp; AI Clusters</c:v>
                </c:pt>
              </c:strCache>
            </c:strRef>
          </c:tx>
          <c:invertIfNegative val="0"/>
          <c:cat>
            <c:numRef>
              <c:f>Summary!$D$281:$M$281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Summary!$D$282:$M$282</c:f>
              <c:numCache>
                <c:formatCode>_(* #,##0_);_(* \(#,##0\);_(* "-"??_);_(@_)</c:formatCode>
                <c:ptCount val="10"/>
                <c:pt idx="0">
                  <c:v>26500</c:v>
                </c:pt>
                <c:pt idx="1">
                  <c:v>47236.4</c:v>
                </c:pt>
                <c:pt idx="2">
                  <c:v>41567.5</c:v>
                </c:pt>
              </c:numCache>
            </c:numRef>
          </c:val>
          <c:extLst>
            <c:ext xmlns:c16="http://schemas.microsoft.com/office/drawing/2014/chart" uri="{C3380CC4-5D6E-409C-BE32-E72D297353CC}">
              <c16:uniqueId val="{00000000-0649-E94E-913B-3DA2AC04D941}"/>
            </c:ext>
          </c:extLst>
        </c:ser>
        <c:ser>
          <c:idx val="1"/>
          <c:order val="1"/>
          <c:tx>
            <c:strRef>
              <c:f>Summary!$B$283</c:f>
              <c:strCache>
                <c:ptCount val="1"/>
                <c:pt idx="0">
                  <c:v>Core Routing &amp; Optical Transport</c:v>
                </c:pt>
              </c:strCache>
            </c:strRef>
          </c:tx>
          <c:invertIfNegative val="0"/>
          <c:cat>
            <c:numRef>
              <c:f>Summary!$D$281:$M$281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Summary!$D$283:$M$283</c:f>
              <c:numCache>
                <c:formatCode>_(* #,##0_);_(* \(#,##0\);_(* "-"??_);_(@_)</c:formatCode>
                <c:ptCount val="10"/>
                <c:pt idx="0">
                  <c:v>5300</c:v>
                </c:pt>
                <c:pt idx="1">
                  <c:v>9447.2800000000097</c:v>
                </c:pt>
                <c:pt idx="2">
                  <c:v>19952.399999999987</c:v>
                </c:pt>
              </c:numCache>
            </c:numRef>
          </c:val>
          <c:extLst>
            <c:ext xmlns:c16="http://schemas.microsoft.com/office/drawing/2014/chart" uri="{C3380CC4-5D6E-409C-BE32-E72D297353CC}">
              <c16:uniqueId val="{00000001-0649-E94E-913B-3DA2AC04D941}"/>
            </c:ext>
          </c:extLst>
        </c:ser>
        <c:ser>
          <c:idx val="2"/>
          <c:order val="2"/>
          <c:tx>
            <c:strRef>
              <c:f>Summary!$B$284</c:f>
              <c:strCache>
                <c:ptCount val="1"/>
                <c:pt idx="0">
                  <c:v>Cloud (Datacenter)</c:v>
                </c:pt>
              </c:strCache>
            </c:strRef>
          </c:tx>
          <c:invertIfNegative val="0"/>
          <c:cat>
            <c:numRef>
              <c:f>Summary!$D$281:$M$281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Summary!$D$284:$M$284</c:f>
              <c:numCache>
                <c:formatCode>_(* #,##0_);_(* \(#,##0\);_(* "-"??_);_(@_)</c:formatCode>
                <c:ptCount val="10"/>
                <c:pt idx="0">
                  <c:v>21200</c:v>
                </c:pt>
                <c:pt idx="1">
                  <c:v>59045.499999999985</c:v>
                </c:pt>
                <c:pt idx="2">
                  <c:v>96436.6</c:v>
                </c:pt>
              </c:numCache>
            </c:numRef>
          </c:val>
          <c:extLst>
            <c:ext xmlns:c16="http://schemas.microsoft.com/office/drawing/2014/chart" uri="{C3380CC4-5D6E-409C-BE32-E72D297353CC}">
              <c16:uniqueId val="{00000002-0649-E94E-913B-3DA2AC04D941}"/>
            </c:ext>
          </c:extLst>
        </c:ser>
        <c:ser>
          <c:idx val="3"/>
          <c:order val="3"/>
          <c:tx>
            <c:strRef>
              <c:f>Summary!$B$285</c:f>
              <c:strCache>
                <c:ptCount val="1"/>
                <c:pt idx="0">
                  <c:v>Other</c:v>
                </c:pt>
              </c:strCache>
            </c:strRef>
          </c:tx>
          <c:invertIfNegative val="0"/>
          <c:cat>
            <c:numRef>
              <c:f>Summary!$D$281:$M$281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Summary!$D$285:$M$285</c:f>
              <c:numCache>
                <c:formatCode>_(* #,##0_);_(* \(#,##0\);_(* "-"??_);_(@_)</c:formatCode>
                <c:ptCount val="10"/>
                <c:pt idx="0">
                  <c:v>0</c:v>
                </c:pt>
                <c:pt idx="1">
                  <c:v>2361.820000000007</c:v>
                </c:pt>
                <c:pt idx="2">
                  <c:v>8313.5</c:v>
                </c:pt>
              </c:numCache>
            </c:numRef>
          </c:val>
          <c:extLst>
            <c:ext xmlns:c16="http://schemas.microsoft.com/office/drawing/2014/chart" uri="{C3380CC4-5D6E-409C-BE32-E72D297353CC}">
              <c16:uniqueId val="{00000000-4772-B24C-9186-4C3E176FF367}"/>
            </c:ext>
          </c:extLst>
        </c:ser>
        <c:dLbls>
          <c:showLegendKey val="0"/>
          <c:showVal val="0"/>
          <c:showCatName val="0"/>
          <c:showSerName val="0"/>
          <c:showPercent val="0"/>
          <c:showBubbleSize val="0"/>
        </c:dLbls>
        <c:gapWidth val="150"/>
        <c:overlap val="100"/>
        <c:axId val="330446720"/>
        <c:axId val="330448256"/>
      </c:barChart>
      <c:catAx>
        <c:axId val="330446720"/>
        <c:scaling>
          <c:orientation val="minMax"/>
        </c:scaling>
        <c:delete val="0"/>
        <c:axPos val="b"/>
        <c:numFmt formatCode="General" sourceLinked="1"/>
        <c:majorTickMark val="out"/>
        <c:minorTickMark val="none"/>
        <c:tickLblPos val="nextTo"/>
        <c:txPr>
          <a:bodyPr/>
          <a:lstStyle/>
          <a:p>
            <a:pPr>
              <a:defRPr sz="1400"/>
            </a:pPr>
            <a:endParaRPr lang="en-US"/>
          </a:p>
        </c:txPr>
        <c:crossAx val="330448256"/>
        <c:crosses val="autoZero"/>
        <c:auto val="1"/>
        <c:lblAlgn val="ctr"/>
        <c:lblOffset val="100"/>
        <c:noMultiLvlLbl val="0"/>
      </c:catAx>
      <c:valAx>
        <c:axId val="330448256"/>
        <c:scaling>
          <c:orientation val="minMax"/>
          <c:min val="0"/>
        </c:scaling>
        <c:delete val="0"/>
        <c:axPos val="l"/>
        <c:majorGridlines/>
        <c:title>
          <c:tx>
            <c:rich>
              <a:bodyPr rot="-5400000" vert="horz"/>
              <a:lstStyle/>
              <a:p>
                <a:pPr>
                  <a:defRPr sz="1600" b="0"/>
                </a:pPr>
                <a:r>
                  <a:rPr lang="en-US" sz="1600" b="0"/>
                  <a:t>Annual</a:t>
                </a:r>
                <a:r>
                  <a:rPr lang="en-US" sz="1600" b="0" baseline="0"/>
                  <a:t> shipments</a:t>
                </a:r>
                <a:endParaRPr lang="en-US" sz="1600" b="0"/>
              </a:p>
            </c:rich>
          </c:tx>
          <c:layout>
            <c:manualLayout>
              <c:xMode val="edge"/>
              <c:yMode val="edge"/>
              <c:x val="1.6730666435279738E-2"/>
              <c:y val="0.27851225672262664"/>
            </c:manualLayout>
          </c:layout>
          <c:overlay val="0"/>
        </c:title>
        <c:numFmt formatCode="_(* #,##0_);_(* \(#,##0\);_(* &quot;-&quot;??_);_(@_)" sourceLinked="1"/>
        <c:majorTickMark val="out"/>
        <c:minorTickMark val="none"/>
        <c:tickLblPos val="nextTo"/>
        <c:txPr>
          <a:bodyPr/>
          <a:lstStyle/>
          <a:p>
            <a:pPr>
              <a:defRPr sz="1400"/>
            </a:pPr>
            <a:endParaRPr lang="en-US"/>
          </a:p>
        </c:txPr>
        <c:crossAx val="330446720"/>
        <c:crosses val="autoZero"/>
        <c:crossBetween val="between"/>
      </c:valAx>
    </c:plotArea>
    <c:legend>
      <c:legendPos val="r"/>
      <c:layout>
        <c:manualLayout>
          <c:xMode val="edge"/>
          <c:yMode val="edge"/>
          <c:x val="0.81292631548256833"/>
          <c:y val="0.19549065979721644"/>
          <c:w val="0.17878834263343676"/>
          <c:h val="0.64946033888428911"/>
        </c:manualLayout>
      </c:layout>
      <c:overlay val="0"/>
      <c:spPr>
        <a:solidFill>
          <a:schemeClr val="bg1"/>
        </a:solidFill>
        <a:ln>
          <a:solidFill>
            <a:sysClr val="windowText" lastClr="000000"/>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2020</a:t>
            </a:r>
          </a:p>
        </c:rich>
      </c:tx>
      <c:overlay val="0"/>
    </c:title>
    <c:autoTitleDeleted val="0"/>
    <c:plotArea>
      <c:layout/>
      <c:pieChart>
        <c:varyColors val="1"/>
        <c:ser>
          <c:idx val="0"/>
          <c:order val="0"/>
          <c:dLbls>
            <c:spPr>
              <a:noFill/>
              <a:ln>
                <a:noFill/>
              </a:ln>
              <a:effectLst/>
            </c:spPr>
            <c:txPr>
              <a:bodyPr/>
              <a:lstStyle/>
              <a:p>
                <a:pPr>
                  <a:defRPr sz="12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Summary!$B$282:$B$285</c:f>
              <c:strCache>
                <c:ptCount val="4"/>
                <c:pt idx="0">
                  <c:v>HPC &amp; AI Clusters</c:v>
                </c:pt>
                <c:pt idx="1">
                  <c:v>Core Routing &amp; Optical Transport</c:v>
                </c:pt>
                <c:pt idx="2">
                  <c:v>Cloud (Datacenter)</c:v>
                </c:pt>
                <c:pt idx="3">
                  <c:v>Other</c:v>
                </c:pt>
              </c:strCache>
            </c:strRef>
          </c:cat>
          <c:val>
            <c:numRef>
              <c:f>Summary!$H$282:$H$285</c:f>
              <c:numCache>
                <c:formatCode>_(* #,##0_);_(* \(#,##0\);_(* "-"??_);_(@_)</c:formatCode>
                <c:ptCount val="4"/>
              </c:numCache>
            </c:numRef>
          </c:val>
          <c:extLst>
            <c:ext xmlns:c16="http://schemas.microsoft.com/office/drawing/2014/chart" uri="{C3380CC4-5D6E-409C-BE32-E72D297353CC}">
              <c16:uniqueId val="{00000000-DAA2-0A4D-8FC5-4AA36831172E}"/>
            </c:ext>
          </c:extLst>
        </c:ser>
        <c:dLbls>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8" Type="http://schemas.openxmlformats.org/officeDocument/2006/relationships/chart" Target="../charts/chart11.xml"/><Relationship Id="rId13" Type="http://schemas.openxmlformats.org/officeDocument/2006/relationships/chart" Target="../charts/chart15.xml"/><Relationship Id="rId18" Type="http://schemas.openxmlformats.org/officeDocument/2006/relationships/chart" Target="../charts/chart20.xml"/><Relationship Id="rId26" Type="http://schemas.openxmlformats.org/officeDocument/2006/relationships/chart" Target="../charts/chart28.xml"/><Relationship Id="rId3" Type="http://schemas.openxmlformats.org/officeDocument/2006/relationships/chart" Target="../charts/chart6.xml"/><Relationship Id="rId21" Type="http://schemas.openxmlformats.org/officeDocument/2006/relationships/chart" Target="../charts/chart23.xml"/><Relationship Id="rId7" Type="http://schemas.openxmlformats.org/officeDocument/2006/relationships/chart" Target="../charts/chart10.xml"/><Relationship Id="rId12" Type="http://schemas.openxmlformats.org/officeDocument/2006/relationships/chart" Target="../charts/chart14.xml"/><Relationship Id="rId17" Type="http://schemas.openxmlformats.org/officeDocument/2006/relationships/chart" Target="../charts/chart19.xml"/><Relationship Id="rId25" Type="http://schemas.openxmlformats.org/officeDocument/2006/relationships/chart" Target="../charts/chart27.xml"/><Relationship Id="rId2" Type="http://schemas.openxmlformats.org/officeDocument/2006/relationships/chart" Target="../charts/chart5.xml"/><Relationship Id="rId16" Type="http://schemas.openxmlformats.org/officeDocument/2006/relationships/chart" Target="../charts/chart18.xml"/><Relationship Id="rId20" Type="http://schemas.openxmlformats.org/officeDocument/2006/relationships/chart" Target="../charts/chart22.xml"/><Relationship Id="rId29" Type="http://schemas.openxmlformats.org/officeDocument/2006/relationships/chart" Target="../charts/chart31.xml"/><Relationship Id="rId1" Type="http://schemas.openxmlformats.org/officeDocument/2006/relationships/chart" Target="../charts/chart4.xml"/><Relationship Id="rId6" Type="http://schemas.openxmlformats.org/officeDocument/2006/relationships/chart" Target="../charts/chart9.xml"/><Relationship Id="rId11" Type="http://schemas.openxmlformats.org/officeDocument/2006/relationships/image" Target="../media/image1.png"/><Relationship Id="rId24" Type="http://schemas.openxmlformats.org/officeDocument/2006/relationships/chart" Target="../charts/chart26.xml"/><Relationship Id="rId5" Type="http://schemas.openxmlformats.org/officeDocument/2006/relationships/chart" Target="../charts/chart8.xml"/><Relationship Id="rId15" Type="http://schemas.openxmlformats.org/officeDocument/2006/relationships/chart" Target="../charts/chart17.xml"/><Relationship Id="rId23" Type="http://schemas.openxmlformats.org/officeDocument/2006/relationships/chart" Target="../charts/chart25.xml"/><Relationship Id="rId28" Type="http://schemas.openxmlformats.org/officeDocument/2006/relationships/chart" Target="../charts/chart30.xml"/><Relationship Id="rId10" Type="http://schemas.openxmlformats.org/officeDocument/2006/relationships/chart" Target="../charts/chart13.xml"/><Relationship Id="rId19" Type="http://schemas.openxmlformats.org/officeDocument/2006/relationships/chart" Target="../charts/chart21.xml"/><Relationship Id="rId4" Type="http://schemas.openxmlformats.org/officeDocument/2006/relationships/chart" Target="../charts/chart7.xml"/><Relationship Id="rId9" Type="http://schemas.openxmlformats.org/officeDocument/2006/relationships/chart" Target="../charts/chart12.xml"/><Relationship Id="rId14" Type="http://schemas.openxmlformats.org/officeDocument/2006/relationships/chart" Target="../charts/chart16.xml"/><Relationship Id="rId22" Type="http://schemas.openxmlformats.org/officeDocument/2006/relationships/chart" Target="../charts/chart24.xml"/><Relationship Id="rId27" Type="http://schemas.openxmlformats.org/officeDocument/2006/relationships/chart" Target="../charts/chart29.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134937</xdr:colOff>
      <xdr:row>0</xdr:row>
      <xdr:rowOff>87313</xdr:rowOff>
    </xdr:from>
    <xdr:to>
      <xdr:col>12</xdr:col>
      <xdr:colOff>597363</xdr:colOff>
      <xdr:row>4</xdr:row>
      <xdr:rowOff>142591</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9080500" y="87313"/>
          <a:ext cx="3034176" cy="80140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293688</xdr:colOff>
      <xdr:row>1</xdr:row>
      <xdr:rowOff>127001</xdr:rowOff>
    </xdr:from>
    <xdr:to>
      <xdr:col>15</xdr:col>
      <xdr:colOff>803739</xdr:colOff>
      <xdr:row>5</xdr:row>
      <xdr:rowOff>31467</xdr:rowOff>
    </xdr:to>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a:stretch>
          <a:fillRect/>
        </a:stretch>
      </xdr:blipFill>
      <xdr:spPr>
        <a:xfrm>
          <a:off x="9199563" y="293689"/>
          <a:ext cx="3034176" cy="80140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293687</xdr:colOff>
      <xdr:row>1</xdr:row>
      <xdr:rowOff>208644</xdr:rowOff>
    </xdr:from>
    <xdr:to>
      <xdr:col>9</xdr:col>
      <xdr:colOff>706437</xdr:colOff>
      <xdr:row>5</xdr:row>
      <xdr:rowOff>7209</xdr:rowOff>
    </xdr:to>
    <xdr:pic>
      <xdr:nvPicPr>
        <xdr:cNvPr id="3" name="Picture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a:stretch>
          <a:fillRect/>
        </a:stretch>
      </xdr:blipFill>
      <xdr:spPr>
        <a:xfrm>
          <a:off x="4365625" y="375332"/>
          <a:ext cx="2603500" cy="69550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206374</xdr:colOff>
      <xdr:row>1</xdr:row>
      <xdr:rowOff>79375</xdr:rowOff>
    </xdr:from>
    <xdr:to>
      <xdr:col>11</xdr:col>
      <xdr:colOff>716426</xdr:colOff>
      <xdr:row>4</xdr:row>
      <xdr:rowOff>214028</xdr:rowOff>
    </xdr:to>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7445374" y="246063"/>
          <a:ext cx="3034177" cy="80140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12</xdr:col>
      <xdr:colOff>336022</xdr:colOff>
      <xdr:row>1</xdr:row>
      <xdr:rowOff>13229</xdr:rowOff>
    </xdr:from>
    <xdr:to>
      <xdr:col>15</xdr:col>
      <xdr:colOff>748178</xdr:colOff>
      <xdr:row>4</xdr:row>
      <xdr:rowOff>84382</xdr:rowOff>
    </xdr:to>
    <xdr:pic>
      <xdr:nvPicPr>
        <xdr:cNvPr id="3" name="Picture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a:stretch>
          <a:fillRect/>
        </a:stretch>
      </xdr:blipFill>
      <xdr:spPr>
        <a:xfrm>
          <a:off x="9818689" y="171979"/>
          <a:ext cx="3036823" cy="8014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261938</xdr:colOff>
      <xdr:row>0</xdr:row>
      <xdr:rowOff>31750</xdr:rowOff>
    </xdr:from>
    <xdr:to>
      <xdr:col>10</xdr:col>
      <xdr:colOff>41739</xdr:colOff>
      <xdr:row>4</xdr:row>
      <xdr:rowOff>63215</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7913688" y="31750"/>
          <a:ext cx="3034176" cy="8014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10</xdr:row>
      <xdr:rowOff>114300</xdr:rowOff>
    </xdr:from>
    <xdr:to>
      <xdr:col>8</xdr:col>
      <xdr:colOff>462787</xdr:colOff>
      <xdr:row>19</xdr:row>
      <xdr:rowOff>77367</xdr:rowOff>
    </xdr:to>
    <xdr:grpSp>
      <xdr:nvGrpSpPr>
        <xdr:cNvPr id="12796936" name="Group 19">
          <a:extLst>
            <a:ext uri="{FF2B5EF4-FFF2-40B4-BE49-F238E27FC236}">
              <a16:creationId xmlns:a16="http://schemas.microsoft.com/office/drawing/2014/main" id="{00000000-0008-0000-0C00-00000844C300}"/>
            </a:ext>
          </a:extLst>
        </xdr:cNvPr>
        <xdr:cNvGrpSpPr>
          <a:grpSpLocks/>
        </xdr:cNvGrpSpPr>
      </xdr:nvGrpSpPr>
      <xdr:grpSpPr bwMode="auto">
        <a:xfrm>
          <a:off x="387350" y="1876425"/>
          <a:ext cx="5774562" cy="1391817"/>
          <a:chOff x="158" y="204"/>
          <a:chExt cx="534" cy="149"/>
        </a:xfrm>
      </xdr:grpSpPr>
      <xdr:sp macro="" textlink="">
        <xdr:nvSpPr>
          <xdr:cNvPr id="3" name="Text Box 9">
            <a:extLst>
              <a:ext uri="{FF2B5EF4-FFF2-40B4-BE49-F238E27FC236}">
                <a16:creationId xmlns:a16="http://schemas.microsoft.com/office/drawing/2014/main" id="{00000000-0008-0000-0C00-000003000000}"/>
              </a:ext>
            </a:extLst>
          </xdr:cNvPr>
          <xdr:cNvSpPr txBox="1">
            <a:spLocks noChangeArrowheads="1"/>
          </xdr:cNvSpPr>
        </xdr:nvSpPr>
        <xdr:spPr bwMode="auto">
          <a:xfrm>
            <a:off x="162" y="234"/>
            <a:ext cx="137" cy="9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100" b="0" i="0" strike="noStrike">
                <a:solidFill>
                  <a:srgbClr val="000000"/>
                </a:solidFill>
                <a:latin typeface="Arial"/>
                <a:cs typeface="Arial"/>
              </a:rPr>
              <a:t>LightCounting proprietary vendor shipment data</a:t>
            </a:r>
          </a:p>
          <a:p>
            <a:pPr algn="ctr" rtl="0">
              <a:defRPr sz="1000"/>
            </a:pPr>
            <a:endParaRPr lang="en-US" sz="1100" b="0" i="0" strike="noStrike">
              <a:solidFill>
                <a:srgbClr val="000000"/>
              </a:solidFill>
              <a:latin typeface="Arial"/>
              <a:cs typeface="Arial"/>
            </a:endParaRPr>
          </a:p>
        </xdr:txBody>
      </xdr:sp>
      <xdr:sp macro="" textlink="">
        <xdr:nvSpPr>
          <xdr:cNvPr id="4" name="Text Box 10">
            <a:extLst>
              <a:ext uri="{FF2B5EF4-FFF2-40B4-BE49-F238E27FC236}">
                <a16:creationId xmlns:a16="http://schemas.microsoft.com/office/drawing/2014/main" id="{00000000-0008-0000-0C00-000004000000}"/>
              </a:ext>
            </a:extLst>
          </xdr:cNvPr>
          <xdr:cNvSpPr txBox="1">
            <a:spLocks noChangeArrowheads="1"/>
          </xdr:cNvSpPr>
        </xdr:nvSpPr>
        <xdr:spPr bwMode="auto">
          <a:xfrm>
            <a:off x="567" y="241"/>
            <a:ext cx="125" cy="68"/>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Preliminary</a:t>
            </a:r>
          </a:p>
          <a:p>
            <a:pPr algn="ctr" rtl="0">
              <a:defRPr sz="1000"/>
            </a:pPr>
            <a:r>
              <a:rPr lang="en-US" sz="1200" b="0" i="0" strike="noStrike">
                <a:solidFill>
                  <a:srgbClr val="000000"/>
                </a:solidFill>
                <a:latin typeface="Arial"/>
                <a:cs typeface="Arial"/>
              </a:rPr>
              <a:t>Forecast</a:t>
            </a:r>
          </a:p>
        </xdr:txBody>
      </xdr:sp>
      <xdr:sp macro="" textlink="">
        <xdr:nvSpPr>
          <xdr:cNvPr id="5" name="Text Box 11">
            <a:extLst>
              <a:ext uri="{FF2B5EF4-FFF2-40B4-BE49-F238E27FC236}">
                <a16:creationId xmlns:a16="http://schemas.microsoft.com/office/drawing/2014/main" id="{00000000-0008-0000-0C00-000005000000}"/>
              </a:ext>
            </a:extLst>
          </xdr:cNvPr>
          <xdr:cNvSpPr txBox="1">
            <a:spLocks noChangeArrowheads="1"/>
          </xdr:cNvSpPr>
        </xdr:nvSpPr>
        <xdr:spPr bwMode="auto">
          <a:xfrm>
            <a:off x="323" y="204"/>
            <a:ext cx="192" cy="73"/>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Historical Trend Extrapolation</a:t>
            </a:r>
          </a:p>
        </xdr:txBody>
      </xdr:sp>
      <xdr:sp macro="" textlink="">
        <xdr:nvSpPr>
          <xdr:cNvPr id="6" name="Text Box 12">
            <a:extLst>
              <a:ext uri="{FF2B5EF4-FFF2-40B4-BE49-F238E27FC236}">
                <a16:creationId xmlns:a16="http://schemas.microsoft.com/office/drawing/2014/main" id="{00000000-0008-0000-0C00-000006000000}"/>
              </a:ext>
            </a:extLst>
          </xdr:cNvPr>
          <xdr:cNvSpPr txBox="1">
            <a:spLocks noChangeArrowheads="1"/>
          </xdr:cNvSpPr>
        </xdr:nvSpPr>
        <xdr:spPr bwMode="auto">
          <a:xfrm>
            <a:off x="322" y="277"/>
            <a:ext cx="192" cy="76"/>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Interviews with industry participants</a:t>
            </a:r>
            <a:endParaRPr lang="en-US" sz="1200" b="0" i="0" strike="noStrike">
              <a:solidFill>
                <a:srgbClr val="000000"/>
              </a:solidFill>
              <a:latin typeface="Arial"/>
              <a:ea typeface="+mn-ea"/>
              <a:cs typeface="Arial"/>
            </a:endParaRPr>
          </a:p>
          <a:p>
            <a:pPr algn="ctr" rtl="0">
              <a:defRPr sz="1000"/>
            </a:pPr>
            <a:endParaRPr lang="en-US" sz="1000" b="0" i="0" strike="noStrike">
              <a:solidFill>
                <a:srgbClr val="000000"/>
              </a:solidFill>
              <a:latin typeface="Arial"/>
              <a:cs typeface="Arial"/>
            </a:endParaRPr>
          </a:p>
        </xdr:txBody>
      </xdr:sp>
      <xdr:sp macro="" textlink="">
        <xdr:nvSpPr>
          <xdr:cNvPr id="12796945" name="AutoShape 16">
            <a:extLst>
              <a:ext uri="{FF2B5EF4-FFF2-40B4-BE49-F238E27FC236}">
                <a16:creationId xmlns:a16="http://schemas.microsoft.com/office/drawing/2014/main" id="{00000000-0008-0000-0C00-00001144C300}"/>
              </a:ext>
            </a:extLst>
          </xdr:cNvPr>
          <xdr:cNvSpPr>
            <a:spLocks noChangeArrowheads="1"/>
          </xdr:cNvSpPr>
        </xdr:nvSpPr>
        <xdr:spPr bwMode="auto">
          <a:xfrm>
            <a:off x="158" y="204"/>
            <a:ext cx="165" cy="146"/>
          </a:xfrm>
          <a:prstGeom prst="homePlate">
            <a:avLst>
              <a:gd name="adj" fmla="val 28253"/>
            </a:avLst>
          </a:prstGeom>
          <a:noFill/>
          <a:ln w="9525">
            <a:solidFill>
              <a:srgbClr val="000000"/>
            </a:solidFill>
            <a:miter lim="800000"/>
            <a:headEnd/>
            <a:tailEnd/>
          </a:ln>
        </xdr:spPr>
      </xdr:sp>
      <xdr:sp macro="" textlink="">
        <xdr:nvSpPr>
          <xdr:cNvPr id="12796946" name="Line 17">
            <a:extLst>
              <a:ext uri="{FF2B5EF4-FFF2-40B4-BE49-F238E27FC236}">
                <a16:creationId xmlns:a16="http://schemas.microsoft.com/office/drawing/2014/main" id="{00000000-0008-0000-0C00-00001244C300}"/>
              </a:ext>
            </a:extLst>
          </xdr:cNvPr>
          <xdr:cNvSpPr>
            <a:spLocks noChangeShapeType="1"/>
          </xdr:cNvSpPr>
        </xdr:nvSpPr>
        <xdr:spPr bwMode="auto">
          <a:xfrm>
            <a:off x="515" y="206"/>
            <a:ext cx="49" cy="70"/>
          </a:xfrm>
          <a:prstGeom prst="line">
            <a:avLst/>
          </a:prstGeom>
          <a:noFill/>
          <a:ln w="9525">
            <a:solidFill>
              <a:srgbClr val="000000"/>
            </a:solidFill>
            <a:round/>
            <a:headEnd/>
            <a:tailEnd/>
          </a:ln>
        </xdr:spPr>
      </xdr:sp>
      <xdr:sp macro="" textlink="">
        <xdr:nvSpPr>
          <xdr:cNvPr id="12796947" name="Line 18">
            <a:extLst>
              <a:ext uri="{FF2B5EF4-FFF2-40B4-BE49-F238E27FC236}">
                <a16:creationId xmlns:a16="http://schemas.microsoft.com/office/drawing/2014/main" id="{00000000-0008-0000-0C00-00001344C300}"/>
              </a:ext>
            </a:extLst>
          </xdr:cNvPr>
          <xdr:cNvSpPr>
            <a:spLocks noChangeShapeType="1"/>
          </xdr:cNvSpPr>
        </xdr:nvSpPr>
        <xdr:spPr bwMode="auto">
          <a:xfrm flipV="1">
            <a:off x="515" y="276"/>
            <a:ext cx="49" cy="75"/>
          </a:xfrm>
          <a:prstGeom prst="line">
            <a:avLst/>
          </a:prstGeom>
          <a:noFill/>
          <a:ln w="9525">
            <a:solidFill>
              <a:srgbClr val="000000"/>
            </a:solidFill>
            <a:round/>
            <a:headEnd/>
            <a:tailEnd/>
          </a:ln>
        </xdr:spPr>
      </xdr:sp>
    </xdr:grpSp>
    <xdr:clientData/>
  </xdr:twoCellAnchor>
  <xdr:twoCellAnchor>
    <xdr:from>
      <xdr:col>11</xdr:col>
      <xdr:colOff>514350</xdr:colOff>
      <xdr:row>11</xdr:row>
      <xdr:rowOff>123825</xdr:rowOff>
    </xdr:from>
    <xdr:to>
      <xdr:col>14</xdr:col>
      <xdr:colOff>9525</xdr:colOff>
      <xdr:row>17</xdr:row>
      <xdr:rowOff>123825</xdr:rowOff>
    </xdr:to>
    <xdr:sp macro="" textlink="">
      <xdr:nvSpPr>
        <xdr:cNvPr id="18" name="Text Box 10">
          <a:extLst>
            <a:ext uri="{FF2B5EF4-FFF2-40B4-BE49-F238E27FC236}">
              <a16:creationId xmlns:a16="http://schemas.microsoft.com/office/drawing/2014/main" id="{00000000-0008-0000-0C00-000012000000}"/>
            </a:ext>
          </a:extLst>
        </xdr:cNvPr>
        <xdr:cNvSpPr txBox="1">
          <a:spLocks noChangeArrowheads="1"/>
        </xdr:cNvSpPr>
      </xdr:nvSpPr>
      <xdr:spPr bwMode="auto">
        <a:xfrm>
          <a:off x="7429500" y="2057400"/>
          <a:ext cx="1371600" cy="1028700"/>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LightCounting</a:t>
          </a:r>
        </a:p>
        <a:p>
          <a:pPr algn="ctr" rtl="0">
            <a:defRPr sz="1000"/>
          </a:pPr>
          <a:r>
            <a:rPr lang="en-US" sz="1200" b="0" i="0" strike="noStrike">
              <a:solidFill>
                <a:srgbClr val="000000"/>
              </a:solidFill>
              <a:latin typeface="Arial"/>
              <a:cs typeface="Arial"/>
            </a:rPr>
            <a:t> Optical Interconnect </a:t>
          </a:r>
        </a:p>
        <a:p>
          <a:pPr algn="ctr" rtl="0">
            <a:defRPr sz="1000"/>
          </a:pPr>
          <a:r>
            <a:rPr lang="en-US" sz="1200" b="0" i="0" strike="noStrike">
              <a:solidFill>
                <a:srgbClr val="000000"/>
              </a:solidFill>
              <a:latin typeface="Arial"/>
              <a:cs typeface="Arial"/>
            </a:rPr>
            <a:t>Forecast</a:t>
          </a:r>
        </a:p>
      </xdr:txBody>
    </xdr:sp>
    <xdr:clientData/>
  </xdr:twoCellAnchor>
  <xdr:twoCellAnchor>
    <xdr:from>
      <xdr:col>9</xdr:col>
      <xdr:colOff>285750</xdr:colOff>
      <xdr:row>11</xdr:row>
      <xdr:rowOff>142875</xdr:rowOff>
    </xdr:from>
    <xdr:to>
      <xdr:col>11</xdr:col>
      <xdr:colOff>209550</xdr:colOff>
      <xdr:row>13</xdr:row>
      <xdr:rowOff>34484</xdr:rowOff>
    </xdr:to>
    <xdr:sp macro="" textlink="">
      <xdr:nvSpPr>
        <xdr:cNvPr id="19" name="Text Box 11">
          <a:extLst>
            <a:ext uri="{FF2B5EF4-FFF2-40B4-BE49-F238E27FC236}">
              <a16:creationId xmlns:a16="http://schemas.microsoft.com/office/drawing/2014/main" id="{00000000-0008-0000-0C00-000013000000}"/>
            </a:ext>
          </a:extLst>
        </xdr:cNvPr>
        <xdr:cNvSpPr txBox="1">
          <a:spLocks noChangeArrowheads="1"/>
        </xdr:cNvSpPr>
      </xdr:nvSpPr>
      <xdr:spPr bwMode="auto">
        <a:xfrm>
          <a:off x="6057900" y="2076450"/>
          <a:ext cx="1066800" cy="234509"/>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Sanity</a:t>
          </a:r>
          <a:r>
            <a:rPr lang="en-US" sz="1000" b="0" i="0" strike="noStrike" baseline="0">
              <a:solidFill>
                <a:srgbClr val="000000"/>
              </a:solidFill>
              <a:latin typeface="Arial"/>
              <a:cs typeface="Arial"/>
            </a:rPr>
            <a:t> checks</a:t>
          </a:r>
          <a:endParaRPr lang="en-US" sz="1000" b="0" i="0" strike="noStrike">
            <a:solidFill>
              <a:srgbClr val="000000"/>
            </a:solidFill>
            <a:latin typeface="Arial"/>
            <a:cs typeface="Arial"/>
          </a:endParaRPr>
        </a:p>
      </xdr:txBody>
    </xdr:sp>
    <xdr:clientData/>
  </xdr:twoCellAnchor>
  <xdr:twoCellAnchor>
    <xdr:from>
      <xdr:col>9</xdr:col>
      <xdr:colOff>285750</xdr:colOff>
      <xdr:row>15</xdr:row>
      <xdr:rowOff>119938</xdr:rowOff>
    </xdr:from>
    <xdr:to>
      <xdr:col>11</xdr:col>
      <xdr:colOff>209550</xdr:colOff>
      <xdr:row>17</xdr:row>
      <xdr:rowOff>47626</xdr:rowOff>
    </xdr:to>
    <xdr:sp macro="" textlink="">
      <xdr:nvSpPr>
        <xdr:cNvPr id="20" name="Text Box 12">
          <a:extLst>
            <a:ext uri="{FF2B5EF4-FFF2-40B4-BE49-F238E27FC236}">
              <a16:creationId xmlns:a16="http://schemas.microsoft.com/office/drawing/2014/main" id="{00000000-0008-0000-0C00-000014000000}"/>
            </a:ext>
          </a:extLst>
        </xdr:cNvPr>
        <xdr:cNvSpPr txBox="1">
          <a:spLocks noChangeArrowheads="1"/>
        </xdr:cNvSpPr>
      </xdr:nvSpPr>
      <xdr:spPr bwMode="auto">
        <a:xfrm>
          <a:off x="6057900" y="2739313"/>
          <a:ext cx="1066800" cy="270588"/>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review</a:t>
          </a:r>
        </a:p>
        <a:p>
          <a:pPr algn="ctr" rtl="0">
            <a:defRPr sz="1000"/>
          </a:pPr>
          <a:endParaRPr lang="en-US" sz="1000" b="0" i="0" strike="noStrike">
            <a:solidFill>
              <a:srgbClr val="000000"/>
            </a:solidFill>
            <a:latin typeface="Arial"/>
            <a:cs typeface="Arial"/>
          </a:endParaRPr>
        </a:p>
      </xdr:txBody>
    </xdr:sp>
    <xdr:clientData/>
  </xdr:twoCellAnchor>
  <xdr:twoCellAnchor>
    <xdr:from>
      <xdr:col>8</xdr:col>
      <xdr:colOff>466725</xdr:colOff>
      <xdr:row>12</xdr:row>
      <xdr:rowOff>88680</xdr:rowOff>
    </xdr:from>
    <xdr:to>
      <xdr:col>9</xdr:col>
      <xdr:colOff>285750</xdr:colOff>
      <xdr:row>13</xdr:row>
      <xdr:rowOff>95250</xdr:rowOff>
    </xdr:to>
    <xdr:cxnSp macro="">
      <xdr:nvCxnSpPr>
        <xdr:cNvPr id="11" name="Straight Arrow Connector 10">
          <a:extLst>
            <a:ext uri="{FF2B5EF4-FFF2-40B4-BE49-F238E27FC236}">
              <a16:creationId xmlns:a16="http://schemas.microsoft.com/office/drawing/2014/main" id="{00000000-0008-0000-0C00-00000B000000}"/>
            </a:ext>
          </a:extLst>
        </xdr:cNvPr>
        <xdr:cNvCxnSpPr>
          <a:endCxn id="19" idx="1"/>
        </xdr:cNvCxnSpPr>
      </xdr:nvCxnSpPr>
      <xdr:spPr>
        <a:xfrm flipV="1">
          <a:off x="5667375" y="2193705"/>
          <a:ext cx="390525" cy="17802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476250</xdr:colOff>
      <xdr:row>16</xdr:row>
      <xdr:rowOff>9525</xdr:rowOff>
    </xdr:from>
    <xdr:to>
      <xdr:col>9</xdr:col>
      <xdr:colOff>285750</xdr:colOff>
      <xdr:row>16</xdr:row>
      <xdr:rowOff>83782</xdr:rowOff>
    </xdr:to>
    <xdr:cxnSp macro="">
      <xdr:nvCxnSpPr>
        <xdr:cNvPr id="22" name="Straight Arrow Connector 21">
          <a:extLst>
            <a:ext uri="{FF2B5EF4-FFF2-40B4-BE49-F238E27FC236}">
              <a16:creationId xmlns:a16="http://schemas.microsoft.com/office/drawing/2014/main" id="{00000000-0008-0000-0C00-000016000000}"/>
            </a:ext>
          </a:extLst>
        </xdr:cNvPr>
        <xdr:cNvCxnSpPr>
          <a:endCxn id="20" idx="1"/>
        </xdr:cNvCxnSpPr>
      </xdr:nvCxnSpPr>
      <xdr:spPr>
        <a:xfrm>
          <a:off x="5676900" y="2800350"/>
          <a:ext cx="381000" cy="7425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209550</xdr:colOff>
      <xdr:row>12</xdr:row>
      <xdr:rowOff>85725</xdr:rowOff>
    </xdr:from>
    <xdr:to>
      <xdr:col>11</xdr:col>
      <xdr:colOff>514350</xdr:colOff>
      <xdr:row>12</xdr:row>
      <xdr:rowOff>142875</xdr:rowOff>
    </xdr:to>
    <xdr:cxnSp macro="">
      <xdr:nvCxnSpPr>
        <xdr:cNvPr id="25" name="Straight Arrow Connector 24">
          <a:extLst>
            <a:ext uri="{FF2B5EF4-FFF2-40B4-BE49-F238E27FC236}">
              <a16:creationId xmlns:a16="http://schemas.microsoft.com/office/drawing/2014/main" id="{00000000-0008-0000-0C00-000019000000}"/>
            </a:ext>
          </a:extLst>
        </xdr:cNvPr>
        <xdr:cNvCxnSpPr/>
      </xdr:nvCxnSpPr>
      <xdr:spPr>
        <a:xfrm>
          <a:off x="7124700" y="2190750"/>
          <a:ext cx="304800" cy="571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209550</xdr:colOff>
      <xdr:row>15</xdr:row>
      <xdr:rowOff>152400</xdr:rowOff>
    </xdr:from>
    <xdr:to>
      <xdr:col>11</xdr:col>
      <xdr:colOff>514350</xdr:colOff>
      <xdr:row>16</xdr:row>
      <xdr:rowOff>85725</xdr:rowOff>
    </xdr:to>
    <xdr:cxnSp macro="">
      <xdr:nvCxnSpPr>
        <xdr:cNvPr id="27" name="Straight Arrow Connector 26">
          <a:extLst>
            <a:ext uri="{FF2B5EF4-FFF2-40B4-BE49-F238E27FC236}">
              <a16:creationId xmlns:a16="http://schemas.microsoft.com/office/drawing/2014/main" id="{00000000-0008-0000-0C00-00001B000000}"/>
            </a:ext>
          </a:extLst>
        </xdr:cNvPr>
        <xdr:cNvCxnSpPr/>
      </xdr:nvCxnSpPr>
      <xdr:spPr>
        <a:xfrm flipV="1">
          <a:off x="7124700" y="2771775"/>
          <a:ext cx="304800" cy="1047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254000</xdr:colOff>
      <xdr:row>0</xdr:row>
      <xdr:rowOff>23813</xdr:rowOff>
    </xdr:from>
    <xdr:to>
      <xdr:col>14</xdr:col>
      <xdr:colOff>605301</xdr:colOff>
      <xdr:row>4</xdr:row>
      <xdr:rowOff>79091</xdr:rowOff>
    </xdr:to>
    <xdr:pic>
      <xdr:nvPicPr>
        <xdr:cNvPr id="21" name="Picture 20">
          <a:extLst>
            <a:ext uri="{FF2B5EF4-FFF2-40B4-BE49-F238E27FC236}">
              <a16:creationId xmlns:a16="http://schemas.microsoft.com/office/drawing/2014/main" id="{00000000-0008-0000-0C00-000015000000}"/>
            </a:ext>
          </a:extLst>
        </xdr:cNvPr>
        <xdr:cNvPicPr>
          <a:picLocks noChangeAspect="1"/>
        </xdr:cNvPicPr>
      </xdr:nvPicPr>
      <xdr:blipFill>
        <a:blip xmlns:r="http://schemas.openxmlformats.org/officeDocument/2006/relationships" r:embed="rId1"/>
        <a:stretch>
          <a:fillRect/>
        </a:stretch>
      </xdr:blipFill>
      <xdr:spPr>
        <a:xfrm>
          <a:off x="6731000" y="23813"/>
          <a:ext cx="3034176" cy="8014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1088</xdr:colOff>
      <xdr:row>4</xdr:row>
      <xdr:rowOff>9524</xdr:rowOff>
    </xdr:from>
    <xdr:to>
      <xdr:col>6</xdr:col>
      <xdr:colOff>108857</xdr:colOff>
      <xdr:row>23</xdr:row>
      <xdr:rowOff>161924</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326572</xdr:colOff>
      <xdr:row>4</xdr:row>
      <xdr:rowOff>17145</xdr:rowOff>
    </xdr:from>
    <xdr:to>
      <xdr:col>11</xdr:col>
      <xdr:colOff>152401</xdr:colOff>
      <xdr:row>24</xdr:row>
      <xdr:rowOff>19050</xdr:rowOff>
    </xdr:to>
    <xdr:graphicFrame macro="">
      <xdr:nvGraphicFramePr>
        <xdr:cNvPr id="5" name="Chart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270966</xdr:colOff>
      <xdr:row>4</xdr:row>
      <xdr:rowOff>35289</xdr:rowOff>
    </xdr:from>
    <xdr:to>
      <xdr:col>16</xdr:col>
      <xdr:colOff>371929</xdr:colOff>
      <xdr:row>24</xdr:row>
      <xdr:rowOff>46719</xdr:rowOff>
    </xdr:to>
    <xdr:graphicFrame macro="">
      <xdr:nvGraphicFramePr>
        <xdr:cNvPr id="6" name="Chart 5">
          <a:extLst>
            <a:ext uri="{FF2B5EF4-FFF2-40B4-BE49-F238E27FC236}">
              <a16:creationId xmlns:a16="http://schemas.microsoft.com/office/drawing/2014/main" id="{00000000-0008-0000-0D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2721</xdr:colOff>
      <xdr:row>6</xdr:row>
      <xdr:rowOff>25853</xdr:rowOff>
    </xdr:from>
    <xdr:to>
      <xdr:col>16</xdr:col>
      <xdr:colOff>628650</xdr:colOff>
      <xdr:row>8</xdr:row>
      <xdr:rowOff>77560</xdr:rowOff>
    </xdr:to>
    <xdr:sp macro="" textlink="$H$26">
      <xdr:nvSpPr>
        <xdr:cNvPr id="7" name="TextBox 1">
          <a:extLst>
            <a:ext uri="{FF2B5EF4-FFF2-40B4-BE49-F238E27FC236}">
              <a16:creationId xmlns:a16="http://schemas.microsoft.com/office/drawing/2014/main" id="{00000000-0008-0000-0D00-000007000000}"/>
            </a:ext>
          </a:extLst>
        </xdr:cNvPr>
        <xdr:cNvSpPr txBox="1"/>
      </xdr:nvSpPr>
      <xdr:spPr>
        <a:xfrm>
          <a:off x="10404021" y="1445078"/>
          <a:ext cx="3864429" cy="39460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fld id="{11E0A19A-E714-4A73-A311-4220815F1631}" type="TxLink">
            <a:rPr lang="en-US" sz="1800" b="0" i="0" u="none" strike="noStrike">
              <a:solidFill>
                <a:srgbClr val="1F497D"/>
              </a:solidFill>
              <a:latin typeface="Calibri"/>
            </a:rPr>
            <a:pPr algn="ctr"/>
            <a:t>Total 2</a:t>
          </a:fld>
          <a:endParaRPr lang="en-US" sz="800"/>
        </a:p>
      </xdr:txBody>
    </xdr:sp>
    <xdr:clientData/>
  </xdr:twoCellAnchor>
  <xdr:twoCellAnchor editAs="oneCell">
    <xdr:from>
      <xdr:col>13</xdr:col>
      <xdr:colOff>263070</xdr:colOff>
      <xdr:row>0</xdr:row>
      <xdr:rowOff>0</xdr:rowOff>
    </xdr:from>
    <xdr:to>
      <xdr:col>16</xdr:col>
      <xdr:colOff>466961</xdr:colOff>
      <xdr:row>3</xdr:row>
      <xdr:rowOff>111974</xdr:rowOff>
    </xdr:to>
    <xdr:pic>
      <xdr:nvPicPr>
        <xdr:cNvPr id="9" name="Picture 8">
          <a:extLst>
            <a:ext uri="{FF2B5EF4-FFF2-40B4-BE49-F238E27FC236}">
              <a16:creationId xmlns:a16="http://schemas.microsoft.com/office/drawing/2014/main" id="{00000000-0008-0000-0D00-000009000000}"/>
            </a:ext>
          </a:extLst>
        </xdr:cNvPr>
        <xdr:cNvPicPr>
          <a:picLocks noChangeAspect="1"/>
        </xdr:cNvPicPr>
      </xdr:nvPicPr>
      <xdr:blipFill>
        <a:blip xmlns:r="http://schemas.openxmlformats.org/officeDocument/2006/relationships" r:embed="rId4"/>
        <a:stretch>
          <a:fillRect/>
        </a:stretch>
      </xdr:blipFill>
      <xdr:spPr>
        <a:xfrm>
          <a:off x="12509499" y="0"/>
          <a:ext cx="3034176" cy="801403"/>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0.20163</cdr:x>
      <cdr:y>0.10657</cdr:y>
    </cdr:from>
    <cdr:to>
      <cdr:x>0.82134</cdr:x>
      <cdr:y>0.38807</cdr:y>
    </cdr:to>
    <cdr:sp macro="" textlink="">
      <cdr:nvSpPr>
        <cdr:cNvPr id="2" name="TextBox 1"/>
        <cdr:cNvSpPr txBox="1"/>
      </cdr:nvSpPr>
      <cdr:spPr>
        <a:xfrm xmlns:a="http://schemas.openxmlformats.org/drawingml/2006/main">
          <a:off x="1005839" y="346165"/>
          <a:ext cx="3091543"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0.33255</cdr:x>
      <cdr:y>0.14678</cdr:y>
    </cdr:from>
    <cdr:to>
      <cdr:x>0.66423</cdr:x>
      <cdr:y>0.26072</cdr:y>
    </cdr:to>
    <cdr:sp macro="" textlink="">
      <cdr:nvSpPr>
        <cdr:cNvPr id="3" name="TextBox 2"/>
        <cdr:cNvSpPr txBox="1"/>
      </cdr:nvSpPr>
      <cdr:spPr>
        <a:xfrm xmlns:a="http://schemas.openxmlformats.org/drawingml/2006/main">
          <a:off x="1658983" y="476794"/>
          <a:ext cx="1654628" cy="3701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0.09252</cdr:x>
      <cdr:y>0.09272</cdr:y>
    </cdr:from>
    <cdr:to>
      <cdr:x>0.91299</cdr:x>
      <cdr:y>0.21671</cdr:y>
    </cdr:to>
    <cdr:sp macro="" textlink="Dashboard!$H$26">
      <cdr:nvSpPr>
        <cdr:cNvPr id="4" name="TextBox 3"/>
        <cdr:cNvSpPr txBox="1"/>
      </cdr:nvSpPr>
      <cdr:spPr>
        <a:xfrm xmlns:a="http://schemas.openxmlformats.org/drawingml/2006/main">
          <a:off x="461554" y="343960"/>
          <a:ext cx="4093028" cy="46000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fld id="{9527CA62-2140-4B91-B417-D383881F517D}" type="TxLink">
            <a:rPr lang="en-US" sz="1800" b="0" i="0" u="none" strike="noStrike">
              <a:solidFill>
                <a:srgbClr val="1F497D"/>
              </a:solidFill>
              <a:latin typeface="Calibri"/>
            </a:rPr>
            <a:pPr algn="ctr"/>
            <a:t>Total 2</a:t>
          </a:fld>
          <a:endParaRPr lang="en-US" sz="900"/>
        </a:p>
      </cdr:txBody>
    </cdr:sp>
  </cdr:relSizeAnchor>
</c:userShapes>
</file>

<file path=xl/drawings/drawing6.xml><?xml version="1.0" encoding="utf-8"?>
<c:userShapes xmlns:c="http://schemas.openxmlformats.org/drawingml/2006/chart">
  <cdr:relSizeAnchor xmlns:cdr="http://schemas.openxmlformats.org/drawingml/2006/chartDrawing">
    <cdr:from>
      <cdr:x>0.09135</cdr:x>
      <cdr:y>0.09392</cdr:y>
    </cdr:from>
    <cdr:to>
      <cdr:x>0.91818</cdr:x>
      <cdr:y>0.22792</cdr:y>
    </cdr:to>
    <cdr:sp macro="" textlink="Dashboard!$H$26">
      <cdr:nvSpPr>
        <cdr:cNvPr id="2" name="TextBox 1"/>
        <cdr:cNvSpPr txBox="1"/>
      </cdr:nvSpPr>
      <cdr:spPr>
        <a:xfrm xmlns:a="http://schemas.openxmlformats.org/drawingml/2006/main">
          <a:off x="432979" y="347526"/>
          <a:ext cx="3918856" cy="49584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CCCCD651-D602-4AEE-94A4-CF595A545E0C}" type="TxLink">
            <a:rPr lang="en-US" sz="1800" b="0" i="0" u="none" strike="noStrike">
              <a:solidFill>
                <a:srgbClr val="1F497D"/>
              </a:solidFill>
              <a:latin typeface="Calibri"/>
            </a:rPr>
            <a:pPr algn="ctr"/>
            <a:t>Total 2</a:t>
          </a:fld>
          <a:endParaRPr lang="en-US" sz="800"/>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240394</xdr:colOff>
      <xdr:row>130</xdr:row>
      <xdr:rowOff>25701</xdr:rowOff>
    </xdr:from>
    <xdr:to>
      <xdr:col>12</xdr:col>
      <xdr:colOff>415775</xdr:colOff>
      <xdr:row>150</xdr:row>
      <xdr:rowOff>111010</xdr:rowOff>
    </xdr:to>
    <xdr:graphicFrame macro="">
      <xdr:nvGraphicFramePr>
        <xdr:cNvPr id="8" name="Chart 7">
          <a:extLst>
            <a:ext uri="{FF2B5EF4-FFF2-40B4-BE49-F238E27FC236}">
              <a16:creationId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203200</xdr:colOff>
      <xdr:row>152</xdr:row>
      <xdr:rowOff>38100</xdr:rowOff>
    </xdr:from>
    <xdr:to>
      <xdr:col>7</xdr:col>
      <xdr:colOff>473831</xdr:colOff>
      <xdr:row>168</xdr:row>
      <xdr:rowOff>58964</xdr:rowOff>
    </xdr:to>
    <xdr:graphicFrame macro="">
      <xdr:nvGraphicFramePr>
        <xdr:cNvPr id="9" name="Chart 8">
          <a:extLst>
            <a:ext uri="{FF2B5EF4-FFF2-40B4-BE49-F238E27FC236}">
              <a16:creationId xmlns:a16="http://schemas.microsoft.com/office/drawing/2014/main" id="{00000000-0008-0000-0E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787400</xdr:colOff>
      <xdr:row>152</xdr:row>
      <xdr:rowOff>38100</xdr:rowOff>
    </xdr:from>
    <xdr:to>
      <xdr:col>12</xdr:col>
      <xdr:colOff>425848</xdr:colOff>
      <xdr:row>168</xdr:row>
      <xdr:rowOff>58964</xdr:rowOff>
    </xdr:to>
    <xdr:graphicFrame macro="">
      <xdr:nvGraphicFramePr>
        <xdr:cNvPr id="10" name="Chart 9">
          <a:extLst>
            <a:ext uri="{FF2B5EF4-FFF2-40B4-BE49-F238E27FC236}">
              <a16:creationId xmlns:a16="http://schemas.microsoft.com/office/drawing/2014/main" id="{00000000-0008-0000-0E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9639</xdr:colOff>
      <xdr:row>52</xdr:row>
      <xdr:rowOff>150836</xdr:rowOff>
    </xdr:from>
    <xdr:to>
      <xdr:col>3</xdr:col>
      <xdr:colOff>870857</xdr:colOff>
      <xdr:row>71</xdr:row>
      <xdr:rowOff>36286</xdr:rowOff>
    </xdr:to>
    <xdr:graphicFrame macro="">
      <xdr:nvGraphicFramePr>
        <xdr:cNvPr id="14" name="Chart 13">
          <a:extLst>
            <a:ext uri="{FF2B5EF4-FFF2-40B4-BE49-F238E27FC236}">
              <a16:creationId xmlns:a16="http://schemas.microsoft.com/office/drawing/2014/main" id="{00000000-0008-0000-0E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381000</xdr:colOff>
      <xdr:row>238</xdr:row>
      <xdr:rowOff>130023</xdr:rowOff>
    </xdr:from>
    <xdr:to>
      <xdr:col>5</xdr:col>
      <xdr:colOff>710293</xdr:colOff>
      <xdr:row>259</xdr:row>
      <xdr:rowOff>64708</xdr:rowOff>
    </xdr:to>
    <xdr:graphicFrame macro="">
      <xdr:nvGraphicFramePr>
        <xdr:cNvPr id="16" name="Chart 15">
          <a:extLst>
            <a:ext uri="{FF2B5EF4-FFF2-40B4-BE49-F238E27FC236}">
              <a16:creationId xmlns:a16="http://schemas.microsoft.com/office/drawing/2014/main" id="{00000000-0008-0000-0E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395817</xdr:colOff>
      <xdr:row>260</xdr:row>
      <xdr:rowOff>48080</xdr:rowOff>
    </xdr:from>
    <xdr:to>
      <xdr:col>1</xdr:col>
      <xdr:colOff>3498283</xdr:colOff>
      <xdr:row>276</xdr:row>
      <xdr:rowOff>78316</xdr:rowOff>
    </xdr:to>
    <xdr:graphicFrame macro="">
      <xdr:nvGraphicFramePr>
        <xdr:cNvPr id="17" name="Chart 16">
          <a:extLst>
            <a:ext uri="{FF2B5EF4-FFF2-40B4-BE49-F238E27FC236}">
              <a16:creationId xmlns:a16="http://schemas.microsoft.com/office/drawing/2014/main" id="{00000000-0008-0000-0E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3067050</xdr:colOff>
      <xdr:row>260</xdr:row>
      <xdr:rowOff>48080</xdr:rowOff>
    </xdr:from>
    <xdr:to>
      <xdr:col>5</xdr:col>
      <xdr:colOff>701809</xdr:colOff>
      <xdr:row>276</xdr:row>
      <xdr:rowOff>78316</xdr:rowOff>
    </xdr:to>
    <xdr:graphicFrame macro="">
      <xdr:nvGraphicFramePr>
        <xdr:cNvPr id="18" name="Chart 17">
          <a:extLst>
            <a:ext uri="{FF2B5EF4-FFF2-40B4-BE49-F238E27FC236}">
              <a16:creationId xmlns:a16="http://schemas.microsoft.com/office/drawing/2014/main" id="{00000000-0008-0000-0E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30</xdr:col>
      <xdr:colOff>241982</xdr:colOff>
      <xdr:row>55</xdr:row>
      <xdr:rowOff>87768</xdr:rowOff>
    </xdr:from>
    <xdr:to>
      <xdr:col>42</xdr:col>
      <xdr:colOff>93436</xdr:colOff>
      <xdr:row>125</xdr:row>
      <xdr:rowOff>0</xdr:rowOff>
    </xdr:to>
    <xdr:graphicFrame macro="">
      <xdr:nvGraphicFramePr>
        <xdr:cNvPr id="25" name="Chart 24">
          <a:extLst>
            <a:ext uri="{FF2B5EF4-FFF2-40B4-BE49-F238E27FC236}">
              <a16:creationId xmlns:a16="http://schemas.microsoft.com/office/drawing/2014/main" id="{00000000-0008-0000-0E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30</xdr:col>
      <xdr:colOff>561681</xdr:colOff>
      <xdr:row>145</xdr:row>
      <xdr:rowOff>114301</xdr:rowOff>
    </xdr:from>
    <xdr:to>
      <xdr:col>38</xdr:col>
      <xdr:colOff>39216</xdr:colOff>
      <xdr:row>161</xdr:row>
      <xdr:rowOff>83684</xdr:rowOff>
    </xdr:to>
    <xdr:graphicFrame macro="">
      <xdr:nvGraphicFramePr>
        <xdr:cNvPr id="26" name="Chart 25">
          <a:extLst>
            <a:ext uri="{FF2B5EF4-FFF2-40B4-BE49-F238E27FC236}">
              <a16:creationId xmlns:a16="http://schemas.microsoft.com/office/drawing/2014/main" id="{00000000-0008-0000-0E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30</xdr:col>
      <xdr:colOff>569278</xdr:colOff>
      <xdr:row>162</xdr:row>
      <xdr:rowOff>65767</xdr:rowOff>
    </xdr:from>
    <xdr:to>
      <xdr:col>38</xdr:col>
      <xdr:colOff>61102</xdr:colOff>
      <xdr:row>168</xdr:row>
      <xdr:rowOff>0</xdr:rowOff>
    </xdr:to>
    <xdr:graphicFrame macro="">
      <xdr:nvGraphicFramePr>
        <xdr:cNvPr id="27" name="Chart 26">
          <a:extLst>
            <a:ext uri="{FF2B5EF4-FFF2-40B4-BE49-F238E27FC236}">
              <a16:creationId xmlns:a16="http://schemas.microsoft.com/office/drawing/2014/main" id="{00000000-0008-0000-0E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13</xdr:col>
      <xdr:colOff>308428</xdr:colOff>
      <xdr:row>1</xdr:row>
      <xdr:rowOff>81643</xdr:rowOff>
    </xdr:from>
    <xdr:to>
      <xdr:col>14</xdr:col>
      <xdr:colOff>2646495</xdr:colOff>
      <xdr:row>5</xdr:row>
      <xdr:rowOff>63593</xdr:rowOff>
    </xdr:to>
    <xdr:pic>
      <xdr:nvPicPr>
        <xdr:cNvPr id="28" name="Picture 27">
          <a:extLst>
            <a:ext uri="{FF2B5EF4-FFF2-40B4-BE49-F238E27FC236}">
              <a16:creationId xmlns:a16="http://schemas.microsoft.com/office/drawing/2014/main" id="{00000000-0008-0000-0E00-00001C000000}"/>
            </a:ext>
          </a:extLst>
        </xdr:cNvPr>
        <xdr:cNvPicPr>
          <a:picLocks noChangeAspect="1"/>
        </xdr:cNvPicPr>
      </xdr:nvPicPr>
      <xdr:blipFill>
        <a:blip xmlns:r="http://schemas.openxmlformats.org/officeDocument/2006/relationships" r:embed="rId11"/>
        <a:stretch>
          <a:fillRect/>
        </a:stretch>
      </xdr:blipFill>
      <xdr:spPr>
        <a:xfrm>
          <a:off x="13090071" y="244929"/>
          <a:ext cx="3045638" cy="807450"/>
        </a:xfrm>
        <a:prstGeom prst="rect">
          <a:avLst/>
        </a:prstGeom>
      </xdr:spPr>
    </xdr:pic>
    <xdr:clientData/>
  </xdr:twoCellAnchor>
  <xdr:twoCellAnchor>
    <xdr:from>
      <xdr:col>3</xdr:col>
      <xdr:colOff>6351</xdr:colOff>
      <xdr:row>23</xdr:row>
      <xdr:rowOff>164193</xdr:rowOff>
    </xdr:from>
    <xdr:to>
      <xdr:col>11</xdr:col>
      <xdr:colOff>673101</xdr:colOff>
      <xdr:row>45</xdr:row>
      <xdr:rowOff>57150</xdr:rowOff>
    </xdr:to>
    <xdr:graphicFrame macro="">
      <xdr:nvGraphicFramePr>
        <xdr:cNvPr id="33" name="Chart 32">
          <a:extLst>
            <a:ext uri="{FF2B5EF4-FFF2-40B4-BE49-F238E27FC236}">
              <a16:creationId xmlns:a16="http://schemas.microsoft.com/office/drawing/2014/main" id="{00000000-0008-0000-0E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15</xdr:col>
      <xdr:colOff>38100</xdr:colOff>
      <xdr:row>23</xdr:row>
      <xdr:rowOff>62593</xdr:rowOff>
    </xdr:from>
    <xdr:to>
      <xdr:col>24</xdr:col>
      <xdr:colOff>756558</xdr:colOff>
      <xdr:row>44</xdr:row>
      <xdr:rowOff>120650</xdr:rowOff>
    </xdr:to>
    <xdr:graphicFrame macro="">
      <xdr:nvGraphicFramePr>
        <xdr:cNvPr id="34" name="Chart 33">
          <a:extLst>
            <a:ext uri="{FF2B5EF4-FFF2-40B4-BE49-F238E27FC236}">
              <a16:creationId xmlns:a16="http://schemas.microsoft.com/office/drawing/2014/main" id="{00000000-0008-0000-0E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615346</xdr:colOff>
      <xdr:row>210</xdr:row>
      <xdr:rowOff>154895</xdr:rowOff>
    </xdr:from>
    <xdr:to>
      <xdr:col>10</xdr:col>
      <xdr:colOff>328084</xdr:colOff>
      <xdr:row>229</xdr:row>
      <xdr:rowOff>63500</xdr:rowOff>
    </xdr:to>
    <xdr:graphicFrame macro="">
      <xdr:nvGraphicFramePr>
        <xdr:cNvPr id="40" name="Chart 39">
          <a:extLst>
            <a:ext uri="{FF2B5EF4-FFF2-40B4-BE49-F238E27FC236}">
              <a16:creationId xmlns:a16="http://schemas.microsoft.com/office/drawing/2014/main" id="{00000000-0008-0000-0E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15</xdr:col>
      <xdr:colOff>208643</xdr:colOff>
      <xdr:row>211</xdr:row>
      <xdr:rowOff>63877</xdr:rowOff>
    </xdr:from>
    <xdr:to>
      <xdr:col>23</xdr:col>
      <xdr:colOff>592667</xdr:colOff>
      <xdr:row>229</xdr:row>
      <xdr:rowOff>21166</xdr:rowOff>
    </xdr:to>
    <xdr:graphicFrame macro="">
      <xdr:nvGraphicFramePr>
        <xdr:cNvPr id="44" name="Chart 43">
          <a:extLst>
            <a:ext uri="{FF2B5EF4-FFF2-40B4-BE49-F238E27FC236}">
              <a16:creationId xmlns:a16="http://schemas.microsoft.com/office/drawing/2014/main" id="{00000000-0008-0000-0E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28222</xdr:colOff>
      <xdr:row>52</xdr:row>
      <xdr:rowOff>141112</xdr:rowOff>
    </xdr:from>
    <xdr:to>
      <xdr:col>11</xdr:col>
      <xdr:colOff>272142</xdr:colOff>
      <xdr:row>71</xdr:row>
      <xdr:rowOff>54428</xdr:rowOff>
    </xdr:to>
    <xdr:graphicFrame macro="">
      <xdr:nvGraphicFramePr>
        <xdr:cNvPr id="45" name="Chart 44">
          <a:extLst>
            <a:ext uri="{FF2B5EF4-FFF2-40B4-BE49-F238E27FC236}">
              <a16:creationId xmlns:a16="http://schemas.microsoft.com/office/drawing/2014/main" id="{00000000-0008-0000-0E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381000</xdr:colOff>
      <xdr:row>52</xdr:row>
      <xdr:rowOff>141111</xdr:rowOff>
    </xdr:from>
    <xdr:to>
      <xdr:col>14</xdr:col>
      <xdr:colOff>3483428</xdr:colOff>
      <xdr:row>71</xdr:row>
      <xdr:rowOff>36286</xdr:rowOff>
    </xdr:to>
    <xdr:graphicFrame macro="">
      <xdr:nvGraphicFramePr>
        <xdr:cNvPr id="46" name="Chart 45">
          <a:extLst>
            <a:ext uri="{FF2B5EF4-FFF2-40B4-BE49-F238E27FC236}">
              <a16:creationId xmlns:a16="http://schemas.microsoft.com/office/drawing/2014/main" id="{00000000-0008-0000-0E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105833</xdr:colOff>
      <xdr:row>238</xdr:row>
      <xdr:rowOff>130022</xdr:rowOff>
    </xdr:from>
    <xdr:to>
      <xdr:col>14</xdr:col>
      <xdr:colOff>1853292</xdr:colOff>
      <xdr:row>259</xdr:row>
      <xdr:rowOff>128207</xdr:rowOff>
    </xdr:to>
    <xdr:graphicFrame macro="">
      <xdr:nvGraphicFramePr>
        <xdr:cNvPr id="47" name="Chart 46">
          <a:extLst>
            <a:ext uri="{FF2B5EF4-FFF2-40B4-BE49-F238E27FC236}">
              <a16:creationId xmlns:a16="http://schemas.microsoft.com/office/drawing/2014/main" id="{00000000-0008-0000-0E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131234</xdr:colOff>
      <xdr:row>260</xdr:row>
      <xdr:rowOff>111580</xdr:rowOff>
    </xdr:from>
    <xdr:to>
      <xdr:col>11</xdr:col>
      <xdr:colOff>270366</xdr:colOff>
      <xdr:row>276</xdr:row>
      <xdr:rowOff>141816</xdr:rowOff>
    </xdr:to>
    <xdr:graphicFrame macro="">
      <xdr:nvGraphicFramePr>
        <xdr:cNvPr id="48" name="Chart 47">
          <a:extLst>
            <a:ext uri="{FF2B5EF4-FFF2-40B4-BE49-F238E27FC236}">
              <a16:creationId xmlns:a16="http://schemas.microsoft.com/office/drawing/2014/main" id="{00000000-0008-0000-0E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10</xdr:col>
      <xdr:colOff>579967</xdr:colOff>
      <xdr:row>260</xdr:row>
      <xdr:rowOff>111580</xdr:rowOff>
    </xdr:from>
    <xdr:to>
      <xdr:col>14</xdr:col>
      <xdr:colOff>1855392</xdr:colOff>
      <xdr:row>276</xdr:row>
      <xdr:rowOff>141816</xdr:rowOff>
    </xdr:to>
    <xdr:graphicFrame macro="">
      <xdr:nvGraphicFramePr>
        <xdr:cNvPr id="49" name="Chart 48">
          <a:extLst>
            <a:ext uri="{FF2B5EF4-FFF2-40B4-BE49-F238E27FC236}">
              <a16:creationId xmlns:a16="http://schemas.microsoft.com/office/drawing/2014/main" id="{00000000-0008-0000-0E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13</xdr:col>
      <xdr:colOff>768803</xdr:colOff>
      <xdr:row>177</xdr:row>
      <xdr:rowOff>35983</xdr:rowOff>
    </xdr:from>
    <xdr:to>
      <xdr:col>18</xdr:col>
      <xdr:colOff>733272</xdr:colOff>
      <xdr:row>195</xdr:row>
      <xdr:rowOff>60477</xdr:rowOff>
    </xdr:to>
    <xdr:graphicFrame macro="">
      <xdr:nvGraphicFramePr>
        <xdr:cNvPr id="50" name="Chart 49">
          <a:extLst>
            <a:ext uri="{FF2B5EF4-FFF2-40B4-BE49-F238E27FC236}">
              <a16:creationId xmlns:a16="http://schemas.microsoft.com/office/drawing/2014/main" id="{00000000-0008-0000-0E00-00003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9639</xdr:colOff>
      <xdr:row>89</xdr:row>
      <xdr:rowOff>150836</xdr:rowOff>
    </xdr:from>
    <xdr:to>
      <xdr:col>3</xdr:col>
      <xdr:colOff>903111</xdr:colOff>
      <xdr:row>109</xdr:row>
      <xdr:rowOff>127000</xdr:rowOff>
    </xdr:to>
    <xdr:graphicFrame macro="">
      <xdr:nvGraphicFramePr>
        <xdr:cNvPr id="51" name="Chart 50">
          <a:extLst>
            <a:ext uri="{FF2B5EF4-FFF2-40B4-BE49-F238E27FC236}">
              <a16:creationId xmlns:a16="http://schemas.microsoft.com/office/drawing/2014/main" id="{00000000-0008-0000-0E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268060</xdr:colOff>
      <xdr:row>178</xdr:row>
      <xdr:rowOff>70453</xdr:rowOff>
    </xdr:from>
    <xdr:to>
      <xdr:col>5</xdr:col>
      <xdr:colOff>5744</xdr:colOff>
      <xdr:row>196</xdr:row>
      <xdr:rowOff>76804</xdr:rowOff>
    </xdr:to>
    <xdr:graphicFrame macro="">
      <xdr:nvGraphicFramePr>
        <xdr:cNvPr id="52" name="Chart 51">
          <a:extLst>
            <a:ext uri="{FF2B5EF4-FFF2-40B4-BE49-F238E27FC236}">
              <a16:creationId xmlns:a16="http://schemas.microsoft.com/office/drawing/2014/main" id="{00000000-0008-0000-0E00-00003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6</xdr:col>
      <xdr:colOff>381000</xdr:colOff>
      <xdr:row>4</xdr:row>
      <xdr:rowOff>137584</xdr:rowOff>
    </xdr:from>
    <xdr:to>
      <xdr:col>12</xdr:col>
      <xdr:colOff>855738</xdr:colOff>
      <xdr:row>20</xdr:row>
      <xdr:rowOff>167820</xdr:rowOff>
    </xdr:to>
    <xdr:graphicFrame macro="">
      <xdr:nvGraphicFramePr>
        <xdr:cNvPr id="55" name="Chart 54">
          <a:extLst>
            <a:ext uri="{FF2B5EF4-FFF2-40B4-BE49-F238E27FC236}">
              <a16:creationId xmlns:a16="http://schemas.microsoft.com/office/drawing/2014/main" id="{799632EA-65CA-2A4C-A3DA-22CFE6436E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54427</xdr:colOff>
      <xdr:row>4</xdr:row>
      <xdr:rowOff>137584</xdr:rowOff>
    </xdr:from>
    <xdr:to>
      <xdr:col>7</xdr:col>
      <xdr:colOff>205655</xdr:colOff>
      <xdr:row>20</xdr:row>
      <xdr:rowOff>167820</xdr:rowOff>
    </xdr:to>
    <xdr:graphicFrame macro="">
      <xdr:nvGraphicFramePr>
        <xdr:cNvPr id="56" name="Chart 55">
          <a:extLst>
            <a:ext uri="{FF2B5EF4-FFF2-40B4-BE49-F238E27FC236}">
              <a16:creationId xmlns:a16="http://schemas.microsoft.com/office/drawing/2014/main" id="{002F3CFD-BA82-A943-A8C6-C1087FE71B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142118</xdr:colOff>
      <xdr:row>178</xdr:row>
      <xdr:rowOff>11794</xdr:rowOff>
    </xdr:from>
    <xdr:to>
      <xdr:col>11</xdr:col>
      <xdr:colOff>701525</xdr:colOff>
      <xdr:row>196</xdr:row>
      <xdr:rowOff>40822</xdr:rowOff>
    </xdr:to>
    <xdr:graphicFrame macro="">
      <xdr:nvGraphicFramePr>
        <xdr:cNvPr id="4" name="Chart 3">
          <a:extLst>
            <a:ext uri="{FF2B5EF4-FFF2-40B4-BE49-F238E27FC236}">
              <a16:creationId xmlns:a16="http://schemas.microsoft.com/office/drawing/2014/main" id="{E6D802C6-BFAF-4A41-9782-DE06A68A54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19</xdr:col>
      <xdr:colOff>362859</xdr:colOff>
      <xdr:row>177</xdr:row>
      <xdr:rowOff>36284</xdr:rowOff>
    </xdr:from>
    <xdr:to>
      <xdr:col>26</xdr:col>
      <xdr:colOff>816429</xdr:colOff>
      <xdr:row>194</xdr:row>
      <xdr:rowOff>181428</xdr:rowOff>
    </xdr:to>
    <xdr:graphicFrame macro="">
      <xdr:nvGraphicFramePr>
        <xdr:cNvPr id="59" name="Chart 58">
          <a:extLst>
            <a:ext uri="{FF2B5EF4-FFF2-40B4-BE49-F238E27FC236}">
              <a16:creationId xmlns:a16="http://schemas.microsoft.com/office/drawing/2014/main" id="{F6EC7FD9-EE9D-5549-AC32-B1766AC0C3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xdr:col>
      <xdr:colOff>195036</xdr:colOff>
      <xdr:row>90</xdr:row>
      <xdr:rowOff>0</xdr:rowOff>
    </xdr:from>
    <xdr:to>
      <xdr:col>11</xdr:col>
      <xdr:colOff>552097</xdr:colOff>
      <xdr:row>109</xdr:row>
      <xdr:rowOff>130527</xdr:rowOff>
    </xdr:to>
    <xdr:graphicFrame macro="">
      <xdr:nvGraphicFramePr>
        <xdr:cNvPr id="60" name="Chart 59">
          <a:extLst>
            <a:ext uri="{FF2B5EF4-FFF2-40B4-BE49-F238E27FC236}">
              <a16:creationId xmlns:a16="http://schemas.microsoft.com/office/drawing/2014/main" id="{7FAB663E-17E6-E940-B0C9-932EE1320F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11</xdr:col>
      <xdr:colOff>814917</xdr:colOff>
      <xdr:row>90</xdr:row>
      <xdr:rowOff>21167</xdr:rowOff>
    </xdr:from>
    <xdr:to>
      <xdr:col>16</xdr:col>
      <xdr:colOff>59972</xdr:colOff>
      <xdr:row>109</xdr:row>
      <xdr:rowOff>145647</xdr:rowOff>
    </xdr:to>
    <xdr:graphicFrame macro="">
      <xdr:nvGraphicFramePr>
        <xdr:cNvPr id="63" name="Chart 62">
          <a:extLst>
            <a:ext uri="{FF2B5EF4-FFF2-40B4-BE49-F238E27FC236}">
              <a16:creationId xmlns:a16="http://schemas.microsoft.com/office/drawing/2014/main" id="{915AF282-2302-B847-896C-6B0AD3F68C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680356</xdr:colOff>
      <xdr:row>1</xdr:row>
      <xdr:rowOff>184831</xdr:rowOff>
    </xdr:from>
    <xdr:to>
      <xdr:col>15</xdr:col>
      <xdr:colOff>355836</xdr:colOff>
      <xdr:row>5</xdr:row>
      <xdr:rowOff>89297</xdr:rowOff>
    </xdr:to>
    <xdr:pic>
      <xdr:nvPicPr>
        <xdr:cNvPr id="3" name="Picture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a:stretch>
          <a:fillRect/>
        </a:stretch>
      </xdr:blipFill>
      <xdr:spPr>
        <a:xfrm>
          <a:off x="9778999" y="348117"/>
          <a:ext cx="3013766" cy="79346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182562</xdr:colOff>
      <xdr:row>1</xdr:row>
      <xdr:rowOff>15875</xdr:rowOff>
    </xdr:from>
    <xdr:to>
      <xdr:col>15</xdr:col>
      <xdr:colOff>692613</xdr:colOff>
      <xdr:row>4</xdr:row>
      <xdr:rowOff>150528</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stretch>
          <a:fillRect/>
        </a:stretch>
      </xdr:blipFill>
      <xdr:spPr>
        <a:xfrm>
          <a:off x="10072687" y="182563"/>
          <a:ext cx="3034176" cy="8014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sheetPr>
  <dimension ref="A1:T46"/>
  <sheetViews>
    <sheetView showGridLines="0" tabSelected="1" zoomScale="80" zoomScaleNormal="80" zoomScalePageLayoutView="80" workbookViewId="0">
      <selection activeCell="B3" sqref="B3"/>
    </sheetView>
  </sheetViews>
  <sheetFormatPr baseColWidth="10" defaultColWidth="9.1640625" defaultRowHeight="13"/>
  <cols>
    <col min="1" max="1" width="4.5" style="1" customWidth="1"/>
    <col min="2" max="2" width="36.1640625" style="1" customWidth="1"/>
    <col min="3" max="3" width="41.5" style="1" customWidth="1"/>
    <col min="4" max="16384" width="9.1640625" style="1"/>
  </cols>
  <sheetData>
    <row r="1" spans="1:20">
      <c r="A1" s="3"/>
      <c r="B1" s="3"/>
      <c r="C1" s="3"/>
      <c r="D1" s="3"/>
      <c r="E1" s="3"/>
      <c r="F1" s="3"/>
      <c r="G1" s="3"/>
      <c r="H1" s="3"/>
      <c r="I1" s="3"/>
      <c r="J1" s="3"/>
      <c r="K1" s="3"/>
      <c r="L1" s="3"/>
      <c r="M1" s="3"/>
      <c r="N1" s="3"/>
      <c r="O1" s="3"/>
      <c r="P1" s="3"/>
      <c r="Q1" s="3"/>
      <c r="R1" s="3"/>
      <c r="S1" s="3"/>
      <c r="T1" s="3"/>
    </row>
    <row r="2" spans="1:20" ht="18">
      <c r="A2" s="3"/>
      <c r="B2" s="5" t="s">
        <v>213</v>
      </c>
      <c r="C2" s="3"/>
      <c r="E2" s="3"/>
      <c r="F2" s="3"/>
      <c r="G2" s="3"/>
      <c r="H2" s="3"/>
      <c r="I2" s="3"/>
      <c r="J2" s="3"/>
      <c r="K2" s="3"/>
      <c r="L2" s="3"/>
      <c r="M2" s="3"/>
      <c r="N2" s="3"/>
      <c r="O2" s="3"/>
      <c r="P2" s="3"/>
      <c r="Q2" s="3"/>
      <c r="R2" s="3"/>
      <c r="S2" s="3"/>
      <c r="T2" s="3"/>
    </row>
    <row r="3" spans="1:20" ht="16">
      <c r="A3" s="3"/>
      <c r="B3" s="439" t="s">
        <v>295</v>
      </c>
      <c r="C3" s="3"/>
      <c r="D3" s="3"/>
      <c r="E3" s="3"/>
      <c r="F3" s="3"/>
      <c r="G3" s="3"/>
      <c r="H3" s="3"/>
      <c r="I3" s="3"/>
      <c r="J3" s="3"/>
      <c r="K3" s="3"/>
      <c r="L3" s="3"/>
      <c r="M3" s="3"/>
      <c r="N3" s="3"/>
      <c r="O3" s="3"/>
      <c r="P3" s="3"/>
      <c r="Q3" s="3"/>
      <c r="R3" s="3"/>
      <c r="S3" s="3"/>
      <c r="T3" s="3"/>
    </row>
    <row r="4" spans="1:20">
      <c r="A4" s="3"/>
      <c r="C4" s="3"/>
      <c r="D4" s="3"/>
      <c r="E4" s="3"/>
      <c r="F4" s="3"/>
      <c r="G4" s="3"/>
      <c r="H4" s="3"/>
      <c r="I4" s="3"/>
      <c r="J4" s="3"/>
      <c r="K4" s="3"/>
      <c r="L4" s="3"/>
      <c r="M4" s="3"/>
      <c r="N4" s="3"/>
      <c r="O4" s="3"/>
      <c r="P4" s="3"/>
      <c r="Q4" s="3"/>
      <c r="R4" s="3"/>
      <c r="S4" s="3"/>
      <c r="T4" s="3"/>
    </row>
    <row r="5" spans="1:20" ht="18">
      <c r="A5" s="3"/>
      <c r="B5" s="5" t="s">
        <v>43</v>
      </c>
      <c r="C5" s="3"/>
      <c r="D5" s="3"/>
      <c r="E5" s="3"/>
      <c r="F5" s="3"/>
      <c r="G5" s="3"/>
      <c r="H5" s="3"/>
      <c r="I5" s="3"/>
      <c r="J5" s="3"/>
      <c r="K5" s="3"/>
      <c r="L5" s="3"/>
      <c r="M5" s="3"/>
      <c r="N5" s="3"/>
      <c r="O5" s="3"/>
      <c r="P5" s="3"/>
      <c r="Q5" s="3"/>
      <c r="R5" s="3"/>
      <c r="S5" s="3"/>
      <c r="T5" s="3"/>
    </row>
    <row r="6" spans="1:20" ht="12.75" customHeight="1">
      <c r="A6" s="3"/>
      <c r="B6" s="440" t="s">
        <v>216</v>
      </c>
      <c r="C6" s="440"/>
      <c r="D6" s="440"/>
      <c r="E6" s="440"/>
      <c r="F6" s="440"/>
      <c r="G6" s="440"/>
      <c r="H6" s="440"/>
      <c r="I6" s="440"/>
      <c r="J6" s="440"/>
      <c r="K6" s="440"/>
      <c r="L6" s="440"/>
      <c r="M6" s="440"/>
      <c r="N6" s="3"/>
      <c r="O6" s="3"/>
      <c r="P6" s="3"/>
      <c r="Q6" s="3"/>
      <c r="R6" s="3"/>
      <c r="S6" s="3"/>
      <c r="T6" s="3"/>
    </row>
    <row r="7" spans="1:20">
      <c r="A7" s="3"/>
      <c r="B7" s="440"/>
      <c r="C7" s="440"/>
      <c r="D7" s="440"/>
      <c r="E7" s="440"/>
      <c r="F7" s="440"/>
      <c r="G7" s="440"/>
      <c r="H7" s="440"/>
      <c r="I7" s="440"/>
      <c r="J7" s="440"/>
      <c r="K7" s="440"/>
      <c r="L7" s="440"/>
      <c r="M7" s="440"/>
      <c r="N7" s="3"/>
      <c r="O7" s="3"/>
      <c r="P7" s="3"/>
      <c r="Q7" s="3"/>
      <c r="R7" s="3"/>
      <c r="S7" s="3"/>
      <c r="T7" s="3"/>
    </row>
    <row r="8" spans="1:20">
      <c r="A8" s="3"/>
      <c r="B8" s="440"/>
      <c r="C8" s="440"/>
      <c r="D8" s="440"/>
      <c r="E8" s="440"/>
      <c r="F8" s="440"/>
      <c r="G8" s="440"/>
      <c r="H8" s="440"/>
      <c r="I8" s="440"/>
      <c r="J8" s="440"/>
      <c r="K8" s="440"/>
      <c r="L8" s="440"/>
      <c r="M8" s="440"/>
      <c r="N8" s="3"/>
      <c r="O8" s="3"/>
      <c r="P8" s="3"/>
      <c r="Q8" s="3"/>
      <c r="R8" s="3"/>
      <c r="S8" s="3"/>
      <c r="T8" s="3"/>
    </row>
    <row r="9" spans="1:20">
      <c r="A9" s="3"/>
      <c r="B9" s="440"/>
      <c r="C9" s="440"/>
      <c r="D9" s="440"/>
      <c r="E9" s="440"/>
      <c r="F9" s="440"/>
      <c r="G9" s="440"/>
      <c r="H9" s="440"/>
      <c r="I9" s="440"/>
      <c r="J9" s="440"/>
      <c r="K9" s="440"/>
      <c r="L9" s="440"/>
      <c r="M9" s="440"/>
      <c r="N9" s="3"/>
      <c r="O9" s="3"/>
      <c r="P9" s="3"/>
      <c r="Q9" s="3"/>
      <c r="R9" s="3"/>
      <c r="S9" s="3"/>
      <c r="T9" s="3"/>
    </row>
    <row r="10" spans="1:20">
      <c r="A10" s="3"/>
      <c r="B10" s="440"/>
      <c r="C10" s="440"/>
      <c r="D10" s="440"/>
      <c r="E10" s="440"/>
      <c r="F10" s="440"/>
      <c r="G10" s="440"/>
      <c r="H10" s="440"/>
      <c r="I10" s="440"/>
      <c r="J10" s="440"/>
      <c r="K10" s="440"/>
      <c r="L10" s="440"/>
      <c r="M10" s="440"/>
      <c r="N10" s="3"/>
      <c r="O10" s="3"/>
      <c r="P10" s="3"/>
      <c r="Q10" s="3"/>
      <c r="R10" s="3"/>
      <c r="S10" s="3"/>
      <c r="T10" s="3"/>
    </row>
    <row r="11" spans="1:20" ht="24" customHeight="1">
      <c r="A11" s="3"/>
      <c r="B11" s="71" t="s">
        <v>36</v>
      </c>
      <c r="C11" s="70"/>
      <c r="D11" s="3"/>
      <c r="E11" s="3"/>
      <c r="F11" s="3"/>
      <c r="G11" s="3"/>
      <c r="H11" s="3"/>
      <c r="I11" s="3"/>
      <c r="J11" s="3"/>
      <c r="K11" s="3"/>
      <c r="L11" s="3"/>
      <c r="M11" s="3"/>
      <c r="N11" s="3"/>
      <c r="O11" s="3"/>
      <c r="P11" s="3"/>
      <c r="Q11" s="3"/>
      <c r="R11" s="3"/>
      <c r="S11" s="3"/>
      <c r="T11" s="3"/>
    </row>
    <row r="12" spans="1:20" ht="24" customHeight="1">
      <c r="A12" s="3"/>
      <c r="B12" s="70" t="s">
        <v>35</v>
      </c>
      <c r="C12" s="70"/>
      <c r="D12" s="3"/>
      <c r="E12" s="3"/>
      <c r="F12" s="3"/>
      <c r="G12" s="3"/>
      <c r="H12" s="3"/>
      <c r="I12" s="3"/>
      <c r="J12" s="3"/>
      <c r="K12" s="3"/>
      <c r="L12" s="3"/>
      <c r="M12" s="3"/>
      <c r="N12" s="3"/>
      <c r="O12" s="3"/>
      <c r="P12" s="3"/>
      <c r="Q12" s="3"/>
      <c r="R12" s="3"/>
      <c r="S12" s="3"/>
      <c r="T12" s="3"/>
    </row>
    <row r="13" spans="1:20" ht="24" customHeight="1">
      <c r="A13" s="3"/>
      <c r="B13" s="360" t="s">
        <v>215</v>
      </c>
      <c r="C13" s="7"/>
      <c r="D13" s="3"/>
      <c r="E13" s="3"/>
      <c r="F13" s="3"/>
      <c r="G13" s="3"/>
      <c r="H13" s="3"/>
      <c r="I13" s="3"/>
      <c r="J13" s="3"/>
      <c r="K13" s="3"/>
      <c r="L13" s="3"/>
      <c r="M13" s="3"/>
      <c r="N13" s="3"/>
      <c r="O13" s="3"/>
      <c r="P13" s="3"/>
      <c r="Q13" s="3"/>
      <c r="R13" s="3"/>
      <c r="S13" s="3"/>
      <c r="T13" s="3"/>
    </row>
    <row r="14" spans="1:20">
      <c r="A14" s="3"/>
      <c r="C14" s="3"/>
      <c r="D14" s="3"/>
      <c r="E14" s="3"/>
      <c r="F14" s="3"/>
      <c r="G14" s="3"/>
      <c r="H14" s="3"/>
      <c r="I14" s="3"/>
      <c r="J14" s="3"/>
      <c r="K14" s="3"/>
      <c r="L14" s="3"/>
      <c r="M14" s="3"/>
      <c r="N14" s="3"/>
      <c r="O14" s="3"/>
      <c r="P14" s="3"/>
      <c r="Q14" s="3"/>
      <c r="R14" s="3"/>
      <c r="S14" s="3"/>
      <c r="T14" s="3"/>
    </row>
    <row r="15" spans="1:20">
      <c r="A15" s="3"/>
      <c r="B15" s="3"/>
      <c r="C15" s="3"/>
      <c r="D15" s="3"/>
      <c r="E15" s="3"/>
      <c r="F15" s="3"/>
      <c r="G15" s="3"/>
      <c r="H15" s="3"/>
      <c r="I15" s="3"/>
      <c r="J15" s="3"/>
      <c r="K15" s="3"/>
      <c r="L15" s="3"/>
      <c r="M15" s="3"/>
      <c r="N15" s="3"/>
      <c r="O15" s="3"/>
      <c r="P15" s="3"/>
      <c r="Q15" s="3"/>
      <c r="R15" s="3"/>
      <c r="S15" s="3"/>
      <c r="T15" s="3"/>
    </row>
    <row r="16" spans="1:20" ht="18.75" customHeight="1">
      <c r="A16" s="3"/>
      <c r="B16" s="3"/>
      <c r="C16" s="3"/>
      <c r="D16" s="3"/>
      <c r="E16" s="3"/>
      <c r="F16" s="3"/>
      <c r="G16" s="3"/>
      <c r="H16" s="3"/>
      <c r="I16" s="3"/>
      <c r="J16" s="3"/>
      <c r="K16" s="3"/>
      <c r="L16" s="3"/>
      <c r="M16" s="3"/>
      <c r="N16" s="3"/>
      <c r="O16" s="3"/>
      <c r="P16" s="3"/>
      <c r="Q16" s="3"/>
      <c r="R16" s="3"/>
      <c r="S16" s="3"/>
      <c r="T16" s="3"/>
    </row>
    <row r="17" spans="1:20">
      <c r="A17" s="3"/>
      <c r="B17" s="3"/>
      <c r="C17" s="3"/>
      <c r="D17" s="3"/>
      <c r="E17" s="3"/>
      <c r="F17" s="3"/>
      <c r="G17" s="3"/>
      <c r="H17" s="3"/>
      <c r="I17" s="3"/>
      <c r="J17" s="3"/>
      <c r="K17" s="3"/>
      <c r="L17" s="3"/>
      <c r="M17" s="3"/>
      <c r="N17" s="3"/>
      <c r="O17" s="3"/>
      <c r="P17" s="3"/>
      <c r="Q17" s="3"/>
      <c r="R17" s="3"/>
      <c r="S17" s="3"/>
      <c r="T17" s="3"/>
    </row>
    <row r="18" spans="1:20">
      <c r="A18" s="3"/>
      <c r="B18" s="3"/>
      <c r="C18" s="3"/>
      <c r="D18" s="3"/>
      <c r="E18" s="3"/>
      <c r="F18" s="3"/>
      <c r="G18" s="3"/>
      <c r="H18" s="3"/>
      <c r="I18" s="3"/>
      <c r="J18" s="3"/>
      <c r="K18" s="3"/>
      <c r="L18" s="3"/>
      <c r="M18" s="3"/>
      <c r="N18" s="3"/>
      <c r="O18" s="3"/>
      <c r="P18" s="3"/>
      <c r="Q18" s="3"/>
      <c r="R18" s="3"/>
      <c r="S18" s="3"/>
      <c r="T18" s="3"/>
    </row>
    <row r="19" spans="1:20">
      <c r="A19" s="3"/>
      <c r="B19" s="3"/>
      <c r="C19" s="3"/>
      <c r="D19" s="3"/>
      <c r="E19" s="3"/>
      <c r="F19" s="3"/>
      <c r="G19" s="3"/>
      <c r="H19" s="3"/>
      <c r="I19" s="3"/>
      <c r="J19" s="3"/>
      <c r="K19" s="3"/>
      <c r="L19" s="3"/>
      <c r="M19" s="3"/>
      <c r="N19" s="3"/>
      <c r="O19" s="3"/>
      <c r="P19" s="3"/>
      <c r="Q19" s="3"/>
      <c r="R19" s="3"/>
      <c r="S19" s="3"/>
      <c r="T19" s="3"/>
    </row>
    <row r="20" spans="1:20">
      <c r="A20" s="3"/>
      <c r="B20" s="3"/>
      <c r="C20" s="3"/>
      <c r="D20" s="3"/>
      <c r="E20" s="3"/>
      <c r="F20" s="3"/>
      <c r="G20" s="3"/>
      <c r="H20" s="3"/>
      <c r="I20" s="3"/>
      <c r="J20" s="3"/>
      <c r="K20" s="3"/>
      <c r="L20" s="3"/>
      <c r="M20" s="3"/>
      <c r="N20" s="3"/>
      <c r="O20" s="3"/>
      <c r="P20" s="3"/>
      <c r="Q20" s="3"/>
      <c r="R20" s="3"/>
      <c r="S20" s="3"/>
      <c r="T20" s="3"/>
    </row>
    <row r="21" spans="1:20">
      <c r="A21" s="3"/>
      <c r="B21" s="3"/>
      <c r="C21" s="3"/>
      <c r="D21" s="3"/>
      <c r="E21" s="3"/>
      <c r="F21" s="3"/>
      <c r="G21" s="3"/>
      <c r="H21" s="3"/>
      <c r="I21" s="3"/>
      <c r="J21" s="3"/>
      <c r="K21" s="3"/>
      <c r="L21" s="3"/>
      <c r="M21" s="3"/>
      <c r="N21" s="3"/>
      <c r="O21" s="3"/>
      <c r="P21" s="3"/>
      <c r="Q21" s="3"/>
      <c r="R21" s="3"/>
      <c r="S21" s="3"/>
      <c r="T21" s="3"/>
    </row>
    <row r="22" spans="1:20">
      <c r="A22" s="3"/>
      <c r="B22" s="3"/>
      <c r="C22" s="3"/>
      <c r="D22" s="3"/>
      <c r="E22" s="3"/>
      <c r="F22" s="3"/>
      <c r="G22" s="3"/>
      <c r="H22" s="3"/>
      <c r="I22" s="3"/>
      <c r="J22" s="3"/>
      <c r="K22" s="3"/>
      <c r="L22" s="3"/>
      <c r="M22" s="3"/>
      <c r="N22" s="3"/>
      <c r="O22" s="3"/>
      <c r="P22" s="3"/>
      <c r="Q22" s="3"/>
      <c r="R22" s="3"/>
      <c r="S22" s="3"/>
      <c r="T22" s="3"/>
    </row>
    <row r="23" spans="1:20">
      <c r="A23" s="3"/>
      <c r="B23" s="3"/>
      <c r="C23" s="3"/>
      <c r="D23" s="3"/>
      <c r="E23" s="3"/>
      <c r="F23" s="3"/>
      <c r="G23" s="3"/>
      <c r="H23" s="3"/>
      <c r="I23" s="3"/>
      <c r="J23" s="3"/>
      <c r="K23" s="3"/>
      <c r="L23" s="3"/>
      <c r="M23" s="3"/>
      <c r="N23" s="3"/>
      <c r="O23" s="3"/>
      <c r="P23" s="3"/>
      <c r="Q23" s="3"/>
      <c r="R23" s="3"/>
      <c r="S23" s="3"/>
      <c r="T23" s="3"/>
    </row>
    <row r="24" spans="1:20">
      <c r="A24" s="3"/>
      <c r="B24" s="3"/>
      <c r="C24" s="3"/>
      <c r="D24" s="3"/>
      <c r="E24" s="3"/>
      <c r="F24" s="3"/>
      <c r="G24" s="3"/>
      <c r="H24" s="3"/>
      <c r="I24" s="3"/>
      <c r="J24" s="3"/>
      <c r="K24" s="3"/>
      <c r="L24" s="3"/>
      <c r="M24" s="3"/>
      <c r="N24" s="3"/>
      <c r="O24" s="3"/>
      <c r="P24" s="3"/>
      <c r="Q24" s="3"/>
      <c r="R24" s="3"/>
      <c r="S24" s="3"/>
      <c r="T24" s="3"/>
    </row>
    <row r="25" spans="1:20">
      <c r="A25" s="3"/>
      <c r="B25" s="3"/>
      <c r="C25" s="3"/>
      <c r="D25" s="3"/>
      <c r="E25" s="3"/>
      <c r="F25" s="3"/>
      <c r="G25" s="3"/>
      <c r="H25" s="3"/>
      <c r="I25" s="3"/>
      <c r="J25" s="3"/>
      <c r="K25" s="3"/>
      <c r="L25" s="3"/>
      <c r="M25" s="3"/>
      <c r="N25" s="3"/>
      <c r="O25" s="3"/>
      <c r="P25" s="3"/>
      <c r="Q25" s="3"/>
      <c r="R25" s="3"/>
      <c r="S25" s="3"/>
      <c r="T25" s="3"/>
    </row>
    <row r="26" spans="1:20">
      <c r="A26" s="3"/>
      <c r="B26" s="3"/>
      <c r="C26" s="3"/>
      <c r="D26" s="3"/>
      <c r="E26" s="3"/>
      <c r="F26" s="3"/>
      <c r="G26" s="3"/>
      <c r="H26" s="3"/>
      <c r="I26" s="3"/>
      <c r="J26" s="3"/>
      <c r="K26" s="3"/>
      <c r="L26" s="3"/>
      <c r="M26" s="3"/>
      <c r="N26" s="3"/>
      <c r="O26" s="3"/>
      <c r="P26" s="3"/>
      <c r="Q26" s="3"/>
      <c r="R26" s="3"/>
      <c r="S26" s="3"/>
      <c r="T26" s="3"/>
    </row>
    <row r="27" spans="1:20">
      <c r="A27" s="3"/>
      <c r="B27" s="3"/>
      <c r="C27" s="3"/>
      <c r="D27" s="3"/>
      <c r="E27" s="3"/>
      <c r="F27" s="3"/>
      <c r="G27" s="3"/>
      <c r="H27" s="3"/>
      <c r="I27" s="3"/>
      <c r="J27" s="3"/>
      <c r="K27" s="3"/>
      <c r="L27" s="3"/>
      <c r="M27" s="3"/>
      <c r="N27" s="3"/>
      <c r="O27" s="3"/>
      <c r="P27" s="3"/>
      <c r="Q27" s="3"/>
      <c r="R27" s="3"/>
      <c r="S27" s="3"/>
      <c r="T27" s="3"/>
    </row>
    <row r="28" spans="1:20">
      <c r="A28" s="3"/>
      <c r="B28" s="3"/>
      <c r="C28" s="3"/>
      <c r="D28" s="3"/>
      <c r="E28" s="3"/>
      <c r="F28" s="3"/>
      <c r="G28" s="3"/>
      <c r="H28" s="3"/>
      <c r="I28" s="3"/>
      <c r="J28" s="3"/>
      <c r="K28" s="3"/>
      <c r="L28" s="3"/>
      <c r="M28" s="3"/>
      <c r="N28" s="3"/>
      <c r="O28" s="3"/>
      <c r="P28" s="3"/>
      <c r="Q28" s="3"/>
      <c r="R28" s="3"/>
      <c r="S28" s="3"/>
      <c r="T28" s="3"/>
    </row>
    <row r="29" spans="1:20">
      <c r="A29" s="3"/>
      <c r="B29" s="3"/>
      <c r="C29" s="3"/>
      <c r="D29" s="3"/>
      <c r="E29" s="3"/>
      <c r="F29" s="3"/>
      <c r="G29" s="3"/>
      <c r="H29" s="3"/>
      <c r="I29" s="3"/>
      <c r="J29" s="3"/>
      <c r="K29" s="3"/>
      <c r="L29" s="3"/>
      <c r="M29" s="3"/>
      <c r="N29" s="3"/>
      <c r="O29" s="3"/>
      <c r="P29" s="3"/>
      <c r="Q29" s="3"/>
      <c r="R29" s="3"/>
      <c r="S29" s="3"/>
      <c r="T29" s="3"/>
    </row>
    <row r="30" spans="1:20">
      <c r="A30" s="3"/>
      <c r="B30" s="3"/>
      <c r="C30" s="3"/>
      <c r="D30" s="3"/>
      <c r="E30" s="3"/>
      <c r="F30" s="3"/>
      <c r="G30" s="3"/>
      <c r="H30" s="3"/>
      <c r="I30" s="3"/>
      <c r="J30" s="3"/>
      <c r="K30" s="3"/>
      <c r="L30" s="3"/>
      <c r="M30" s="3"/>
      <c r="N30" s="3"/>
      <c r="O30" s="3"/>
      <c r="P30" s="3"/>
      <c r="Q30" s="3"/>
      <c r="R30" s="3"/>
      <c r="S30" s="3"/>
      <c r="T30" s="3"/>
    </row>
    <row r="31" spans="1:20">
      <c r="A31" s="3"/>
      <c r="B31" s="3"/>
      <c r="C31" s="3"/>
      <c r="D31" s="3"/>
      <c r="E31" s="3"/>
      <c r="F31" s="3"/>
      <c r="G31" s="3"/>
      <c r="H31" s="3"/>
      <c r="I31" s="3"/>
      <c r="J31" s="3"/>
      <c r="K31" s="3"/>
      <c r="L31" s="3"/>
      <c r="M31" s="3"/>
      <c r="N31" s="3"/>
      <c r="O31" s="3"/>
      <c r="P31" s="3"/>
      <c r="Q31" s="3"/>
      <c r="R31" s="3"/>
      <c r="S31" s="3"/>
      <c r="T31" s="3"/>
    </row>
    <row r="32" spans="1:20">
      <c r="A32" s="3"/>
      <c r="B32" s="3"/>
      <c r="C32" s="3"/>
      <c r="D32" s="3"/>
      <c r="E32" s="3"/>
      <c r="F32" s="3"/>
      <c r="G32" s="3"/>
      <c r="H32" s="3"/>
      <c r="I32" s="3"/>
      <c r="J32" s="3"/>
      <c r="K32" s="3"/>
      <c r="L32" s="3"/>
      <c r="M32" s="3"/>
      <c r="N32" s="3"/>
      <c r="O32" s="3"/>
      <c r="P32" s="3"/>
      <c r="Q32" s="3"/>
      <c r="R32" s="3"/>
      <c r="S32" s="3"/>
      <c r="T32" s="3"/>
    </row>
    <row r="33" spans="1:20">
      <c r="A33" s="3"/>
      <c r="B33" s="3"/>
      <c r="C33" s="3"/>
      <c r="D33" s="3"/>
      <c r="E33" s="3"/>
      <c r="F33" s="3"/>
      <c r="G33" s="3"/>
      <c r="H33" s="3"/>
      <c r="I33" s="3"/>
      <c r="J33" s="3"/>
      <c r="K33" s="3"/>
      <c r="L33" s="3"/>
      <c r="M33" s="3"/>
      <c r="N33" s="3"/>
      <c r="O33" s="3"/>
      <c r="P33" s="3"/>
      <c r="Q33" s="3"/>
      <c r="R33" s="3"/>
      <c r="S33" s="3"/>
      <c r="T33" s="3"/>
    </row>
    <row r="34" spans="1:20">
      <c r="A34" s="3"/>
      <c r="B34" s="3"/>
      <c r="C34" s="3"/>
      <c r="D34" s="3"/>
      <c r="E34" s="3"/>
      <c r="F34" s="3"/>
      <c r="G34" s="3"/>
      <c r="H34" s="3"/>
      <c r="I34" s="3"/>
      <c r="J34" s="3"/>
      <c r="K34" s="3"/>
      <c r="L34" s="3"/>
      <c r="M34" s="3"/>
      <c r="N34" s="3"/>
      <c r="O34" s="3"/>
      <c r="P34" s="3"/>
      <c r="Q34" s="3"/>
      <c r="R34" s="3"/>
      <c r="S34" s="3"/>
      <c r="T34" s="3"/>
    </row>
    <row r="35" spans="1:20">
      <c r="A35" s="3"/>
      <c r="B35" s="3"/>
      <c r="C35" s="3"/>
      <c r="D35" s="3"/>
      <c r="E35" s="3"/>
      <c r="F35" s="3"/>
      <c r="G35" s="3"/>
      <c r="H35" s="3"/>
      <c r="I35" s="3"/>
      <c r="J35" s="3"/>
      <c r="K35" s="3"/>
      <c r="L35" s="3"/>
      <c r="M35" s="3"/>
      <c r="N35" s="3"/>
      <c r="O35" s="3"/>
      <c r="P35" s="3"/>
      <c r="Q35" s="3"/>
      <c r="R35" s="3"/>
      <c r="S35" s="3"/>
      <c r="T35" s="3"/>
    </row>
    <row r="36" spans="1:20">
      <c r="A36" s="3"/>
      <c r="B36" s="3"/>
      <c r="C36" s="3"/>
      <c r="D36" s="3"/>
      <c r="E36" s="3"/>
      <c r="F36" s="3"/>
      <c r="G36" s="3"/>
      <c r="H36" s="3"/>
      <c r="I36" s="3"/>
      <c r="J36" s="3"/>
      <c r="K36" s="3"/>
      <c r="L36" s="3"/>
      <c r="M36" s="3"/>
      <c r="N36" s="3"/>
      <c r="O36" s="3"/>
      <c r="P36" s="3"/>
      <c r="Q36" s="3"/>
      <c r="R36" s="3"/>
      <c r="S36" s="3"/>
      <c r="T36" s="3"/>
    </row>
    <row r="37" spans="1:20">
      <c r="A37" s="3"/>
      <c r="B37" s="3"/>
      <c r="C37" s="3"/>
      <c r="D37" s="3"/>
      <c r="E37" s="3"/>
      <c r="F37" s="3"/>
      <c r="G37" s="3"/>
      <c r="H37" s="3"/>
      <c r="I37" s="3"/>
      <c r="J37" s="3"/>
      <c r="K37" s="3"/>
      <c r="L37" s="3"/>
      <c r="M37" s="3"/>
      <c r="N37" s="3"/>
      <c r="O37" s="3"/>
      <c r="P37" s="3"/>
      <c r="Q37" s="3"/>
      <c r="R37" s="3"/>
      <c r="S37" s="3"/>
      <c r="T37" s="3"/>
    </row>
    <row r="38" spans="1:20">
      <c r="A38" s="3"/>
      <c r="B38" s="3"/>
      <c r="C38" s="3"/>
      <c r="D38" s="3"/>
      <c r="E38" s="3"/>
      <c r="F38" s="3"/>
      <c r="G38" s="3"/>
      <c r="H38" s="3"/>
      <c r="I38" s="3"/>
      <c r="J38" s="3"/>
      <c r="K38" s="3"/>
      <c r="L38" s="3"/>
      <c r="M38" s="3"/>
      <c r="N38" s="3"/>
      <c r="O38" s="3"/>
      <c r="P38" s="3"/>
      <c r="Q38" s="3"/>
      <c r="R38" s="3"/>
      <c r="S38" s="3"/>
      <c r="T38" s="3"/>
    </row>
    <row r="39" spans="1:20">
      <c r="A39" s="3"/>
      <c r="B39" s="3"/>
      <c r="C39" s="3"/>
      <c r="D39" s="3"/>
      <c r="E39" s="3"/>
      <c r="F39" s="3"/>
      <c r="G39" s="3"/>
      <c r="H39" s="3"/>
      <c r="I39" s="3"/>
      <c r="J39" s="3"/>
      <c r="K39" s="3"/>
      <c r="L39" s="3"/>
      <c r="M39" s="3"/>
      <c r="N39" s="3"/>
      <c r="O39" s="3"/>
      <c r="P39" s="3"/>
      <c r="Q39" s="3"/>
      <c r="R39" s="3"/>
      <c r="S39" s="3"/>
      <c r="T39" s="3"/>
    </row>
    <row r="40" spans="1:20">
      <c r="A40" s="3"/>
      <c r="B40" s="3"/>
      <c r="C40" s="3"/>
      <c r="D40" s="3"/>
      <c r="E40" s="3"/>
      <c r="F40" s="3"/>
      <c r="G40" s="3"/>
      <c r="H40" s="3"/>
      <c r="I40" s="3"/>
      <c r="J40" s="3"/>
      <c r="K40" s="3"/>
      <c r="L40" s="3"/>
      <c r="M40" s="3"/>
      <c r="N40" s="3"/>
      <c r="O40" s="3"/>
      <c r="P40" s="3"/>
      <c r="Q40" s="3"/>
      <c r="R40" s="3"/>
      <c r="S40" s="3"/>
      <c r="T40" s="3"/>
    </row>
    <row r="41" spans="1:20">
      <c r="A41" s="3"/>
      <c r="B41" s="3"/>
      <c r="C41" s="3"/>
      <c r="D41" s="3"/>
      <c r="E41" s="3"/>
      <c r="F41" s="3"/>
      <c r="G41" s="3"/>
      <c r="H41" s="3"/>
      <c r="I41" s="3"/>
      <c r="J41" s="3"/>
      <c r="K41" s="3"/>
      <c r="L41" s="3"/>
      <c r="M41" s="3"/>
      <c r="N41" s="3"/>
      <c r="O41" s="3"/>
      <c r="P41" s="3"/>
      <c r="Q41" s="3"/>
      <c r="R41" s="3"/>
      <c r="S41" s="3"/>
      <c r="T41" s="3"/>
    </row>
    <row r="42" spans="1:20">
      <c r="A42" s="3"/>
      <c r="B42" s="3"/>
      <c r="C42" s="3"/>
      <c r="D42" s="3"/>
      <c r="E42" s="3"/>
      <c r="F42" s="3"/>
      <c r="G42" s="3"/>
      <c r="H42" s="3"/>
      <c r="I42" s="3"/>
      <c r="J42" s="3"/>
      <c r="K42" s="3"/>
      <c r="L42" s="3"/>
      <c r="M42" s="3"/>
      <c r="N42" s="3"/>
      <c r="O42" s="3"/>
      <c r="P42" s="3"/>
      <c r="Q42" s="3"/>
      <c r="R42" s="3"/>
      <c r="S42" s="3"/>
      <c r="T42" s="3"/>
    </row>
    <row r="43" spans="1:20">
      <c r="A43" s="3"/>
      <c r="B43" s="3"/>
      <c r="C43" s="3"/>
      <c r="D43" s="3"/>
      <c r="E43" s="3"/>
      <c r="F43" s="3"/>
      <c r="G43" s="3"/>
      <c r="H43" s="3"/>
      <c r="I43" s="3"/>
      <c r="J43" s="3"/>
      <c r="K43" s="3"/>
      <c r="L43" s="3"/>
      <c r="M43" s="3"/>
      <c r="N43" s="3"/>
      <c r="O43" s="3"/>
      <c r="P43" s="3"/>
      <c r="Q43" s="3"/>
      <c r="R43" s="3"/>
      <c r="S43" s="3"/>
      <c r="T43" s="3"/>
    </row>
    <row r="44" spans="1:20">
      <c r="A44" s="3"/>
      <c r="B44" s="3"/>
      <c r="C44" s="3"/>
      <c r="D44" s="3"/>
      <c r="E44" s="3"/>
      <c r="F44" s="3"/>
      <c r="G44" s="3"/>
      <c r="H44" s="3"/>
      <c r="I44" s="3"/>
      <c r="J44" s="3"/>
      <c r="K44" s="3"/>
      <c r="L44" s="3"/>
      <c r="M44" s="3"/>
      <c r="N44" s="3"/>
      <c r="O44" s="3"/>
      <c r="P44" s="3"/>
      <c r="Q44" s="3"/>
      <c r="R44" s="3"/>
      <c r="S44" s="3"/>
      <c r="T44" s="3"/>
    </row>
    <row r="45" spans="1:20">
      <c r="A45" s="3"/>
      <c r="B45" s="3"/>
      <c r="C45" s="3"/>
      <c r="D45" s="3"/>
      <c r="E45" s="3"/>
      <c r="F45" s="3"/>
      <c r="G45" s="3"/>
      <c r="H45" s="3"/>
      <c r="I45" s="3"/>
      <c r="J45" s="3"/>
      <c r="K45" s="3"/>
      <c r="L45" s="3"/>
      <c r="M45" s="3"/>
      <c r="N45" s="3"/>
      <c r="O45" s="3"/>
      <c r="P45" s="3"/>
      <c r="Q45" s="3"/>
      <c r="R45" s="3"/>
      <c r="S45" s="3"/>
      <c r="T45" s="3"/>
    </row>
    <row r="46" spans="1:20">
      <c r="A46" s="3"/>
      <c r="B46" s="3"/>
      <c r="C46" s="3"/>
      <c r="D46" s="3"/>
      <c r="E46" s="3"/>
      <c r="F46" s="3"/>
      <c r="G46" s="3"/>
      <c r="H46" s="3"/>
      <c r="I46" s="3"/>
      <c r="J46" s="3"/>
      <c r="K46" s="3"/>
      <c r="L46" s="3"/>
      <c r="M46" s="3"/>
      <c r="N46" s="3"/>
      <c r="O46" s="3"/>
      <c r="P46" s="3"/>
      <c r="Q46" s="3"/>
      <c r="R46" s="3"/>
      <c r="S46" s="3"/>
      <c r="T46" s="3"/>
    </row>
  </sheetData>
  <mergeCells count="1">
    <mergeCell ref="B6:M10"/>
  </mergeCells>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CC"/>
  </sheetPr>
  <dimension ref="B2:Q72"/>
  <sheetViews>
    <sheetView showGridLines="0" zoomScale="80" zoomScaleNormal="80" zoomScalePageLayoutView="80" workbookViewId="0">
      <selection activeCell="N27" sqref="N27"/>
    </sheetView>
  </sheetViews>
  <sheetFormatPr baseColWidth="10" defaultColWidth="8.83203125" defaultRowHeight="14"/>
  <cols>
    <col min="1" max="1" width="4.5" style="11" customWidth="1"/>
    <col min="2" max="2" width="26.83203125" style="11" customWidth="1"/>
    <col min="3" max="4" width="12" style="11" bestFit="1" customWidth="1"/>
    <col min="5" max="12" width="12" style="11" customWidth="1"/>
    <col min="13" max="13" width="4.33203125" style="11" customWidth="1"/>
    <col min="14" max="14" width="31.1640625" style="11" customWidth="1"/>
    <col min="15" max="15" width="12.1640625" style="11" customWidth="1"/>
    <col min="16" max="19" width="8.83203125" style="11"/>
    <col min="20" max="27" width="10.5" style="11" customWidth="1"/>
    <col min="28" max="16384" width="8.83203125" style="11"/>
  </cols>
  <sheetData>
    <row r="2" spans="2:17" ht="24">
      <c r="B2" s="5" t="str">
        <f>Introduction!B2</f>
        <v>LightCounting High-Speed Cables Forecast</v>
      </c>
      <c r="M2" s="15" t="s">
        <v>16</v>
      </c>
      <c r="P2" s="19"/>
      <c r="Q2" s="19"/>
    </row>
    <row r="3" spans="2:17" ht="16">
      <c r="B3" s="215" t="str">
        <f>Introduction!B3</f>
        <v>Sample template for illustrative purposes only (December 2020)</v>
      </c>
      <c r="L3" s="17"/>
      <c r="N3" s="17"/>
      <c r="O3" s="17"/>
    </row>
    <row r="4" spans="2:17">
      <c r="L4" s="18"/>
      <c r="N4" s="18"/>
      <c r="O4" s="83"/>
    </row>
    <row r="5" spans="2:17" ht="18">
      <c r="B5" s="5" t="s">
        <v>263</v>
      </c>
      <c r="L5" s="18"/>
      <c r="N5" s="18"/>
      <c r="O5" s="83"/>
    </row>
    <row r="6" spans="2:17" ht="21">
      <c r="B6" s="23" t="s">
        <v>22</v>
      </c>
      <c r="D6" s="22" t="s">
        <v>21</v>
      </c>
      <c r="L6" s="18"/>
      <c r="N6" s="18"/>
      <c r="O6" s="83"/>
    </row>
    <row r="7" spans="2:17">
      <c r="B7" s="147" t="s">
        <v>211</v>
      </c>
      <c r="C7" s="87">
        <v>2016</v>
      </c>
      <c r="D7" s="87">
        <v>2017</v>
      </c>
      <c r="E7" s="87">
        <v>2018</v>
      </c>
      <c r="F7" s="87">
        <v>2019</v>
      </c>
      <c r="G7" s="87">
        <v>2020</v>
      </c>
      <c r="H7" s="87">
        <v>2021</v>
      </c>
      <c r="I7" s="87">
        <v>2022</v>
      </c>
      <c r="J7" s="87">
        <v>2023</v>
      </c>
      <c r="K7" s="87">
        <v>2024</v>
      </c>
      <c r="L7" s="87">
        <v>2025</v>
      </c>
      <c r="N7" s="169" t="s">
        <v>108</v>
      </c>
    </row>
    <row r="8" spans="2:17">
      <c r="B8" s="331" t="s">
        <v>253</v>
      </c>
      <c r="C8" s="88">
        <v>4845145.5</v>
      </c>
      <c r="D8" s="88">
        <v>4589910</v>
      </c>
      <c r="E8" s="88">
        <v>4549211.2050000001</v>
      </c>
      <c r="F8" s="88"/>
      <c r="G8" s="88"/>
      <c r="H8" s="88"/>
      <c r="I8" s="88"/>
      <c r="J8" s="88"/>
      <c r="K8" s="88"/>
      <c r="L8" s="88"/>
      <c r="N8" s="100" t="str">
        <f t="shared" ref="N8:N20" si="0">"DAC:  "&amp;B8</f>
        <v>DAC:  10G SFP - DAC</v>
      </c>
    </row>
    <row r="9" spans="2:17">
      <c r="B9" s="332" t="s">
        <v>254</v>
      </c>
      <c r="C9" s="77">
        <v>568611.75000000012</v>
      </c>
      <c r="D9" s="77">
        <v>1246925.55</v>
      </c>
      <c r="E9" s="77">
        <v>1890581.28</v>
      </c>
      <c r="F9" s="77"/>
      <c r="G9" s="77"/>
      <c r="H9" s="77"/>
      <c r="I9" s="77"/>
      <c r="J9" s="77"/>
      <c r="K9" s="77"/>
      <c r="L9" s="77"/>
      <c r="N9" s="101" t="str">
        <f t="shared" si="0"/>
        <v>DAC:  25G SFP+ - DAC</v>
      </c>
    </row>
    <row r="10" spans="2:17">
      <c r="B10" s="332" t="s">
        <v>255</v>
      </c>
      <c r="C10" s="77">
        <v>1672205.7074885746</v>
      </c>
      <c r="D10" s="77">
        <v>1222748.8825000001</v>
      </c>
      <c r="E10" s="77">
        <v>1815514.6020258623</v>
      </c>
      <c r="F10" s="77"/>
      <c r="G10" s="77"/>
      <c r="H10" s="77"/>
      <c r="I10" s="77"/>
      <c r="J10" s="77"/>
      <c r="K10" s="77"/>
      <c r="L10" s="77"/>
      <c r="N10" s="101" t="str">
        <f t="shared" si="0"/>
        <v>DAC:  4x10G QSFP - DAC</v>
      </c>
    </row>
    <row r="11" spans="2:17">
      <c r="B11" s="332" t="s">
        <v>256</v>
      </c>
      <c r="C11" s="77">
        <v>402361.84385246772</v>
      </c>
      <c r="D11" s="77">
        <v>364851.71764485457</v>
      </c>
      <c r="E11" s="77">
        <v>163770.15025505435</v>
      </c>
      <c r="F11" s="77"/>
      <c r="G11" s="77"/>
      <c r="H11" s="77"/>
      <c r="I11" s="77"/>
      <c r="J11" s="77"/>
      <c r="K11" s="77"/>
      <c r="L11" s="77"/>
      <c r="N11" s="101" t="str">
        <f t="shared" si="0"/>
        <v>DAC:  4x14G QSFP - DAC</v>
      </c>
    </row>
    <row r="12" spans="2:17">
      <c r="B12" s="332" t="s">
        <v>252</v>
      </c>
      <c r="C12" s="77">
        <v>16281.133999999998</v>
      </c>
      <c r="D12" s="77">
        <v>46432.393999999993</v>
      </c>
      <c r="E12" s="77">
        <v>64142.297215182043</v>
      </c>
      <c r="F12" s="77"/>
      <c r="G12" s="77"/>
      <c r="H12" s="77"/>
      <c r="I12" s="77"/>
      <c r="J12" s="77"/>
      <c r="K12" s="77"/>
      <c r="L12" s="77"/>
      <c r="N12" s="101" t="str">
        <f t="shared" si="0"/>
        <v>DAC:  100G QSFP28/QSFP112 - ACC/AEC</v>
      </c>
      <c r="O12" s="18"/>
      <c r="P12" s="149"/>
    </row>
    <row r="13" spans="2:17">
      <c r="B13" s="332" t="s">
        <v>251</v>
      </c>
      <c r="C13" s="77">
        <v>146530.20600000003</v>
      </c>
      <c r="D13" s="77">
        <v>417891.54600000003</v>
      </c>
      <c r="E13" s="77">
        <v>577280.67493663856</v>
      </c>
      <c r="F13" s="77"/>
      <c r="G13" s="77"/>
      <c r="H13" s="77"/>
      <c r="I13" s="77"/>
      <c r="J13" s="77"/>
      <c r="K13" s="77"/>
      <c r="L13" s="77"/>
      <c r="N13" s="101" t="str">
        <f t="shared" si="0"/>
        <v>DAC:  100G QSFP28/QSFP112 - DAC</v>
      </c>
      <c r="O13" s="18"/>
      <c r="P13" s="149"/>
    </row>
    <row r="14" spans="2:17">
      <c r="B14" s="336" t="s">
        <v>257</v>
      </c>
      <c r="C14" s="46">
        <v>0</v>
      </c>
      <c r="D14" s="46">
        <v>0</v>
      </c>
      <c r="E14" s="46">
        <v>0</v>
      </c>
      <c r="F14" s="46"/>
      <c r="G14" s="46"/>
      <c r="H14" s="46"/>
      <c r="I14" s="46"/>
      <c r="J14" s="46"/>
      <c r="K14" s="46"/>
      <c r="L14" s="46"/>
      <c r="N14" s="101" t="str">
        <f t="shared" si="0"/>
        <v>DAC:  200G QSFP56 - ACC/AEC</v>
      </c>
      <c r="O14" s="18"/>
    </row>
    <row r="15" spans="2:17">
      <c r="B15" s="336" t="s">
        <v>260</v>
      </c>
      <c r="C15" s="46">
        <v>0</v>
      </c>
      <c r="D15" s="46">
        <v>0</v>
      </c>
      <c r="E15" s="46">
        <v>0</v>
      </c>
      <c r="F15" s="46"/>
      <c r="G15" s="46"/>
      <c r="H15" s="46"/>
      <c r="I15" s="46"/>
      <c r="J15" s="46"/>
      <c r="K15" s="46"/>
      <c r="L15" s="46"/>
      <c r="N15" s="101" t="str">
        <f t="shared" si="0"/>
        <v>DAC:  200G QSFP56 - DAC</v>
      </c>
    </row>
    <row r="16" spans="2:17">
      <c r="B16" s="336" t="s">
        <v>258</v>
      </c>
      <c r="C16" s="46">
        <v>0</v>
      </c>
      <c r="D16" s="46">
        <v>0</v>
      </c>
      <c r="E16" s="46">
        <v>0</v>
      </c>
      <c r="F16" s="46"/>
      <c r="G16" s="46"/>
      <c r="H16" s="46"/>
      <c r="I16" s="46"/>
      <c r="J16" s="46"/>
      <c r="K16" s="46"/>
      <c r="L16" s="46"/>
      <c r="N16" s="101" t="str">
        <f t="shared" si="0"/>
        <v>DAC:  400G - ACC/AEC</v>
      </c>
    </row>
    <row r="17" spans="2:14">
      <c r="B17" s="336" t="s">
        <v>261</v>
      </c>
      <c r="C17" s="46">
        <v>0</v>
      </c>
      <c r="D17" s="46">
        <v>0</v>
      </c>
      <c r="E17" s="46">
        <v>0</v>
      </c>
      <c r="F17" s="46"/>
      <c r="G17" s="46"/>
      <c r="H17" s="46"/>
      <c r="I17" s="46"/>
      <c r="J17" s="46"/>
      <c r="K17" s="46"/>
      <c r="L17" s="46"/>
      <c r="N17" s="101" t="str">
        <f t="shared" si="0"/>
        <v>DAC:  400G - DAC</v>
      </c>
    </row>
    <row r="18" spans="2:14">
      <c r="B18" s="336" t="s">
        <v>259</v>
      </c>
      <c r="C18" s="46">
        <v>0</v>
      </c>
      <c r="D18" s="46">
        <v>0</v>
      </c>
      <c r="E18" s="46">
        <v>0</v>
      </c>
      <c r="F18" s="46"/>
      <c r="G18" s="46"/>
      <c r="H18" s="46"/>
      <c r="I18" s="46"/>
      <c r="J18" s="46"/>
      <c r="K18" s="46"/>
      <c r="L18" s="46"/>
      <c r="N18" s="101" t="str">
        <f t="shared" si="0"/>
        <v>DAC:  800G - ACC/AEC</v>
      </c>
    </row>
    <row r="19" spans="2:14">
      <c r="B19" s="336" t="s">
        <v>262</v>
      </c>
      <c r="C19" s="46">
        <v>0</v>
      </c>
      <c r="D19" s="46">
        <v>0</v>
      </c>
      <c r="E19" s="46">
        <v>0</v>
      </c>
      <c r="F19" s="46"/>
      <c r="G19" s="46"/>
      <c r="H19" s="46"/>
      <c r="I19" s="46"/>
      <c r="J19" s="46"/>
      <c r="K19" s="46"/>
      <c r="L19" s="46"/>
      <c r="N19" s="101" t="str">
        <f t="shared" si="0"/>
        <v>DAC:  800G - DAC</v>
      </c>
    </row>
    <row r="20" spans="2:14">
      <c r="B20" s="337" t="s">
        <v>105</v>
      </c>
      <c r="C20" s="152">
        <f>SUM(C8:C19)</f>
        <v>7651136.1413410418</v>
      </c>
      <c r="D20" s="152">
        <f t="shared" ref="D20:E20" si="1">SUM(D8:D19)</f>
        <v>7888760.090144855</v>
      </c>
      <c r="E20" s="152">
        <f t="shared" si="1"/>
        <v>9060500.2094327379</v>
      </c>
      <c r="F20" s="152"/>
      <c r="G20" s="152"/>
      <c r="H20" s="152"/>
      <c r="I20" s="152"/>
      <c r="J20" s="152"/>
      <c r="K20" s="152"/>
      <c r="L20" s="152"/>
      <c r="N20" s="102" t="str">
        <f t="shared" si="0"/>
        <v>DAC:  Total devices</v>
      </c>
    </row>
    <row r="21" spans="2:14">
      <c r="B21" s="89"/>
      <c r="C21" s="89"/>
      <c r="D21" s="89"/>
      <c r="E21" s="89"/>
      <c r="F21" s="89"/>
      <c r="G21" s="89"/>
      <c r="H21" s="89"/>
      <c r="I21" s="89"/>
      <c r="J21" s="89"/>
      <c r="K21" s="89"/>
      <c r="L21" s="89"/>
      <c r="M21" s="89"/>
    </row>
    <row r="22" spans="2:14">
      <c r="B22" s="147" t="str">
        <f>B7</f>
        <v>Product type</v>
      </c>
      <c r="C22" s="91">
        <v>2016</v>
      </c>
      <c r="D22" s="91">
        <v>2017</v>
      </c>
      <c r="E22" s="91">
        <v>2018</v>
      </c>
      <c r="F22" s="91">
        <v>2019</v>
      </c>
      <c r="G22" s="91">
        <v>2020</v>
      </c>
      <c r="H22" s="91">
        <v>2021</v>
      </c>
      <c r="I22" s="91">
        <v>2022</v>
      </c>
      <c r="J22" s="91">
        <v>2023</v>
      </c>
      <c r="K22" s="91">
        <v>2024</v>
      </c>
      <c r="L22" s="91">
        <v>2025</v>
      </c>
    </row>
    <row r="23" spans="2:14">
      <c r="B23" s="331" t="s">
        <v>264</v>
      </c>
      <c r="C23" s="25">
        <f t="shared" ref="C23:E24" si="2">C12+C14+C16+C18</f>
        <v>16281.133999999998</v>
      </c>
      <c r="D23" s="25">
        <f t="shared" si="2"/>
        <v>46432.393999999993</v>
      </c>
      <c r="E23" s="25">
        <f t="shared" si="2"/>
        <v>64142.297215182043</v>
      </c>
      <c r="F23" s="25"/>
      <c r="G23" s="25"/>
      <c r="H23" s="25"/>
      <c r="I23" s="25"/>
      <c r="J23" s="25"/>
      <c r="K23" s="25"/>
      <c r="L23" s="25"/>
    </row>
    <row r="24" spans="2:14">
      <c r="B24" s="332" t="s">
        <v>265</v>
      </c>
      <c r="C24" s="54">
        <f t="shared" si="2"/>
        <v>146530.20600000003</v>
      </c>
      <c r="D24" s="54">
        <f t="shared" si="2"/>
        <v>417891.54600000003</v>
      </c>
      <c r="E24" s="54">
        <f t="shared" si="2"/>
        <v>577280.67493663856</v>
      </c>
      <c r="F24" s="54"/>
      <c r="G24" s="54"/>
      <c r="H24" s="54"/>
      <c r="I24" s="54"/>
      <c r="J24" s="54"/>
      <c r="K24" s="54"/>
      <c r="L24" s="54"/>
    </row>
    <row r="25" spans="2:14">
      <c r="B25" s="332" t="s">
        <v>212</v>
      </c>
      <c r="C25" s="54">
        <f>C26-C24-C23</f>
        <v>7488324.8013410419</v>
      </c>
      <c r="D25" s="54">
        <f t="shared" ref="D25:E25" si="3">D26-D24-D23</f>
        <v>7424436.1501448546</v>
      </c>
      <c r="E25" s="54">
        <f t="shared" si="3"/>
        <v>8419077.2372809164</v>
      </c>
      <c r="F25" s="54"/>
      <c r="G25" s="54"/>
      <c r="H25" s="54"/>
      <c r="I25" s="54"/>
      <c r="J25" s="54"/>
      <c r="K25" s="54"/>
      <c r="L25" s="54"/>
    </row>
    <row r="26" spans="2:14">
      <c r="B26" s="329" t="s">
        <v>13</v>
      </c>
      <c r="C26" s="95">
        <f>C20</f>
        <v>7651136.1413410418</v>
      </c>
      <c r="D26" s="96">
        <f t="shared" ref="D26:E26" si="4">D20</f>
        <v>7888760.090144855</v>
      </c>
      <c r="E26" s="96">
        <f t="shared" si="4"/>
        <v>9060500.2094327379</v>
      </c>
      <c r="F26" s="96"/>
      <c r="G26" s="96"/>
      <c r="H26" s="96"/>
      <c r="I26" s="96"/>
      <c r="J26" s="96"/>
      <c r="K26" s="96"/>
      <c r="L26" s="96"/>
    </row>
    <row r="29" spans="2:14" ht="21">
      <c r="B29" s="23" t="s">
        <v>23</v>
      </c>
    </row>
    <row r="30" spans="2:14">
      <c r="B30" s="338" t="str">
        <f t="shared" ref="B30:B42" si="5">B7</f>
        <v>Product type</v>
      </c>
      <c r="C30" s="30">
        <v>2016</v>
      </c>
      <c r="D30" s="30">
        <v>2017</v>
      </c>
      <c r="E30" s="30">
        <v>2018</v>
      </c>
      <c r="F30" s="30">
        <v>2019</v>
      </c>
      <c r="G30" s="30">
        <v>2020</v>
      </c>
      <c r="H30" s="30">
        <v>2021</v>
      </c>
      <c r="I30" s="30">
        <v>2022</v>
      </c>
      <c r="J30" s="30">
        <v>2023</v>
      </c>
      <c r="K30" s="30">
        <v>2024</v>
      </c>
      <c r="L30" s="30">
        <v>2025</v>
      </c>
    </row>
    <row r="31" spans="2:14">
      <c r="B31" s="339" t="str">
        <f t="shared" si="5"/>
        <v>10G SFP - DAC</v>
      </c>
      <c r="C31" s="135">
        <v>14.586544854111729</v>
      </c>
      <c r="D31" s="135">
        <v>11.2376122201748</v>
      </c>
      <c r="E31" s="135">
        <v>9.4315706152993446</v>
      </c>
      <c r="F31" s="135"/>
      <c r="G31" s="135"/>
      <c r="H31" s="135"/>
      <c r="I31" s="135"/>
      <c r="J31" s="135"/>
      <c r="K31" s="135"/>
      <c r="L31" s="135"/>
    </row>
    <row r="32" spans="2:14">
      <c r="B32" s="336" t="str">
        <f t="shared" si="5"/>
        <v>25G SFP+ - DAC</v>
      </c>
      <c r="C32" s="74">
        <v>66</v>
      </c>
      <c r="D32" s="74">
        <v>46.214816117010038</v>
      </c>
      <c r="E32" s="74">
        <v>30.433889994148622</v>
      </c>
      <c r="F32" s="74"/>
      <c r="G32" s="74"/>
      <c r="H32" s="74"/>
      <c r="I32" s="74"/>
      <c r="J32" s="74"/>
      <c r="K32" s="74"/>
      <c r="L32" s="74"/>
    </row>
    <row r="33" spans="2:12">
      <c r="B33" s="336" t="str">
        <f t="shared" si="5"/>
        <v>4x10G QSFP - DAC</v>
      </c>
      <c r="C33" s="74">
        <v>61.104645568624569</v>
      </c>
      <c r="D33" s="74">
        <v>59.306005982673526</v>
      </c>
      <c r="E33" s="74">
        <v>50.350846973217031</v>
      </c>
      <c r="F33" s="74"/>
      <c r="G33" s="74"/>
      <c r="H33" s="74"/>
      <c r="I33" s="74"/>
      <c r="J33" s="74"/>
      <c r="K33" s="74"/>
      <c r="L33" s="74"/>
    </row>
    <row r="34" spans="2:12">
      <c r="B34" s="336" t="str">
        <f t="shared" si="5"/>
        <v>4x14G QSFP - DAC</v>
      </c>
      <c r="C34" s="74">
        <v>67.596061404384955</v>
      </c>
      <c r="D34" s="74">
        <v>67.905857195197569</v>
      </c>
      <c r="E34" s="74">
        <v>56.544009060022717</v>
      </c>
      <c r="F34" s="74"/>
      <c r="G34" s="74"/>
      <c r="H34" s="74"/>
      <c r="I34" s="74"/>
      <c r="J34" s="74"/>
      <c r="K34" s="74"/>
      <c r="L34" s="74"/>
    </row>
    <row r="35" spans="2:12">
      <c r="B35" s="336" t="str">
        <f t="shared" si="5"/>
        <v>100G QSFP28/QSFP112 - ACC/AEC</v>
      </c>
      <c r="C35" s="74">
        <v>288</v>
      </c>
      <c r="D35" s="74">
        <v>163.19999999999999</v>
      </c>
      <c r="E35" s="74">
        <v>98.003502139356968</v>
      </c>
      <c r="F35" s="74"/>
      <c r="G35" s="74"/>
      <c r="H35" s="74"/>
      <c r="I35" s="74"/>
      <c r="J35" s="74"/>
      <c r="K35" s="74"/>
      <c r="L35" s="74"/>
    </row>
    <row r="36" spans="2:12">
      <c r="B36" s="336" t="str">
        <f t="shared" si="5"/>
        <v>100G QSFP28/QSFP112 - DAC</v>
      </c>
      <c r="C36" s="74">
        <v>192</v>
      </c>
      <c r="D36" s="74">
        <v>108.80000000000001</v>
      </c>
      <c r="E36" s="74">
        <v>65.335668092904641</v>
      </c>
      <c r="F36" s="74"/>
      <c r="G36" s="74"/>
      <c r="H36" s="74"/>
      <c r="I36" s="74"/>
      <c r="J36" s="74"/>
      <c r="K36" s="74"/>
      <c r="L36" s="74"/>
    </row>
    <row r="37" spans="2:12">
      <c r="B37" s="336" t="str">
        <f t="shared" si="5"/>
        <v>200G QSFP56 - ACC/AEC</v>
      </c>
      <c r="C37" s="74">
        <v>0</v>
      </c>
      <c r="D37" s="74">
        <v>0</v>
      </c>
      <c r="E37" s="74">
        <v>0</v>
      </c>
      <c r="F37" s="74"/>
      <c r="G37" s="74"/>
      <c r="H37" s="74"/>
      <c r="I37" s="74"/>
      <c r="J37" s="74"/>
      <c r="K37" s="74"/>
      <c r="L37" s="74"/>
    </row>
    <row r="38" spans="2:12">
      <c r="B38" s="336" t="str">
        <f t="shared" si="5"/>
        <v>200G QSFP56 - DAC</v>
      </c>
      <c r="C38" s="74">
        <v>0</v>
      </c>
      <c r="D38" s="74">
        <v>0</v>
      </c>
      <c r="E38" s="74">
        <v>0</v>
      </c>
      <c r="F38" s="74"/>
      <c r="G38" s="74"/>
      <c r="H38" s="74"/>
      <c r="I38" s="74"/>
      <c r="J38" s="74"/>
      <c r="K38" s="74"/>
      <c r="L38" s="74"/>
    </row>
    <row r="39" spans="2:12">
      <c r="B39" s="336" t="str">
        <f t="shared" si="5"/>
        <v>400G - ACC/AEC</v>
      </c>
      <c r="C39" s="74">
        <v>0</v>
      </c>
      <c r="D39" s="74">
        <v>0</v>
      </c>
      <c r="E39" s="74">
        <v>0</v>
      </c>
      <c r="F39" s="74"/>
      <c r="G39" s="74"/>
      <c r="H39" s="74"/>
      <c r="I39" s="74"/>
      <c r="J39" s="74"/>
      <c r="K39" s="74"/>
      <c r="L39" s="74"/>
    </row>
    <row r="40" spans="2:12">
      <c r="B40" s="336" t="str">
        <f t="shared" si="5"/>
        <v>400G - DAC</v>
      </c>
      <c r="C40" s="74">
        <v>0</v>
      </c>
      <c r="D40" s="74">
        <v>0</v>
      </c>
      <c r="E40" s="74">
        <v>0</v>
      </c>
      <c r="F40" s="74"/>
      <c r="G40" s="74"/>
      <c r="H40" s="74"/>
      <c r="I40" s="74"/>
      <c r="J40" s="74"/>
      <c r="K40" s="74"/>
      <c r="L40" s="74"/>
    </row>
    <row r="41" spans="2:12">
      <c r="B41" s="336" t="str">
        <f t="shared" si="5"/>
        <v>800G - ACC/AEC</v>
      </c>
      <c r="C41" s="74">
        <v>0</v>
      </c>
      <c r="D41" s="74">
        <v>0</v>
      </c>
      <c r="E41" s="74">
        <v>0</v>
      </c>
      <c r="F41" s="74"/>
      <c r="G41" s="74"/>
      <c r="H41" s="74"/>
      <c r="I41" s="74"/>
      <c r="J41" s="74"/>
      <c r="K41" s="74"/>
      <c r="L41" s="74"/>
    </row>
    <row r="42" spans="2:12" ht="15" customHeight="1">
      <c r="B42" s="336" t="str">
        <f t="shared" si="5"/>
        <v>800G - DAC</v>
      </c>
      <c r="C42" s="74">
        <v>0</v>
      </c>
      <c r="D42" s="74">
        <v>0</v>
      </c>
      <c r="E42" s="74">
        <v>0</v>
      </c>
      <c r="F42" s="74"/>
      <c r="G42" s="74"/>
      <c r="H42" s="74"/>
      <c r="I42" s="74"/>
      <c r="J42" s="74"/>
      <c r="K42" s="74"/>
      <c r="L42" s="74"/>
    </row>
    <row r="43" spans="2:12">
      <c r="B43" s="329" t="s">
        <v>13</v>
      </c>
      <c r="C43" s="124">
        <f>C66*10^6/C20</f>
        <v>35.341507690752785</v>
      </c>
      <c r="D43" s="124">
        <f>D66*10^6/D20</f>
        <v>32.900271883899407</v>
      </c>
      <c r="E43" s="124">
        <f>E66*10^6/E20</f>
        <v>27.05370022172535</v>
      </c>
      <c r="F43" s="124"/>
      <c r="G43" s="124"/>
      <c r="H43" s="124"/>
      <c r="I43" s="124"/>
      <c r="J43" s="124"/>
      <c r="K43" s="124"/>
      <c r="L43" s="124"/>
    </row>
    <row r="45" spans="2:12">
      <c r="B45" s="329" t="str">
        <f>B7</f>
        <v>Product type</v>
      </c>
      <c r="C45" s="91">
        <v>2016</v>
      </c>
      <c r="D45" s="91">
        <v>2017</v>
      </c>
      <c r="E45" s="91">
        <v>2018</v>
      </c>
      <c r="F45" s="91">
        <v>2019</v>
      </c>
      <c r="G45" s="91">
        <v>2020</v>
      </c>
      <c r="H45" s="91">
        <v>2021</v>
      </c>
      <c r="I45" s="91">
        <v>2022</v>
      </c>
      <c r="J45" s="91">
        <v>2023</v>
      </c>
      <c r="K45" s="91">
        <v>2024</v>
      </c>
      <c r="L45" s="91">
        <v>2025</v>
      </c>
    </row>
    <row r="46" spans="2:12">
      <c r="B46" s="331" t="str">
        <f>B23</f>
        <v>ACC/AECs ≥100G</v>
      </c>
      <c r="C46" s="179">
        <f t="shared" ref="C46:E49" si="6">C69*10^6/C23</f>
        <v>288</v>
      </c>
      <c r="D46" s="179">
        <f t="shared" si="6"/>
        <v>163.19999999999999</v>
      </c>
      <c r="E46" s="179">
        <f t="shared" si="6"/>
        <v>98.003502139356968</v>
      </c>
      <c r="F46" s="179"/>
      <c r="G46" s="179"/>
      <c r="H46" s="179"/>
      <c r="I46" s="179"/>
      <c r="J46" s="179"/>
      <c r="K46" s="179"/>
      <c r="L46" s="179"/>
    </row>
    <row r="47" spans="2:12">
      <c r="B47" s="332" t="str">
        <f>B24</f>
        <v>DACs  ≥100G</v>
      </c>
      <c r="C47" s="153">
        <f t="shared" si="6"/>
        <v>192</v>
      </c>
      <c r="D47" s="153">
        <f t="shared" si="6"/>
        <v>108.80000000000001</v>
      </c>
      <c r="E47" s="153">
        <f t="shared" si="6"/>
        <v>65.335668092904641</v>
      </c>
      <c r="F47" s="153"/>
      <c r="G47" s="153"/>
      <c r="H47" s="153"/>
      <c r="I47" s="153"/>
      <c r="J47" s="153"/>
      <c r="K47" s="153"/>
      <c r="L47" s="153"/>
    </row>
    <row r="48" spans="2:12">
      <c r="B48" s="333" t="str">
        <f>B25</f>
        <v>All other DACs (≤40G)</v>
      </c>
      <c r="C48" s="178">
        <f t="shared" si="6"/>
        <v>31.726711506377789</v>
      </c>
      <c r="D48" s="178">
        <f t="shared" si="6"/>
        <v>27.813288539492881</v>
      </c>
      <c r="E48" s="178">
        <f t="shared" si="6"/>
        <v>23.88823175274344</v>
      </c>
      <c r="F48" s="178"/>
      <c r="G48" s="178"/>
      <c r="H48" s="178"/>
      <c r="I48" s="178"/>
      <c r="J48" s="178"/>
      <c r="K48" s="178"/>
      <c r="L48" s="178"/>
    </row>
    <row r="49" spans="2:12">
      <c r="B49" s="329" t="s">
        <v>13</v>
      </c>
      <c r="C49" s="124">
        <f t="shared" si="6"/>
        <v>35.341507690752785</v>
      </c>
      <c r="D49" s="124">
        <f t="shared" si="6"/>
        <v>32.900271883899407</v>
      </c>
      <c r="E49" s="124">
        <f t="shared" si="6"/>
        <v>27.05370022172535</v>
      </c>
      <c r="F49" s="124"/>
      <c r="G49" s="124"/>
      <c r="H49" s="124"/>
      <c r="I49" s="124"/>
      <c r="J49" s="124"/>
      <c r="K49" s="124"/>
      <c r="L49" s="124"/>
    </row>
    <row r="50" spans="2:12">
      <c r="B50" s="89"/>
      <c r="C50" s="118"/>
      <c r="D50" s="118"/>
      <c r="E50" s="118"/>
      <c r="F50" s="118"/>
      <c r="G50" s="118"/>
      <c r="H50" s="118"/>
      <c r="I50" s="118"/>
      <c r="J50" s="118"/>
      <c r="K50" s="118"/>
      <c r="L50" s="118"/>
    </row>
    <row r="52" spans="2:12" ht="21">
      <c r="B52" s="24" t="s">
        <v>20</v>
      </c>
      <c r="D52" s="11" t="s">
        <v>15</v>
      </c>
    </row>
    <row r="53" spans="2:12">
      <c r="B53" s="147" t="str">
        <f t="shared" ref="B53:B65" si="7">B7</f>
        <v>Product type</v>
      </c>
      <c r="C53" s="87">
        <v>2016</v>
      </c>
      <c r="D53" s="87">
        <v>2017</v>
      </c>
      <c r="E53" s="87">
        <v>2018</v>
      </c>
      <c r="F53" s="87">
        <v>2019</v>
      </c>
      <c r="G53" s="87">
        <v>2020</v>
      </c>
      <c r="H53" s="87">
        <v>2021</v>
      </c>
      <c r="I53" s="87">
        <v>2022</v>
      </c>
      <c r="J53" s="87">
        <v>2023</v>
      </c>
      <c r="K53" s="87">
        <v>2024</v>
      </c>
      <c r="L53" s="87">
        <v>2025</v>
      </c>
    </row>
    <row r="54" spans="2:12">
      <c r="B54" s="331" t="str">
        <f t="shared" si="7"/>
        <v>10G SFP - DAC</v>
      </c>
      <c r="C54" s="28">
        <f t="shared" ref="C54:E62" si="8">IF(C8=0,,C8*C31/10^6)</f>
        <v>70.673932160447592</v>
      </c>
      <c r="D54" s="28">
        <f t="shared" si="8"/>
        <v>51.579628705502515</v>
      </c>
      <c r="E54" s="28">
        <f t="shared" si="8"/>
        <v>42.906206723868529</v>
      </c>
      <c r="F54" s="28"/>
      <c r="G54" s="28"/>
      <c r="H54" s="28"/>
      <c r="I54" s="28"/>
      <c r="J54" s="28"/>
      <c r="K54" s="28"/>
      <c r="L54" s="28"/>
    </row>
    <row r="55" spans="2:12">
      <c r="B55" s="332" t="str">
        <f t="shared" si="7"/>
        <v>25G SFP+ - DAC</v>
      </c>
      <c r="C55" s="40">
        <f t="shared" si="8"/>
        <v>37.52837550000001</v>
      </c>
      <c r="D55" s="40">
        <f t="shared" si="8"/>
        <v>57.626435004851608</v>
      </c>
      <c r="E55" s="40">
        <f t="shared" si="8"/>
        <v>57.537742700516695</v>
      </c>
      <c r="F55" s="40"/>
      <c r="G55" s="40"/>
      <c r="H55" s="40"/>
      <c r="I55" s="40"/>
      <c r="J55" s="40"/>
      <c r="K55" s="40"/>
      <c r="L55" s="40"/>
    </row>
    <row r="56" spans="2:12">
      <c r="B56" s="332" t="str">
        <f t="shared" si="7"/>
        <v>4x10G QSFP - DAC</v>
      </c>
      <c r="C56" s="40">
        <f t="shared" si="8"/>
        <v>102.17953707392044</v>
      </c>
      <c r="D56" s="40">
        <f t="shared" si="8"/>
        <v>72.516352540852367</v>
      </c>
      <c r="E56" s="40">
        <f t="shared" si="8"/>
        <v>91.412697904245206</v>
      </c>
      <c r="F56" s="40"/>
      <c r="G56" s="40"/>
      <c r="H56" s="40"/>
      <c r="I56" s="40"/>
      <c r="J56" s="40"/>
      <c r="K56" s="40"/>
      <c r="L56" s="40"/>
    </row>
    <row r="57" spans="2:12">
      <c r="B57" s="332" t="str">
        <f t="shared" si="7"/>
        <v>4x14G QSFP - DAC</v>
      </c>
      <c r="C57" s="40">
        <f t="shared" si="8"/>
        <v>27.198075903832958</v>
      </c>
      <c r="D57" s="40">
        <f t="shared" si="8"/>
        <v>24.775568635814039</v>
      </c>
      <c r="E57" s="40">
        <f t="shared" si="8"/>
        <v>9.2602208597830753</v>
      </c>
      <c r="F57" s="40"/>
      <c r="G57" s="40"/>
      <c r="H57" s="40"/>
      <c r="I57" s="40"/>
      <c r="J57" s="40"/>
      <c r="K57" s="40"/>
      <c r="L57" s="40"/>
    </row>
    <row r="58" spans="2:12">
      <c r="B58" s="332" t="str">
        <f t="shared" si="7"/>
        <v>100G QSFP28/QSFP112 - ACC/AEC</v>
      </c>
      <c r="C58" s="40">
        <f t="shared" si="8"/>
        <v>4.688966591999999</v>
      </c>
      <c r="D58" s="40">
        <f t="shared" si="8"/>
        <v>7.577766700799998</v>
      </c>
      <c r="E58" s="40">
        <f t="shared" si="8"/>
        <v>6.2861697623513635</v>
      </c>
      <c r="F58" s="40"/>
      <c r="G58" s="40"/>
      <c r="H58" s="40"/>
      <c r="I58" s="40"/>
      <c r="J58" s="40"/>
      <c r="K58" s="40"/>
      <c r="L58" s="40"/>
    </row>
    <row r="59" spans="2:12">
      <c r="B59" s="336" t="str">
        <f t="shared" si="7"/>
        <v>100G QSFP28/QSFP112 - DAC</v>
      </c>
      <c r="C59" s="74">
        <f t="shared" si="8"/>
        <v>28.13379955200001</v>
      </c>
      <c r="D59" s="74">
        <f t="shared" si="8"/>
        <v>45.46660020480001</v>
      </c>
      <c r="E59" s="74">
        <f t="shared" si="8"/>
        <v>37.717018574108188</v>
      </c>
      <c r="F59" s="74"/>
      <c r="G59" s="74"/>
      <c r="H59" s="74"/>
      <c r="I59" s="74"/>
      <c r="J59" s="74"/>
      <c r="K59" s="74"/>
      <c r="L59" s="74"/>
    </row>
    <row r="60" spans="2:12">
      <c r="B60" s="336" t="str">
        <f t="shared" si="7"/>
        <v>200G QSFP56 - ACC/AEC</v>
      </c>
      <c r="C60" s="74">
        <f t="shared" si="8"/>
        <v>0</v>
      </c>
      <c r="D60" s="74">
        <f t="shared" si="8"/>
        <v>0</v>
      </c>
      <c r="E60" s="74">
        <f t="shared" si="8"/>
        <v>0</v>
      </c>
      <c r="F60" s="74"/>
      <c r="G60" s="74"/>
      <c r="H60" s="74"/>
      <c r="I60" s="74"/>
      <c r="J60" s="74"/>
      <c r="K60" s="74"/>
      <c r="L60" s="74"/>
    </row>
    <row r="61" spans="2:12">
      <c r="B61" s="336" t="str">
        <f t="shared" si="7"/>
        <v>200G QSFP56 - DAC</v>
      </c>
      <c r="C61" s="217">
        <f t="shared" si="8"/>
        <v>0</v>
      </c>
      <c r="D61" s="74">
        <f t="shared" si="8"/>
        <v>0</v>
      </c>
      <c r="E61" s="74">
        <f t="shared" si="8"/>
        <v>0</v>
      </c>
      <c r="F61" s="74"/>
      <c r="G61" s="74"/>
      <c r="H61" s="74"/>
      <c r="I61" s="74"/>
      <c r="J61" s="74"/>
      <c r="K61" s="74"/>
      <c r="L61" s="74"/>
    </row>
    <row r="62" spans="2:12">
      <c r="B62" s="332" t="str">
        <f t="shared" si="7"/>
        <v>400G - ACC/AEC</v>
      </c>
      <c r="C62" s="40">
        <f t="shared" si="8"/>
        <v>0</v>
      </c>
      <c r="D62" s="40">
        <f t="shared" si="8"/>
        <v>0</v>
      </c>
      <c r="E62" s="40">
        <f t="shared" si="8"/>
        <v>0</v>
      </c>
      <c r="F62" s="40"/>
      <c r="G62" s="40"/>
      <c r="H62" s="40"/>
      <c r="I62" s="40"/>
      <c r="J62" s="40"/>
      <c r="K62" s="40"/>
      <c r="L62" s="40"/>
    </row>
    <row r="63" spans="2:12">
      <c r="B63" s="332" t="str">
        <f t="shared" si="7"/>
        <v>400G - DAC</v>
      </c>
      <c r="C63" s="40"/>
      <c r="D63" s="40">
        <f t="shared" ref="D63:E65" si="9">IF(D17=0,,D17*D40/10^6)</f>
        <v>0</v>
      </c>
      <c r="E63" s="40">
        <f t="shared" si="9"/>
        <v>0</v>
      </c>
      <c r="F63" s="40"/>
      <c r="G63" s="40"/>
      <c r="H63" s="40"/>
      <c r="I63" s="40"/>
      <c r="J63" s="40"/>
      <c r="K63" s="40"/>
      <c r="L63" s="40"/>
    </row>
    <row r="64" spans="2:12">
      <c r="B64" s="332" t="str">
        <f t="shared" si="7"/>
        <v>800G - ACC/AEC</v>
      </c>
      <c r="C64" s="40"/>
      <c r="D64" s="40">
        <f t="shared" si="9"/>
        <v>0</v>
      </c>
      <c r="E64" s="40">
        <f t="shared" si="9"/>
        <v>0</v>
      </c>
      <c r="F64" s="40"/>
      <c r="G64" s="40"/>
      <c r="H64" s="40"/>
      <c r="I64" s="40"/>
      <c r="J64" s="40"/>
      <c r="K64" s="40"/>
      <c r="L64" s="40"/>
    </row>
    <row r="65" spans="2:12">
      <c r="B65" s="332" t="str">
        <f t="shared" si="7"/>
        <v>800G - DAC</v>
      </c>
      <c r="C65" s="122">
        <f>IF(C19=0,,C19*C42/10^6)</f>
        <v>0</v>
      </c>
      <c r="D65" s="40">
        <f t="shared" si="9"/>
        <v>0</v>
      </c>
      <c r="E65" s="40">
        <f t="shared" si="9"/>
        <v>0</v>
      </c>
      <c r="F65" s="40"/>
      <c r="G65" s="40"/>
      <c r="H65" s="40"/>
      <c r="I65" s="40"/>
      <c r="J65" s="40"/>
      <c r="K65" s="40"/>
      <c r="L65" s="40"/>
    </row>
    <row r="66" spans="2:12">
      <c r="B66" s="337" t="s">
        <v>118</v>
      </c>
      <c r="C66" s="124">
        <f>SUM(C54:C65)</f>
        <v>270.40268678220099</v>
      </c>
      <c r="D66" s="124">
        <f>SUM(D54:D65)</f>
        <v>259.54235179262054</v>
      </c>
      <c r="E66" s="124">
        <f>SUM(E54:E65)</f>
        <v>245.12005652487304</v>
      </c>
      <c r="F66" s="124"/>
      <c r="G66" s="124"/>
      <c r="H66" s="124"/>
      <c r="I66" s="124"/>
      <c r="J66" s="124"/>
      <c r="K66" s="124"/>
      <c r="L66" s="124"/>
    </row>
    <row r="67" spans="2:12">
      <c r="B67" s="89"/>
    </row>
    <row r="68" spans="2:12" ht="18.75" customHeight="1">
      <c r="B68" s="147" t="str">
        <f>B53</f>
        <v>Product type</v>
      </c>
      <c r="C68" s="91">
        <v>2016</v>
      </c>
      <c r="D68" s="91">
        <v>2017</v>
      </c>
      <c r="E68" s="91">
        <v>2018</v>
      </c>
      <c r="F68" s="91">
        <v>2019</v>
      </c>
      <c r="G68" s="91">
        <v>2020</v>
      </c>
      <c r="H68" s="91">
        <v>2021</v>
      </c>
      <c r="I68" s="91">
        <v>2022</v>
      </c>
      <c r="J68" s="91">
        <v>2023</v>
      </c>
      <c r="K68" s="91">
        <v>2024</v>
      </c>
      <c r="L68" s="91">
        <v>2025</v>
      </c>
    </row>
    <row r="69" spans="2:12">
      <c r="B69" s="331" t="str">
        <f t="shared" ref="B69:B71" si="10">B46</f>
        <v>ACC/AECs ≥100G</v>
      </c>
      <c r="C69" s="179">
        <f t="shared" ref="C69:E70" si="11">C58+C60+C62+C64</f>
        <v>4.688966591999999</v>
      </c>
      <c r="D69" s="179">
        <f t="shared" si="11"/>
        <v>7.577766700799998</v>
      </c>
      <c r="E69" s="179">
        <f t="shared" si="11"/>
        <v>6.2861697623513635</v>
      </c>
      <c r="F69" s="179"/>
      <c r="G69" s="179"/>
      <c r="H69" s="179"/>
      <c r="I69" s="179"/>
      <c r="J69" s="179"/>
      <c r="K69" s="179"/>
      <c r="L69" s="179"/>
    </row>
    <row r="70" spans="2:12">
      <c r="B70" s="332" t="str">
        <f t="shared" si="10"/>
        <v>DACs  ≥100G</v>
      </c>
      <c r="C70" s="153">
        <f t="shared" si="11"/>
        <v>28.13379955200001</v>
      </c>
      <c r="D70" s="153">
        <f t="shared" si="11"/>
        <v>45.46660020480001</v>
      </c>
      <c r="E70" s="153">
        <f t="shared" si="11"/>
        <v>37.717018574108188</v>
      </c>
      <c r="F70" s="153"/>
      <c r="G70" s="153"/>
      <c r="H70" s="153"/>
      <c r="I70" s="153"/>
      <c r="J70" s="153"/>
      <c r="K70" s="153"/>
      <c r="L70" s="153"/>
    </row>
    <row r="71" spans="2:12">
      <c r="B71" s="332" t="str">
        <f t="shared" si="10"/>
        <v>All other DACs (≤40G)</v>
      </c>
      <c r="C71" s="153">
        <f>C72-C70-C69</f>
        <v>237.579920638201</v>
      </c>
      <c r="D71" s="153">
        <f t="shared" ref="D71" si="12">D72-D70-D69</f>
        <v>206.49798488702052</v>
      </c>
      <c r="E71" s="153">
        <f t="shared" ref="E71" si="13">E72-E70-E69</f>
        <v>201.11686818841349</v>
      </c>
      <c r="F71" s="153"/>
      <c r="G71" s="153"/>
      <c r="H71" s="153"/>
      <c r="I71" s="153"/>
      <c r="J71" s="153"/>
      <c r="K71" s="153"/>
      <c r="L71" s="153"/>
    </row>
    <row r="72" spans="2:12">
      <c r="B72" s="329" t="s">
        <v>13</v>
      </c>
      <c r="C72" s="123">
        <f>C66</f>
        <v>270.40268678220099</v>
      </c>
      <c r="D72" s="124">
        <f t="shared" ref="D72:E72" si="14">D66</f>
        <v>259.54235179262054</v>
      </c>
      <c r="E72" s="124">
        <f t="shared" si="14"/>
        <v>245.12005652487304</v>
      </c>
      <c r="F72" s="124"/>
      <c r="G72" s="124"/>
      <c r="H72" s="124"/>
      <c r="I72" s="124"/>
      <c r="J72" s="124"/>
      <c r="K72" s="124"/>
      <c r="L72" s="124"/>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CC"/>
  </sheetPr>
  <dimension ref="A2:S267"/>
  <sheetViews>
    <sheetView showGridLines="0" zoomScale="80" zoomScaleNormal="80" zoomScalePageLayoutView="80" workbookViewId="0">
      <selection activeCell="Q27" sqref="Q27"/>
    </sheetView>
  </sheetViews>
  <sheetFormatPr baseColWidth="10" defaultColWidth="8.83203125" defaultRowHeight="13"/>
  <cols>
    <col min="1" max="1" width="4.5" style="4" customWidth="1"/>
    <col min="2" max="2" width="13.1640625" style="4" customWidth="1"/>
    <col min="3" max="3" width="11" style="4" customWidth="1"/>
    <col min="4" max="4" width="10.1640625" style="4" customWidth="1"/>
    <col min="5" max="5" width="9.1640625" style="4" customWidth="1"/>
    <col min="6" max="6" width="21.1640625" style="4" customWidth="1"/>
    <col min="7" max="7" width="10.83203125" style="4" customWidth="1"/>
    <col min="8" max="8" width="13.83203125" style="4" customWidth="1"/>
    <col min="9" max="10" width="10.83203125" style="4" customWidth="1"/>
    <col min="11" max="11" width="12" style="4" customWidth="1"/>
    <col min="12" max="12" width="11.5" style="4" customWidth="1"/>
    <col min="13" max="13" width="13" style="4" customWidth="1"/>
    <col min="14" max="14" width="12.5" style="4" customWidth="1"/>
    <col min="15" max="16" width="12.1640625" style="45" customWidth="1"/>
    <col min="17" max="17" width="13.5" style="4" bestFit="1" customWidth="1"/>
    <col min="18" max="18" width="12" style="4" customWidth="1"/>
    <col min="19" max="19" width="12.5" style="4" customWidth="1"/>
    <col min="20" max="16384" width="8.83203125" style="4"/>
  </cols>
  <sheetData>
    <row r="2" spans="2:19" ht="23.25" customHeight="1">
      <c r="B2" s="5" t="str">
        <f>Introduction!B2</f>
        <v>LightCounting High-Speed Cables Forecast</v>
      </c>
      <c r="C2" s="5"/>
      <c r="D2" s="5"/>
      <c r="E2" s="5"/>
      <c r="F2" s="5"/>
      <c r="P2" s="284"/>
    </row>
    <row r="3" spans="2:19" ht="16">
      <c r="B3" s="215" t="str">
        <f>Introduction!B3</f>
        <v>Sample template for illustrative purposes only (December 2020)</v>
      </c>
      <c r="C3" s="215"/>
      <c r="P3" s="284"/>
    </row>
    <row r="4" spans="2:19" ht="18">
      <c r="D4" s="5"/>
      <c r="E4" s="5"/>
      <c r="F4" s="5"/>
      <c r="G4" s="42"/>
      <c r="H4" s="42"/>
      <c r="I4" s="42"/>
      <c r="J4" s="42"/>
      <c r="K4" s="42"/>
      <c r="L4" s="42"/>
      <c r="P4" s="284"/>
    </row>
    <row r="5" spans="2:19" ht="18">
      <c r="B5" s="5" t="s">
        <v>34</v>
      </c>
      <c r="C5" s="5"/>
      <c r="D5" s="44"/>
      <c r="E5" s="44"/>
      <c r="F5" s="44"/>
      <c r="G5" s="42"/>
      <c r="H5" s="42"/>
      <c r="P5" s="284"/>
    </row>
    <row r="6" spans="2:19" s="11" customFormat="1" ht="21">
      <c r="B6" s="41" t="s">
        <v>26</v>
      </c>
      <c r="C6" s="41"/>
      <c r="D6" s="41"/>
      <c r="E6" s="41"/>
      <c r="F6" s="41"/>
      <c r="G6" s="163"/>
      <c r="H6" s="163"/>
      <c r="I6" s="163"/>
      <c r="J6" s="163"/>
      <c r="K6" s="163"/>
      <c r="L6" s="163"/>
      <c r="M6" s="163"/>
      <c r="N6" s="163"/>
      <c r="O6" s="257"/>
      <c r="P6" s="282"/>
      <c r="S6" s="18"/>
    </row>
    <row r="7" spans="2:19" s="11" customFormat="1" ht="15">
      <c r="B7" s="29"/>
      <c r="C7" s="29"/>
      <c r="D7" s="29"/>
      <c r="E7" s="29"/>
      <c r="F7" s="29"/>
      <c r="G7" s="26"/>
      <c r="H7" s="26"/>
      <c r="I7" s="26"/>
      <c r="J7" s="26"/>
      <c r="K7" s="26"/>
      <c r="L7" s="26"/>
      <c r="M7" s="26"/>
      <c r="N7" s="26"/>
      <c r="O7" s="253"/>
      <c r="P7" s="253"/>
    </row>
    <row r="8" spans="2:19" s="11" customFormat="1" ht="15">
      <c r="B8" s="459" t="s">
        <v>109</v>
      </c>
      <c r="C8" s="460"/>
      <c r="D8" s="460"/>
      <c r="E8" s="460"/>
      <c r="F8" s="461"/>
      <c r="G8" s="30">
        <v>2016</v>
      </c>
      <c r="H8" s="30">
        <v>2017</v>
      </c>
      <c r="I8" s="30">
        <v>2018</v>
      </c>
      <c r="J8" s="30">
        <v>2019</v>
      </c>
      <c r="K8" s="30">
        <v>2020</v>
      </c>
      <c r="L8" s="30">
        <v>2021</v>
      </c>
      <c r="M8" s="30">
        <v>2022</v>
      </c>
      <c r="N8" s="30">
        <v>2023</v>
      </c>
      <c r="O8" s="30">
        <v>2024</v>
      </c>
      <c r="P8" s="30">
        <v>2025</v>
      </c>
    </row>
    <row r="9" spans="2:19" s="11" customFormat="1" ht="15">
      <c r="B9" s="462" t="str">
        <f>Segmentation!B69</f>
        <v>HPC &amp; AI Clusters</v>
      </c>
      <c r="C9" s="463"/>
      <c r="D9" s="463"/>
      <c r="E9" s="463"/>
      <c r="F9" s="464"/>
      <c r="G9" s="211">
        <f t="shared" ref="G9:I9" si="0">G107+G108</f>
        <v>337856.26539750211</v>
      </c>
      <c r="H9" s="211">
        <f t="shared" si="0"/>
        <v>275841.05499512912</v>
      </c>
      <c r="I9" s="211">
        <f t="shared" si="0"/>
        <v>214870.97089959428</v>
      </c>
      <c r="J9" s="211"/>
      <c r="K9" s="211"/>
      <c r="L9" s="211"/>
      <c r="M9" s="211"/>
      <c r="N9" s="211"/>
      <c r="O9" s="211"/>
      <c r="P9" s="211"/>
    </row>
    <row r="10" spans="2:19" s="11" customFormat="1" ht="15">
      <c r="B10" s="465" t="str">
        <f>Segmentation!B70</f>
        <v>Core Routing &amp; Optical Transport</v>
      </c>
      <c r="C10" s="466"/>
      <c r="D10" s="466"/>
      <c r="E10" s="466"/>
      <c r="F10" s="467"/>
      <c r="G10" s="213">
        <f t="shared" ref="G10:I10" si="1">G147+G148</f>
        <v>86380.119124785328</v>
      </c>
      <c r="H10" s="213">
        <f t="shared" si="1"/>
        <v>92216.575004870916</v>
      </c>
      <c r="I10" s="213">
        <f t="shared" si="1"/>
        <v>82998.254100405713</v>
      </c>
      <c r="J10" s="213"/>
      <c r="K10" s="213"/>
      <c r="L10" s="213"/>
      <c r="M10" s="213"/>
      <c r="N10" s="213"/>
      <c r="O10" s="213"/>
      <c r="P10" s="213"/>
    </row>
    <row r="11" spans="2:19" s="11" customFormat="1" ht="15">
      <c r="B11" s="465" t="str">
        <f>Segmentation!B71</f>
        <v>Cloud (Datacenter)</v>
      </c>
      <c r="C11" s="466"/>
      <c r="D11" s="466"/>
      <c r="E11" s="466"/>
      <c r="F11" s="467"/>
      <c r="G11" s="213">
        <f>G228+G229</f>
        <v>2093149.9726205696</v>
      </c>
      <c r="H11" s="213">
        <f t="shared" ref="H11:I11" si="2">H228+H229</f>
        <v>3757798.37</v>
      </c>
      <c r="I11" s="213">
        <f t="shared" si="2"/>
        <v>5798903.7750000004</v>
      </c>
      <c r="J11" s="213"/>
      <c r="K11" s="213"/>
      <c r="L11" s="213"/>
      <c r="M11" s="213"/>
      <c r="N11" s="213"/>
      <c r="O11" s="213"/>
      <c r="P11" s="213"/>
    </row>
    <row r="12" spans="2:19" s="11" customFormat="1" ht="15">
      <c r="B12" s="468" t="s">
        <v>232</v>
      </c>
      <c r="C12" s="454"/>
      <c r="D12" s="454"/>
      <c r="E12" s="454"/>
      <c r="F12" s="455"/>
      <c r="G12" s="213">
        <f t="shared" ref="G12:I12" si="3">G187+G188</f>
        <v>0</v>
      </c>
      <c r="H12" s="213">
        <f t="shared" si="3"/>
        <v>1.2732925824820995E-11</v>
      </c>
      <c r="I12" s="213">
        <f t="shared" si="3"/>
        <v>5.8207660913467407E-11</v>
      </c>
      <c r="J12" s="213"/>
      <c r="K12" s="213"/>
      <c r="L12" s="213"/>
      <c r="M12" s="213"/>
      <c r="N12" s="213"/>
      <c r="O12" s="213"/>
      <c r="P12" s="213"/>
    </row>
    <row r="13" spans="2:19" s="11" customFormat="1" ht="15">
      <c r="B13" s="456" t="s">
        <v>13</v>
      </c>
      <c r="C13" s="457"/>
      <c r="D13" s="457"/>
      <c r="E13" s="457"/>
      <c r="F13" s="458"/>
      <c r="G13" s="38">
        <f t="shared" ref="G13:P13" si="4">SUM(G9:G12)</f>
        <v>2517386.3571428573</v>
      </c>
      <c r="H13" s="38">
        <f t="shared" si="4"/>
        <v>4125856</v>
      </c>
      <c r="I13" s="38">
        <f t="shared" si="4"/>
        <v>6096773</v>
      </c>
      <c r="J13" s="38">
        <f t="shared" si="4"/>
        <v>0</v>
      </c>
      <c r="K13" s="38">
        <f t="shared" si="4"/>
        <v>0</v>
      </c>
      <c r="L13" s="38">
        <f t="shared" si="4"/>
        <v>0</v>
      </c>
      <c r="M13" s="38">
        <f t="shared" si="4"/>
        <v>0</v>
      </c>
      <c r="N13" s="38">
        <f t="shared" si="4"/>
        <v>0</v>
      </c>
      <c r="O13" s="38">
        <f t="shared" si="4"/>
        <v>0</v>
      </c>
      <c r="P13" s="38">
        <f t="shared" si="4"/>
        <v>0</v>
      </c>
    </row>
    <row r="14" spans="2:19" s="11" customFormat="1" ht="15">
      <c r="D14" s="39"/>
      <c r="E14" s="39"/>
    </row>
    <row r="15" spans="2:19" s="11" customFormat="1" ht="15">
      <c r="B15" s="459" t="s">
        <v>110</v>
      </c>
      <c r="C15" s="460"/>
      <c r="D15" s="460"/>
      <c r="E15" s="460"/>
      <c r="F15" s="461"/>
      <c r="G15" s="37">
        <v>2016</v>
      </c>
      <c r="H15" s="37">
        <v>2017</v>
      </c>
      <c r="I15" s="37">
        <v>2018</v>
      </c>
      <c r="J15" s="37">
        <v>2019</v>
      </c>
      <c r="K15" s="37">
        <v>2020</v>
      </c>
      <c r="L15" s="37">
        <v>2021</v>
      </c>
      <c r="M15" s="37">
        <v>2022</v>
      </c>
      <c r="N15" s="37">
        <v>2023</v>
      </c>
      <c r="O15" s="37">
        <v>2024</v>
      </c>
      <c r="P15" s="37">
        <v>2025</v>
      </c>
    </row>
    <row r="16" spans="2:19" s="11" customFormat="1" ht="15">
      <c r="B16" s="462" t="str">
        <f>B9</f>
        <v>HPC &amp; AI Clusters</v>
      </c>
      <c r="C16" s="463"/>
      <c r="D16" s="463"/>
      <c r="E16" s="463"/>
      <c r="F16" s="464"/>
      <c r="G16" s="36"/>
      <c r="H16" s="36">
        <f t="shared" ref="H16:I16" si="5">IF(G9=0,"",(H9/G9)-1)</f>
        <v>-0.18355501067712776</v>
      </c>
      <c r="I16" s="36">
        <f t="shared" si="5"/>
        <v>-0.22103339220701379</v>
      </c>
      <c r="J16" s="36"/>
      <c r="K16" s="36"/>
      <c r="L16" s="36"/>
      <c r="M16" s="36"/>
      <c r="N16" s="36"/>
      <c r="O16" s="36"/>
      <c r="P16" s="36"/>
    </row>
    <row r="17" spans="2:16" s="11" customFormat="1" ht="15">
      <c r="B17" s="465" t="str">
        <f>B10</f>
        <v>Core Routing &amp; Optical Transport</v>
      </c>
      <c r="C17" s="466"/>
      <c r="D17" s="466"/>
      <c r="E17" s="466"/>
      <c r="F17" s="467"/>
      <c r="G17" s="32"/>
      <c r="H17" s="32">
        <f t="shared" ref="H17:I17" si="6">IF(G10=0,"",(H10/G10)-1)</f>
        <v>6.7567120064446762E-2</v>
      </c>
      <c r="I17" s="32">
        <f t="shared" si="6"/>
        <v>-9.9963817827524948E-2</v>
      </c>
      <c r="J17" s="32"/>
      <c r="K17" s="32"/>
      <c r="L17" s="32"/>
      <c r="M17" s="32"/>
      <c r="N17" s="32"/>
      <c r="O17" s="32"/>
      <c r="P17" s="32"/>
    </row>
    <row r="18" spans="2:16" s="11" customFormat="1" ht="15">
      <c r="B18" s="465" t="str">
        <f>B11</f>
        <v>Cloud (Datacenter)</v>
      </c>
      <c r="C18" s="466"/>
      <c r="D18" s="466"/>
      <c r="E18" s="466"/>
      <c r="F18" s="467"/>
      <c r="G18" s="32"/>
      <c r="H18" s="32">
        <f t="shared" ref="H18:I18" si="7">IF(G11=0,"",(H11/G11)-1)</f>
        <v>0.79528386362843073</v>
      </c>
      <c r="I18" s="32">
        <f t="shared" si="7"/>
        <v>0.54316522709013793</v>
      </c>
      <c r="J18" s="32"/>
      <c r="K18" s="32"/>
      <c r="L18" s="32"/>
      <c r="M18" s="32"/>
      <c r="N18" s="32"/>
      <c r="O18" s="32"/>
      <c r="P18" s="32"/>
    </row>
    <row r="19" spans="2:16" s="11" customFormat="1" ht="13.5" customHeight="1">
      <c r="B19" s="453" t="str">
        <f>B12</f>
        <v>Other</v>
      </c>
      <c r="C19" s="454"/>
      <c r="D19" s="454"/>
      <c r="E19" s="454"/>
      <c r="F19" s="455"/>
      <c r="G19" s="32"/>
      <c r="H19" s="32" t="str">
        <f t="shared" ref="H19:I19" si="8">IF(G12=0,"",(H12/G12)-1)</f>
        <v/>
      </c>
      <c r="I19" s="32">
        <f t="shared" si="8"/>
        <v>3.5714285714285712</v>
      </c>
      <c r="J19" s="32"/>
      <c r="K19" s="32"/>
      <c r="L19" s="32"/>
      <c r="M19" s="32"/>
      <c r="N19" s="32"/>
      <c r="O19" s="32"/>
      <c r="P19" s="32"/>
    </row>
    <row r="20" spans="2:16" s="11" customFormat="1" ht="15">
      <c r="B20" s="456" t="s">
        <v>13</v>
      </c>
      <c r="C20" s="457"/>
      <c r="D20" s="457"/>
      <c r="E20" s="457"/>
      <c r="F20" s="458"/>
      <c r="G20" s="167"/>
      <c r="H20" s="167">
        <f t="shared" ref="H20:P20" si="9">IF(G13=0,"",(H13/G13)-1)</f>
        <v>0.6389442916830208</v>
      </c>
      <c r="I20" s="167">
        <f t="shared" si="9"/>
        <v>0.47769893084004877</v>
      </c>
      <c r="J20" s="167">
        <f t="shared" si="9"/>
        <v>-1</v>
      </c>
      <c r="K20" s="167" t="str">
        <f t="shared" si="9"/>
        <v/>
      </c>
      <c r="L20" s="167" t="str">
        <f t="shared" si="9"/>
        <v/>
      </c>
      <c r="M20" s="167" t="str">
        <f t="shared" si="9"/>
        <v/>
      </c>
      <c r="N20" s="167" t="str">
        <f t="shared" si="9"/>
        <v/>
      </c>
      <c r="O20" s="167" t="str">
        <f t="shared" si="9"/>
        <v/>
      </c>
      <c r="P20" s="167" t="str">
        <f t="shared" si="9"/>
        <v/>
      </c>
    </row>
    <row r="21" spans="2:16" s="11" customFormat="1" ht="14">
      <c r="B21" s="26"/>
      <c r="C21" s="26"/>
      <c r="D21" s="26"/>
      <c r="E21" s="26"/>
      <c r="F21" s="26"/>
      <c r="G21" s="26"/>
      <c r="H21" s="26"/>
      <c r="I21" s="26"/>
      <c r="J21" s="26"/>
      <c r="K21" s="26"/>
      <c r="L21" s="26"/>
      <c r="M21" s="26"/>
      <c r="N21" s="26"/>
      <c r="O21" s="253"/>
      <c r="P21" s="253"/>
    </row>
    <row r="22" spans="2:16" ht="15">
      <c r="B22" s="459" t="s">
        <v>111</v>
      </c>
      <c r="C22" s="460"/>
      <c r="D22" s="460"/>
      <c r="E22" s="460"/>
      <c r="F22" s="461"/>
      <c r="G22" s="30">
        <v>2016</v>
      </c>
      <c r="H22" s="30">
        <v>2017</v>
      </c>
      <c r="I22" s="30">
        <v>2018</v>
      </c>
      <c r="J22" s="30">
        <v>2019</v>
      </c>
      <c r="K22" s="30">
        <v>2020</v>
      </c>
      <c r="L22" s="30">
        <v>2021</v>
      </c>
      <c r="M22" s="30">
        <v>2022</v>
      </c>
      <c r="N22" s="30">
        <v>2023</v>
      </c>
      <c r="O22" s="30">
        <v>2024</v>
      </c>
      <c r="P22" s="30">
        <v>2025</v>
      </c>
    </row>
    <row r="23" spans="2:16" ht="15">
      <c r="B23" s="462" t="str">
        <f>B9</f>
        <v>HPC &amp; AI Clusters</v>
      </c>
      <c r="C23" s="463"/>
      <c r="D23" s="463"/>
      <c r="E23" s="463"/>
      <c r="F23" s="464"/>
      <c r="G23" s="36">
        <f t="shared" ref="G23:I23" si="10">G9/G$13</f>
        <v>0.13420914292272434</v>
      </c>
      <c r="H23" s="36">
        <f t="shared" si="10"/>
        <v>6.6856685011577988E-2</v>
      </c>
      <c r="I23" s="36">
        <f t="shared" si="10"/>
        <v>3.5243393660809461E-2</v>
      </c>
      <c r="J23" s="36"/>
      <c r="K23" s="36"/>
      <c r="L23" s="36"/>
      <c r="M23" s="36"/>
      <c r="N23" s="36"/>
      <c r="O23" s="36"/>
      <c r="P23" s="36"/>
    </row>
    <row r="24" spans="2:16" ht="15">
      <c r="B24" s="465" t="str">
        <f>B10</f>
        <v>Core Routing &amp; Optical Transport</v>
      </c>
      <c r="C24" s="466"/>
      <c r="D24" s="466"/>
      <c r="E24" s="466"/>
      <c r="F24" s="467"/>
      <c r="G24" s="32">
        <f t="shared" ref="G24:I24" si="11">G10/G$13</f>
        <v>3.4313413544841659E-2</v>
      </c>
      <c r="H24" s="32">
        <f t="shared" si="11"/>
        <v>2.2350895185113323E-2</v>
      </c>
      <c r="I24" s="32">
        <f t="shared" si="11"/>
        <v>1.3613472914344312E-2</v>
      </c>
      <c r="J24" s="32"/>
      <c r="K24" s="32"/>
      <c r="L24" s="32"/>
      <c r="M24" s="32"/>
      <c r="N24" s="32"/>
      <c r="O24" s="32"/>
      <c r="P24" s="32"/>
    </row>
    <row r="25" spans="2:16" ht="15">
      <c r="B25" s="465" t="str">
        <f>B11</f>
        <v>Cloud (Datacenter)</v>
      </c>
      <c r="C25" s="466"/>
      <c r="D25" s="466"/>
      <c r="E25" s="466"/>
      <c r="F25" s="467"/>
      <c r="G25" s="32">
        <f t="shared" ref="G25:I25" si="12">G11/G$13</f>
        <v>0.83147744353243391</v>
      </c>
      <c r="H25" s="32">
        <f t="shared" si="12"/>
        <v>0.91079241980330872</v>
      </c>
      <c r="I25" s="32">
        <f t="shared" si="12"/>
        <v>0.95114313342484624</v>
      </c>
      <c r="J25" s="32"/>
      <c r="K25" s="32"/>
      <c r="L25" s="32"/>
      <c r="M25" s="32"/>
      <c r="N25" s="32"/>
      <c r="O25" s="32"/>
      <c r="P25" s="32"/>
    </row>
    <row r="26" spans="2:16" ht="15">
      <c r="B26" s="453" t="str">
        <f>B12</f>
        <v>Other</v>
      </c>
      <c r="C26" s="454"/>
      <c r="D26" s="454"/>
      <c r="E26" s="454"/>
      <c r="F26" s="455"/>
      <c r="G26" s="32">
        <f t="shared" ref="G26:I26" si="13">G12/G$13</f>
        <v>0</v>
      </c>
      <c r="H26" s="32">
        <f t="shared" si="13"/>
        <v>3.0861294783000172E-18</v>
      </c>
      <c r="I26" s="32">
        <f t="shared" si="13"/>
        <v>9.5472901670223582E-18</v>
      </c>
      <c r="J26" s="32"/>
      <c r="K26" s="32"/>
      <c r="L26" s="32"/>
      <c r="M26" s="32"/>
      <c r="N26" s="32"/>
      <c r="O26" s="32"/>
      <c r="P26" s="32"/>
    </row>
    <row r="27" spans="2:16" ht="15">
      <c r="B27" s="456" t="s">
        <v>13</v>
      </c>
      <c r="C27" s="457"/>
      <c r="D27" s="457"/>
      <c r="E27" s="457"/>
      <c r="F27" s="458"/>
      <c r="G27" s="33">
        <f t="shared" ref="G27:P27" si="14">SUM(G23:G26)</f>
        <v>0.99999999999999989</v>
      </c>
      <c r="H27" s="33">
        <f t="shared" si="14"/>
        <v>1</v>
      </c>
      <c r="I27" s="33">
        <f t="shared" si="14"/>
        <v>1</v>
      </c>
      <c r="J27" s="33">
        <f t="shared" si="14"/>
        <v>0</v>
      </c>
      <c r="K27" s="33">
        <f t="shared" si="14"/>
        <v>0</v>
      </c>
      <c r="L27" s="33">
        <f t="shared" si="14"/>
        <v>0</v>
      </c>
      <c r="M27" s="33">
        <f t="shared" si="14"/>
        <v>0</v>
      </c>
      <c r="N27" s="33">
        <f t="shared" si="14"/>
        <v>0</v>
      </c>
      <c r="O27" s="33">
        <f t="shared" si="14"/>
        <v>0</v>
      </c>
      <c r="P27" s="33">
        <f t="shared" si="14"/>
        <v>0</v>
      </c>
    </row>
    <row r="28" spans="2:16" ht="14">
      <c r="B28" s="291"/>
      <c r="C28" s="291"/>
      <c r="D28" s="291"/>
      <c r="E28" s="291"/>
      <c r="F28" s="291"/>
      <c r="G28" s="58"/>
      <c r="H28" s="58"/>
      <c r="I28" s="58"/>
      <c r="J28" s="58"/>
      <c r="K28" s="58"/>
      <c r="L28" s="58"/>
      <c r="M28" s="58"/>
      <c r="N28" s="58"/>
      <c r="O28" s="58"/>
      <c r="P28" s="58"/>
    </row>
    <row r="29" spans="2:16" s="11" customFormat="1" ht="15">
      <c r="B29" s="29"/>
      <c r="C29" s="29"/>
      <c r="D29" s="29"/>
      <c r="E29" s="29"/>
      <c r="F29" s="29"/>
      <c r="G29" s="26"/>
      <c r="H29" s="26"/>
      <c r="I29" s="26"/>
      <c r="J29" s="26"/>
      <c r="K29" s="26"/>
      <c r="L29" s="26"/>
      <c r="M29" s="26"/>
      <c r="N29" s="26"/>
      <c r="O29" s="253"/>
      <c r="P29" s="253"/>
    </row>
    <row r="30" spans="2:16" s="11" customFormat="1" ht="15">
      <c r="B30" s="459" t="s">
        <v>164</v>
      </c>
      <c r="C30" s="460"/>
      <c r="D30" s="460"/>
      <c r="E30" s="460"/>
      <c r="F30" s="461"/>
      <c r="G30" s="30">
        <v>2016</v>
      </c>
      <c r="H30" s="30">
        <v>2017</v>
      </c>
      <c r="I30" s="30">
        <v>2018</v>
      </c>
      <c r="J30" s="30">
        <v>2019</v>
      </c>
      <c r="K30" s="30">
        <v>2020</v>
      </c>
      <c r="L30" s="30">
        <v>2021</v>
      </c>
      <c r="M30" s="30">
        <v>2022</v>
      </c>
      <c r="N30" s="30">
        <v>2023</v>
      </c>
      <c r="O30" s="30">
        <v>2024</v>
      </c>
      <c r="P30" s="30">
        <v>2025</v>
      </c>
    </row>
    <row r="31" spans="2:16" s="11" customFormat="1" ht="15">
      <c r="B31" s="462" t="str">
        <f>B9</f>
        <v>HPC &amp; AI Clusters</v>
      </c>
      <c r="C31" s="463"/>
      <c r="D31" s="463"/>
      <c r="E31" s="463"/>
      <c r="F31" s="464"/>
      <c r="G31" s="35">
        <f t="shared" ref="G31:I31" si="15">G109</f>
        <v>26500</v>
      </c>
      <c r="H31" s="35">
        <f t="shared" si="15"/>
        <v>47236.4</v>
      </c>
      <c r="I31" s="35">
        <f t="shared" si="15"/>
        <v>41567.5</v>
      </c>
      <c r="J31" s="35"/>
      <c r="K31" s="35"/>
      <c r="L31" s="35"/>
      <c r="M31" s="35"/>
      <c r="N31" s="35"/>
      <c r="O31" s="35"/>
      <c r="P31" s="35"/>
    </row>
    <row r="32" spans="2:16" s="11" customFormat="1" ht="15">
      <c r="B32" s="465" t="str">
        <f>B10</f>
        <v>Core Routing &amp; Optical Transport</v>
      </c>
      <c r="C32" s="466"/>
      <c r="D32" s="466"/>
      <c r="E32" s="466"/>
      <c r="F32" s="467"/>
      <c r="G32" s="34">
        <f t="shared" ref="G32:I32" si="16">G149</f>
        <v>5300</v>
      </c>
      <c r="H32" s="34">
        <f t="shared" si="16"/>
        <v>9447.2800000000097</v>
      </c>
      <c r="I32" s="34">
        <f t="shared" si="16"/>
        <v>19952.399999999987</v>
      </c>
      <c r="J32" s="34"/>
      <c r="K32" s="34"/>
      <c r="L32" s="34"/>
      <c r="M32" s="34"/>
      <c r="N32" s="34"/>
      <c r="O32" s="34"/>
      <c r="P32" s="34"/>
    </row>
    <row r="33" spans="2:16" s="11" customFormat="1" ht="15">
      <c r="B33" s="465" t="str">
        <f>B11</f>
        <v>Cloud (Datacenter)</v>
      </c>
      <c r="C33" s="466"/>
      <c r="D33" s="466"/>
      <c r="E33" s="466"/>
      <c r="F33" s="467"/>
      <c r="G33" s="34">
        <f>G230</f>
        <v>21200</v>
      </c>
      <c r="H33" s="34">
        <f t="shared" ref="H33:I33" si="17">H230</f>
        <v>59045.499999999985</v>
      </c>
      <c r="I33" s="34">
        <f t="shared" si="17"/>
        <v>96436.6</v>
      </c>
      <c r="J33" s="34"/>
      <c r="K33" s="34"/>
      <c r="L33" s="34"/>
      <c r="M33" s="34"/>
      <c r="N33" s="34"/>
      <c r="O33" s="34"/>
      <c r="P33" s="34"/>
    </row>
    <row r="34" spans="2:16" s="11" customFormat="1" ht="15">
      <c r="B34" s="453" t="str">
        <f>B12</f>
        <v>Other</v>
      </c>
      <c r="C34" s="454"/>
      <c r="D34" s="454"/>
      <c r="E34" s="454"/>
      <c r="F34" s="455"/>
      <c r="G34" s="146">
        <f>G189</f>
        <v>0</v>
      </c>
      <c r="H34" s="146">
        <f t="shared" ref="H34:I34" si="18">H189</f>
        <v>2361.820000000007</v>
      </c>
      <c r="I34" s="146">
        <f t="shared" si="18"/>
        <v>8313.5</v>
      </c>
      <c r="J34" s="146"/>
      <c r="K34" s="146"/>
      <c r="L34" s="146"/>
      <c r="M34" s="146"/>
      <c r="N34" s="146"/>
      <c r="O34" s="146"/>
      <c r="P34" s="146"/>
    </row>
    <row r="35" spans="2:16" s="11" customFormat="1" ht="15">
      <c r="B35" s="456" t="s">
        <v>13</v>
      </c>
      <c r="C35" s="457"/>
      <c r="D35" s="457"/>
      <c r="E35" s="457"/>
      <c r="F35" s="458"/>
      <c r="G35" s="38">
        <f t="shared" ref="G35:P35" si="19">SUM(G31:G34)</f>
        <v>53000</v>
      </c>
      <c r="H35" s="38">
        <f t="shared" si="19"/>
        <v>118091</v>
      </c>
      <c r="I35" s="38">
        <f t="shared" si="19"/>
        <v>166270</v>
      </c>
      <c r="J35" s="38">
        <f t="shared" si="19"/>
        <v>0</v>
      </c>
      <c r="K35" s="38">
        <f t="shared" si="19"/>
        <v>0</v>
      </c>
      <c r="L35" s="38">
        <f t="shared" si="19"/>
        <v>0</v>
      </c>
      <c r="M35" s="38">
        <f t="shared" si="19"/>
        <v>0</v>
      </c>
      <c r="N35" s="38">
        <f t="shared" si="19"/>
        <v>0</v>
      </c>
      <c r="O35" s="38">
        <f t="shared" si="19"/>
        <v>0</v>
      </c>
      <c r="P35" s="38">
        <f t="shared" si="19"/>
        <v>0</v>
      </c>
    </row>
    <row r="36" spans="2:16" s="11" customFormat="1" ht="15">
      <c r="B36" s="258"/>
      <c r="C36" s="258"/>
      <c r="D36" s="39"/>
      <c r="E36" s="39"/>
    </row>
    <row r="37" spans="2:16" s="11" customFormat="1" ht="15">
      <c r="B37" s="459" t="s">
        <v>112</v>
      </c>
      <c r="C37" s="460"/>
      <c r="D37" s="460"/>
      <c r="E37" s="460"/>
      <c r="F37" s="461"/>
      <c r="G37" s="37">
        <v>2016</v>
      </c>
      <c r="H37" s="37">
        <v>2017</v>
      </c>
      <c r="I37" s="37">
        <v>2018</v>
      </c>
      <c r="J37" s="37">
        <v>2019</v>
      </c>
      <c r="K37" s="37">
        <v>2020</v>
      </c>
      <c r="L37" s="37">
        <v>2021</v>
      </c>
      <c r="M37" s="37">
        <v>2022</v>
      </c>
      <c r="N37" s="37">
        <v>2023</v>
      </c>
      <c r="O37" s="37">
        <v>2024</v>
      </c>
      <c r="P37" s="37">
        <v>2025</v>
      </c>
    </row>
    <row r="38" spans="2:16" s="11" customFormat="1" ht="15">
      <c r="B38" s="462" t="str">
        <f>B31</f>
        <v>HPC &amp; AI Clusters</v>
      </c>
      <c r="C38" s="463"/>
      <c r="D38" s="463"/>
      <c r="E38" s="463"/>
      <c r="F38" s="464"/>
      <c r="G38" s="36"/>
      <c r="H38" s="36">
        <f t="shared" ref="H38:I38" si="20">IF(G31=0,"",(H31/G31)-1)</f>
        <v>0.78250566037735858</v>
      </c>
      <c r="I38" s="36">
        <f t="shared" si="20"/>
        <v>-0.12001126250095273</v>
      </c>
      <c r="J38" s="36"/>
      <c r="K38" s="36"/>
      <c r="L38" s="36"/>
      <c r="M38" s="36"/>
      <c r="N38" s="36"/>
      <c r="O38" s="36"/>
      <c r="P38" s="36"/>
    </row>
    <row r="39" spans="2:16" s="11" customFormat="1" ht="15">
      <c r="B39" s="465" t="str">
        <f>B32</f>
        <v>Core Routing &amp; Optical Transport</v>
      </c>
      <c r="C39" s="466"/>
      <c r="D39" s="466"/>
      <c r="E39" s="466"/>
      <c r="F39" s="467"/>
      <c r="G39" s="32"/>
      <c r="H39" s="32">
        <f t="shared" ref="H39:I39" si="21">IF(G32=0,"",(H32/G32)-1)</f>
        <v>0.78250566037736036</v>
      </c>
      <c r="I39" s="32">
        <f t="shared" si="21"/>
        <v>1.1119729699977099</v>
      </c>
      <c r="J39" s="32"/>
      <c r="K39" s="32"/>
      <c r="L39" s="32"/>
      <c r="M39" s="32"/>
      <c r="N39" s="32"/>
      <c r="O39" s="32"/>
      <c r="P39" s="32"/>
    </row>
    <row r="40" spans="2:16" s="11" customFormat="1" ht="15">
      <c r="B40" s="465" t="str">
        <f>B33</f>
        <v>Cloud (Datacenter)</v>
      </c>
      <c r="C40" s="466"/>
      <c r="D40" s="466"/>
      <c r="E40" s="466"/>
      <c r="F40" s="467"/>
      <c r="G40" s="32"/>
      <c r="H40" s="32">
        <f t="shared" ref="H40:I40" si="22">IF(G33=0,"",(H33/G33)-1)</f>
        <v>1.785165094339622</v>
      </c>
      <c r="I40" s="32">
        <f t="shared" si="22"/>
        <v>0.63325909679823233</v>
      </c>
      <c r="J40" s="32"/>
      <c r="K40" s="32"/>
      <c r="L40" s="32"/>
      <c r="M40" s="32"/>
      <c r="N40" s="32"/>
      <c r="O40" s="32"/>
      <c r="P40" s="32"/>
    </row>
    <row r="41" spans="2:16" s="11" customFormat="1" ht="13.5" customHeight="1">
      <c r="B41" s="453" t="str">
        <f>B34</f>
        <v>Other</v>
      </c>
      <c r="C41" s="454"/>
      <c r="D41" s="454"/>
      <c r="E41" s="454"/>
      <c r="F41" s="455"/>
      <c r="G41" s="32"/>
      <c r="H41" s="32" t="str">
        <f t="shared" ref="H41:I41" si="23">IF(G34=0,"",(H34/G34)-1)</f>
        <v/>
      </c>
      <c r="I41" s="32">
        <f t="shared" si="23"/>
        <v>2.5199549499961789</v>
      </c>
      <c r="J41" s="32"/>
      <c r="K41" s="32"/>
      <c r="L41" s="32"/>
      <c r="M41" s="32"/>
      <c r="N41" s="32"/>
      <c r="O41" s="32"/>
      <c r="P41" s="32"/>
    </row>
    <row r="42" spans="2:16" s="11" customFormat="1" ht="15">
      <c r="B42" s="456" t="s">
        <v>13</v>
      </c>
      <c r="C42" s="457"/>
      <c r="D42" s="457"/>
      <c r="E42" s="457"/>
      <c r="F42" s="458"/>
      <c r="G42" s="167"/>
      <c r="H42" s="167">
        <f t="shared" ref="H42:P42" si="24">IF(G35=0,"",(H35/G35)-1)</f>
        <v>1.2281320754716982</v>
      </c>
      <c r="I42" s="167">
        <f t="shared" si="24"/>
        <v>0.40798197999847585</v>
      </c>
      <c r="J42" s="167">
        <f t="shared" si="24"/>
        <v>-1</v>
      </c>
      <c r="K42" s="167" t="str">
        <f t="shared" si="24"/>
        <v/>
      </c>
      <c r="L42" s="167" t="str">
        <f t="shared" si="24"/>
        <v/>
      </c>
      <c r="M42" s="167" t="str">
        <f t="shared" si="24"/>
        <v/>
      </c>
      <c r="N42" s="167" t="str">
        <f t="shared" si="24"/>
        <v/>
      </c>
      <c r="O42" s="167" t="str">
        <f t="shared" si="24"/>
        <v/>
      </c>
      <c r="P42" s="167" t="str">
        <f t="shared" si="24"/>
        <v/>
      </c>
    </row>
    <row r="43" spans="2:16" s="11" customFormat="1" ht="15">
      <c r="B43" s="287"/>
      <c r="C43" s="287"/>
      <c r="D43" s="287"/>
      <c r="E43" s="287"/>
      <c r="F43" s="287"/>
      <c r="G43" s="26"/>
      <c r="H43" s="26"/>
      <c r="I43" s="26"/>
      <c r="J43" s="26"/>
      <c r="K43" s="26"/>
      <c r="L43" s="26"/>
      <c r="M43" s="26"/>
      <c r="N43" s="26"/>
      <c r="O43" s="253"/>
      <c r="P43" s="253"/>
    </row>
    <row r="44" spans="2:16" ht="15">
      <c r="B44" s="459" t="s">
        <v>113</v>
      </c>
      <c r="C44" s="460"/>
      <c r="D44" s="460"/>
      <c r="E44" s="460"/>
      <c r="F44" s="461"/>
      <c r="G44" s="30">
        <v>2016</v>
      </c>
      <c r="H44" s="30">
        <v>2017</v>
      </c>
      <c r="I44" s="30">
        <v>2018</v>
      </c>
      <c r="J44" s="30">
        <v>2019</v>
      </c>
      <c r="K44" s="30">
        <v>2020</v>
      </c>
      <c r="L44" s="30">
        <v>2021</v>
      </c>
      <c r="M44" s="30">
        <v>2022</v>
      </c>
      <c r="N44" s="30">
        <v>2023</v>
      </c>
      <c r="O44" s="30">
        <v>2024</v>
      </c>
      <c r="P44" s="30">
        <v>2025</v>
      </c>
    </row>
    <row r="45" spans="2:16" ht="15">
      <c r="B45" s="462" t="str">
        <f>B31</f>
        <v>HPC &amp; AI Clusters</v>
      </c>
      <c r="C45" s="463"/>
      <c r="D45" s="463"/>
      <c r="E45" s="463"/>
      <c r="F45" s="464"/>
      <c r="G45" s="36">
        <f t="shared" ref="G45:I45" si="25">G31/G$13</f>
        <v>1.0526790980974627E-2</v>
      </c>
      <c r="H45" s="36">
        <f t="shared" si="25"/>
        <v>1.1448872670301631E-2</v>
      </c>
      <c r="I45" s="36">
        <f t="shared" si="25"/>
        <v>6.8179510701808976E-3</v>
      </c>
      <c r="J45" s="36"/>
      <c r="K45" s="36"/>
      <c r="L45" s="36"/>
      <c r="M45" s="36"/>
      <c r="N45" s="36"/>
      <c r="O45" s="36"/>
      <c r="P45" s="36"/>
    </row>
    <row r="46" spans="2:16" ht="15">
      <c r="B46" s="465" t="str">
        <f>B32</f>
        <v>Core Routing &amp; Optical Transport</v>
      </c>
      <c r="C46" s="466"/>
      <c r="D46" s="466"/>
      <c r="E46" s="466"/>
      <c r="F46" s="467"/>
      <c r="G46" s="32">
        <f t="shared" ref="G46:I46" si="26">G32/G$13</f>
        <v>2.1053581961949252E-3</v>
      </c>
      <c r="H46" s="32">
        <f t="shared" si="26"/>
        <v>2.2897745340603281E-3</v>
      </c>
      <c r="I46" s="32">
        <f t="shared" si="26"/>
        <v>3.2726165136868286E-3</v>
      </c>
      <c r="J46" s="32"/>
      <c r="K46" s="32"/>
      <c r="L46" s="32"/>
      <c r="M46" s="32"/>
      <c r="N46" s="32"/>
      <c r="O46" s="32"/>
      <c r="P46" s="32"/>
    </row>
    <row r="47" spans="2:16" ht="15">
      <c r="B47" s="465" t="str">
        <f>B33</f>
        <v>Cloud (Datacenter)</v>
      </c>
      <c r="C47" s="466"/>
      <c r="D47" s="466"/>
      <c r="E47" s="466"/>
      <c r="F47" s="467"/>
      <c r="G47" s="32">
        <f t="shared" ref="G47:I47" si="27">G33/G$13</f>
        <v>8.4214327847797008E-3</v>
      </c>
      <c r="H47" s="32">
        <f t="shared" si="27"/>
        <v>1.4311090837877034E-2</v>
      </c>
      <c r="I47" s="32">
        <f t="shared" si="27"/>
        <v>1.5817646482819681E-2</v>
      </c>
      <c r="J47" s="32"/>
      <c r="K47" s="32"/>
      <c r="L47" s="32"/>
      <c r="M47" s="32"/>
      <c r="N47" s="32"/>
      <c r="O47" s="32"/>
      <c r="P47" s="32"/>
    </row>
    <row r="48" spans="2:16" ht="15">
      <c r="B48" s="453" t="str">
        <f>B34</f>
        <v>Other</v>
      </c>
      <c r="C48" s="454"/>
      <c r="D48" s="454"/>
      <c r="E48" s="454"/>
      <c r="F48" s="455"/>
      <c r="G48" s="32">
        <f t="shared" ref="G48:I48" si="28">G34/G$13</f>
        <v>0</v>
      </c>
      <c r="H48" s="32">
        <f t="shared" si="28"/>
        <v>5.7244363351508312E-4</v>
      </c>
      <c r="I48" s="32">
        <f t="shared" si="28"/>
        <v>1.3635902140361794E-3</v>
      </c>
      <c r="J48" s="32"/>
      <c r="K48" s="32"/>
      <c r="L48" s="32"/>
      <c r="M48" s="32"/>
      <c r="N48" s="32"/>
      <c r="O48" s="32"/>
      <c r="P48" s="32"/>
    </row>
    <row r="49" spans="2:16" ht="15">
      <c r="B49" s="456" t="s">
        <v>13</v>
      </c>
      <c r="C49" s="457"/>
      <c r="D49" s="457"/>
      <c r="E49" s="457"/>
      <c r="F49" s="458"/>
      <c r="G49" s="33">
        <f t="shared" ref="G49:P49" si="29">SUM(G45:G48)</f>
        <v>2.1053581961949251E-2</v>
      </c>
      <c r="H49" s="33">
        <f t="shared" si="29"/>
        <v>2.8622181675754078E-2</v>
      </c>
      <c r="I49" s="33">
        <f t="shared" si="29"/>
        <v>2.7271804280723587E-2</v>
      </c>
      <c r="J49" s="33">
        <f t="shared" si="29"/>
        <v>0</v>
      </c>
      <c r="K49" s="33">
        <f t="shared" si="29"/>
        <v>0</v>
      </c>
      <c r="L49" s="33">
        <f t="shared" si="29"/>
        <v>0</v>
      </c>
      <c r="M49" s="33">
        <f t="shared" si="29"/>
        <v>0</v>
      </c>
      <c r="N49" s="33">
        <f t="shared" si="29"/>
        <v>0</v>
      </c>
      <c r="O49" s="33">
        <f t="shared" si="29"/>
        <v>0</v>
      </c>
      <c r="P49" s="33">
        <f t="shared" si="29"/>
        <v>0</v>
      </c>
    </row>
    <row r="50" spans="2:16" ht="15">
      <c r="B50" s="298"/>
      <c r="C50" s="298"/>
      <c r="D50" s="298"/>
      <c r="E50" s="298"/>
      <c r="F50" s="298"/>
      <c r="G50" s="58"/>
      <c r="H50" s="58"/>
      <c r="I50" s="58"/>
      <c r="J50" s="58"/>
      <c r="K50" s="58"/>
      <c r="L50" s="58"/>
      <c r="M50" s="58"/>
      <c r="N50" s="58"/>
      <c r="O50" s="58"/>
      <c r="P50" s="58"/>
    </row>
    <row r="51" spans="2:16" ht="15">
      <c r="B51" s="299"/>
      <c r="C51" s="299"/>
      <c r="D51" s="299"/>
      <c r="E51" s="299"/>
      <c r="F51" s="299"/>
      <c r="G51" s="58"/>
      <c r="H51" s="58"/>
      <c r="I51" s="58"/>
      <c r="J51" s="58"/>
      <c r="K51" s="58"/>
      <c r="L51" s="58"/>
      <c r="M51" s="58"/>
      <c r="N51" s="58"/>
      <c r="O51" s="58"/>
      <c r="P51" s="58"/>
    </row>
    <row r="52" spans="2:16" s="11" customFormat="1" ht="15">
      <c r="B52" s="459" t="s">
        <v>289</v>
      </c>
      <c r="C52" s="460"/>
      <c r="D52" s="460"/>
      <c r="E52" s="460"/>
      <c r="F52" s="461"/>
      <c r="G52" s="30">
        <v>2016</v>
      </c>
      <c r="H52" s="30">
        <v>2017</v>
      </c>
      <c r="I52" s="30">
        <v>2018</v>
      </c>
      <c r="J52" s="30">
        <v>2019</v>
      </c>
      <c r="K52" s="30">
        <v>2020</v>
      </c>
      <c r="L52" s="30">
        <v>2021</v>
      </c>
      <c r="M52" s="30">
        <v>2022</v>
      </c>
      <c r="N52" s="30">
        <v>2023</v>
      </c>
      <c r="O52" s="30">
        <v>2024</v>
      </c>
      <c r="P52" s="30">
        <v>2025</v>
      </c>
    </row>
    <row r="53" spans="2:16" s="11" customFormat="1" ht="15">
      <c r="B53" s="462" t="str">
        <f>B9</f>
        <v>HPC &amp; AI Clusters</v>
      </c>
      <c r="C53" s="463"/>
      <c r="D53" s="463"/>
      <c r="E53" s="463"/>
      <c r="F53" s="464"/>
      <c r="G53" s="35">
        <f t="shared" ref="G53:I53" si="30">SUM(G95:G103)</f>
        <v>0</v>
      </c>
      <c r="H53" s="35">
        <f t="shared" si="30"/>
        <v>0</v>
      </c>
      <c r="I53" s="35">
        <f t="shared" si="30"/>
        <v>0</v>
      </c>
      <c r="J53" s="35"/>
      <c r="K53" s="35"/>
      <c r="L53" s="35"/>
      <c r="M53" s="35"/>
      <c r="N53" s="35"/>
      <c r="O53" s="35"/>
      <c r="P53" s="35"/>
    </row>
    <row r="54" spans="2:16" s="11" customFormat="1" ht="15">
      <c r="B54" s="465" t="str">
        <f>B10</f>
        <v>Core Routing &amp; Optical Transport</v>
      </c>
      <c r="C54" s="466"/>
      <c r="D54" s="466"/>
      <c r="E54" s="466"/>
      <c r="F54" s="467"/>
      <c r="G54" s="34">
        <f t="shared" ref="G54:I54" si="31">SUM(G135:G143)</f>
        <v>0</v>
      </c>
      <c r="H54" s="34">
        <f t="shared" si="31"/>
        <v>0</v>
      </c>
      <c r="I54" s="34">
        <f t="shared" si="31"/>
        <v>0</v>
      </c>
      <c r="J54" s="34"/>
      <c r="K54" s="34"/>
      <c r="L54" s="34"/>
      <c r="M54" s="34"/>
      <c r="N54" s="34"/>
      <c r="O54" s="34"/>
      <c r="P54" s="34"/>
    </row>
    <row r="55" spans="2:16" s="11" customFormat="1" ht="15">
      <c r="B55" s="465" t="str">
        <f>B11</f>
        <v>Cloud (Datacenter)</v>
      </c>
      <c r="C55" s="466"/>
      <c r="D55" s="466"/>
      <c r="E55" s="466"/>
      <c r="F55" s="467"/>
      <c r="G55" s="34">
        <f t="shared" ref="G55:I55" si="32">SUM(G216:G224)</f>
        <v>0</v>
      </c>
      <c r="H55" s="34">
        <f t="shared" si="32"/>
        <v>0</v>
      </c>
      <c r="I55" s="34">
        <f t="shared" si="32"/>
        <v>0</v>
      </c>
      <c r="J55" s="34"/>
      <c r="K55" s="34"/>
      <c r="L55" s="34"/>
      <c r="M55" s="34"/>
      <c r="N55" s="34"/>
      <c r="O55" s="34"/>
      <c r="P55" s="34"/>
    </row>
    <row r="56" spans="2:16" s="11" customFormat="1" ht="15">
      <c r="B56" s="453" t="str">
        <f>B12</f>
        <v>Other</v>
      </c>
      <c r="C56" s="454"/>
      <c r="D56" s="454"/>
      <c r="E56" s="454"/>
      <c r="F56" s="455"/>
      <c r="G56" s="146">
        <f t="shared" ref="G56:I56" si="33">SUM(G175:G183)</f>
        <v>0</v>
      </c>
      <c r="H56" s="146">
        <f t="shared" si="33"/>
        <v>0</v>
      </c>
      <c r="I56" s="146">
        <f t="shared" si="33"/>
        <v>0</v>
      </c>
      <c r="J56" s="146"/>
      <c r="K56" s="146"/>
      <c r="L56" s="146"/>
      <c r="M56" s="146"/>
      <c r="N56" s="146"/>
      <c r="O56" s="146"/>
      <c r="P56" s="146"/>
    </row>
    <row r="57" spans="2:16" s="11" customFormat="1" ht="15">
      <c r="B57" s="456" t="s">
        <v>13</v>
      </c>
      <c r="C57" s="457"/>
      <c r="D57" s="457"/>
      <c r="E57" s="457"/>
      <c r="F57" s="458"/>
      <c r="G57" s="38">
        <f t="shared" ref="G57:P57" si="34">SUM(G53:G56)</f>
        <v>0</v>
      </c>
      <c r="H57" s="38">
        <f t="shared" si="34"/>
        <v>0</v>
      </c>
      <c r="I57" s="38">
        <f t="shared" si="34"/>
        <v>0</v>
      </c>
      <c r="J57" s="38">
        <f t="shared" si="34"/>
        <v>0</v>
      </c>
      <c r="K57" s="38">
        <f t="shared" si="34"/>
        <v>0</v>
      </c>
      <c r="L57" s="38">
        <f t="shared" si="34"/>
        <v>0</v>
      </c>
      <c r="M57" s="38">
        <f t="shared" si="34"/>
        <v>0</v>
      </c>
      <c r="N57" s="38">
        <f t="shared" si="34"/>
        <v>0</v>
      </c>
      <c r="O57" s="38">
        <f t="shared" si="34"/>
        <v>0</v>
      </c>
      <c r="P57" s="38">
        <f t="shared" si="34"/>
        <v>0</v>
      </c>
    </row>
    <row r="58" spans="2:16" s="11" customFormat="1" ht="15">
      <c r="B58" s="258"/>
      <c r="C58" s="258"/>
      <c r="D58" s="39"/>
      <c r="E58" s="39"/>
    </row>
    <row r="59" spans="2:16" s="11" customFormat="1" ht="15">
      <c r="B59" s="459" t="s">
        <v>290</v>
      </c>
      <c r="C59" s="460"/>
      <c r="D59" s="460"/>
      <c r="E59" s="460"/>
      <c r="F59" s="461"/>
      <c r="G59" s="37">
        <v>2016</v>
      </c>
      <c r="H59" s="37">
        <v>2017</v>
      </c>
      <c r="I59" s="37">
        <v>2018</v>
      </c>
      <c r="J59" s="37">
        <v>2019</v>
      </c>
      <c r="K59" s="37">
        <v>2020</v>
      </c>
      <c r="L59" s="37">
        <v>2021</v>
      </c>
      <c r="M59" s="37">
        <v>2022</v>
      </c>
      <c r="N59" s="37">
        <v>2023</v>
      </c>
      <c r="O59" s="37">
        <v>2024</v>
      </c>
      <c r="P59" s="37">
        <v>2025</v>
      </c>
    </row>
    <row r="60" spans="2:16" s="11" customFormat="1" ht="15">
      <c r="B60" s="462" t="str">
        <f>B9</f>
        <v>HPC &amp; AI Clusters</v>
      </c>
      <c r="C60" s="463"/>
      <c r="D60" s="463"/>
      <c r="E60" s="463"/>
      <c r="F60" s="464"/>
      <c r="G60" s="36"/>
      <c r="H60" s="36" t="str">
        <f t="shared" ref="H60:I60" si="35">IF(G53=0,"",(H53/G53)-1)</f>
        <v/>
      </c>
      <c r="I60" s="36" t="str">
        <f t="shared" si="35"/>
        <v/>
      </c>
      <c r="J60" s="36"/>
      <c r="K60" s="36"/>
      <c r="L60" s="36"/>
      <c r="M60" s="36"/>
      <c r="N60" s="36"/>
      <c r="O60" s="36"/>
      <c r="P60" s="36"/>
    </row>
    <row r="61" spans="2:16" s="11" customFormat="1" ht="15">
      <c r="B61" s="465" t="str">
        <f>B54</f>
        <v>Core Routing &amp; Optical Transport</v>
      </c>
      <c r="C61" s="466"/>
      <c r="D61" s="466"/>
      <c r="E61" s="466"/>
      <c r="F61" s="467"/>
      <c r="G61" s="32"/>
      <c r="H61" s="32" t="str">
        <f t="shared" ref="H61:I61" si="36">IF(G54=0,"",(H54/G54)-1)</f>
        <v/>
      </c>
      <c r="I61" s="32" t="str">
        <f t="shared" si="36"/>
        <v/>
      </c>
      <c r="J61" s="32"/>
      <c r="K61" s="32"/>
      <c r="L61" s="32"/>
      <c r="M61" s="32"/>
      <c r="N61" s="32"/>
      <c r="O61" s="32"/>
      <c r="P61" s="32"/>
    </row>
    <row r="62" spans="2:16" s="11" customFormat="1" ht="15">
      <c r="B62" s="465" t="str">
        <f>B55</f>
        <v>Cloud (Datacenter)</v>
      </c>
      <c r="C62" s="466"/>
      <c r="D62" s="466"/>
      <c r="E62" s="466"/>
      <c r="F62" s="467"/>
      <c r="G62" s="32"/>
      <c r="H62" s="32" t="str">
        <f t="shared" ref="H62:I62" si="37">IF(G55=0,"",(H55/G55)-1)</f>
        <v/>
      </c>
      <c r="I62" s="32" t="str">
        <f t="shared" si="37"/>
        <v/>
      </c>
      <c r="J62" s="32"/>
      <c r="K62" s="32"/>
      <c r="L62" s="32"/>
      <c r="M62" s="32"/>
      <c r="N62" s="32"/>
      <c r="O62" s="32"/>
      <c r="P62" s="32"/>
    </row>
    <row r="63" spans="2:16" s="11" customFormat="1" ht="13.5" customHeight="1">
      <c r="B63" s="453" t="str">
        <f>B56</f>
        <v>Other</v>
      </c>
      <c r="C63" s="454"/>
      <c r="D63" s="454"/>
      <c r="E63" s="454"/>
      <c r="F63" s="455"/>
      <c r="G63" s="32"/>
      <c r="H63" s="32" t="str">
        <f t="shared" ref="H63:I63" si="38">IF(G56=0,"",(H56/G56)-1)</f>
        <v/>
      </c>
      <c r="I63" s="32" t="str">
        <f t="shared" si="38"/>
        <v/>
      </c>
      <c r="J63" s="32"/>
      <c r="K63" s="32"/>
      <c r="L63" s="32"/>
      <c r="M63" s="32"/>
      <c r="N63" s="32"/>
      <c r="O63" s="32"/>
      <c r="P63" s="32"/>
    </row>
    <row r="64" spans="2:16" s="11" customFormat="1" ht="15">
      <c r="B64" s="456" t="s">
        <v>13</v>
      </c>
      <c r="C64" s="457"/>
      <c r="D64" s="457"/>
      <c r="E64" s="457"/>
      <c r="F64" s="458"/>
      <c r="G64" s="167"/>
      <c r="H64" s="167" t="str">
        <f t="shared" ref="H64:P64" si="39">IF(G57=0,"",(H57/G57)-1)</f>
        <v/>
      </c>
      <c r="I64" s="167" t="str">
        <f t="shared" si="39"/>
        <v/>
      </c>
      <c r="J64" s="167" t="str">
        <f t="shared" si="39"/>
        <v/>
      </c>
      <c r="K64" s="167" t="str">
        <f t="shared" si="39"/>
        <v/>
      </c>
      <c r="L64" s="167" t="str">
        <f t="shared" si="39"/>
        <v/>
      </c>
      <c r="M64" s="167" t="str">
        <f t="shared" si="39"/>
        <v/>
      </c>
      <c r="N64" s="167" t="str">
        <f t="shared" si="39"/>
        <v/>
      </c>
      <c r="O64" s="167" t="str">
        <f t="shared" si="39"/>
        <v/>
      </c>
      <c r="P64" s="167" t="str">
        <f t="shared" si="39"/>
        <v/>
      </c>
    </row>
    <row r="65" spans="2:16" s="11" customFormat="1" ht="15">
      <c r="B65" s="287"/>
      <c r="C65" s="287"/>
      <c r="D65" s="287"/>
      <c r="E65" s="287"/>
      <c r="F65" s="287"/>
      <c r="G65" s="26"/>
      <c r="H65" s="26"/>
      <c r="I65" s="26"/>
      <c r="J65" s="26"/>
      <c r="K65" s="26"/>
      <c r="L65" s="26"/>
      <c r="M65" s="26"/>
      <c r="N65" s="26"/>
      <c r="O65" s="253"/>
      <c r="P65" s="253"/>
    </row>
    <row r="66" spans="2:16" ht="15">
      <c r="B66" s="459" t="s">
        <v>291</v>
      </c>
      <c r="C66" s="460"/>
      <c r="D66" s="460"/>
      <c r="E66" s="460"/>
      <c r="F66" s="461"/>
      <c r="G66" s="30">
        <v>2016</v>
      </c>
      <c r="H66" s="30">
        <v>2017</v>
      </c>
      <c r="I66" s="30">
        <v>2018</v>
      </c>
      <c r="J66" s="30">
        <v>2019</v>
      </c>
      <c r="K66" s="30">
        <v>2020</v>
      </c>
      <c r="L66" s="30">
        <v>2021</v>
      </c>
      <c r="M66" s="30">
        <v>2022</v>
      </c>
      <c r="N66" s="30">
        <v>2023</v>
      </c>
      <c r="O66" s="30">
        <v>2024</v>
      </c>
      <c r="P66" s="30">
        <v>2025</v>
      </c>
    </row>
    <row r="67" spans="2:16" ht="15">
      <c r="B67" s="462" t="str">
        <f>B53</f>
        <v>HPC &amp; AI Clusters</v>
      </c>
      <c r="C67" s="463"/>
      <c r="D67" s="463"/>
      <c r="E67" s="463"/>
      <c r="F67" s="464"/>
      <c r="G67" s="36">
        <f t="shared" ref="G67:I67" si="40">G53/G$13</f>
        <v>0</v>
      </c>
      <c r="H67" s="36">
        <f t="shared" si="40"/>
        <v>0</v>
      </c>
      <c r="I67" s="36">
        <f t="shared" si="40"/>
        <v>0</v>
      </c>
      <c r="J67" s="36"/>
      <c r="K67" s="36"/>
      <c r="L67" s="36"/>
      <c r="M67" s="364"/>
      <c r="N67" s="364"/>
      <c r="O67" s="364"/>
      <c r="P67" s="364"/>
    </row>
    <row r="68" spans="2:16" ht="15">
      <c r="B68" s="465" t="str">
        <f>B54</f>
        <v>Core Routing &amp; Optical Transport</v>
      </c>
      <c r="C68" s="466"/>
      <c r="D68" s="466"/>
      <c r="E68" s="466"/>
      <c r="F68" s="467"/>
      <c r="G68" s="32">
        <f t="shared" ref="G68:I68" si="41">G54/G$13</f>
        <v>0</v>
      </c>
      <c r="H68" s="32">
        <f t="shared" si="41"/>
        <v>0</v>
      </c>
      <c r="I68" s="32">
        <f t="shared" si="41"/>
        <v>0</v>
      </c>
      <c r="J68" s="32"/>
      <c r="K68" s="32"/>
      <c r="L68" s="32"/>
      <c r="M68" s="32"/>
      <c r="N68" s="32"/>
      <c r="O68" s="32"/>
      <c r="P68" s="32"/>
    </row>
    <row r="69" spans="2:16" ht="15">
      <c r="B69" s="465" t="str">
        <f>B55</f>
        <v>Cloud (Datacenter)</v>
      </c>
      <c r="C69" s="466"/>
      <c r="D69" s="466"/>
      <c r="E69" s="466"/>
      <c r="F69" s="467"/>
      <c r="G69" s="32">
        <f t="shared" ref="G69:I69" si="42">G55/G$13</f>
        <v>0</v>
      </c>
      <c r="H69" s="32">
        <f t="shared" si="42"/>
        <v>0</v>
      </c>
      <c r="I69" s="32">
        <f t="shared" si="42"/>
        <v>0</v>
      </c>
      <c r="J69" s="32"/>
      <c r="K69" s="32"/>
      <c r="L69" s="32"/>
      <c r="M69" s="32"/>
      <c r="N69" s="32"/>
      <c r="O69" s="32"/>
      <c r="P69" s="32"/>
    </row>
    <row r="70" spans="2:16" ht="15">
      <c r="B70" s="453" t="str">
        <f>B56</f>
        <v>Other</v>
      </c>
      <c r="C70" s="454"/>
      <c r="D70" s="454"/>
      <c r="E70" s="454"/>
      <c r="F70" s="455"/>
      <c r="G70" s="32">
        <f t="shared" ref="G70:I70" si="43">G56/G$13</f>
        <v>0</v>
      </c>
      <c r="H70" s="32">
        <f t="shared" si="43"/>
        <v>0</v>
      </c>
      <c r="I70" s="32">
        <f t="shared" si="43"/>
        <v>0</v>
      </c>
      <c r="J70" s="32"/>
      <c r="K70" s="32"/>
      <c r="L70" s="32"/>
      <c r="M70" s="32"/>
      <c r="N70" s="32"/>
      <c r="O70" s="32"/>
      <c r="P70" s="32"/>
    </row>
    <row r="71" spans="2:16" ht="15">
      <c r="B71" s="456" t="s">
        <v>13</v>
      </c>
      <c r="C71" s="457"/>
      <c r="D71" s="457"/>
      <c r="E71" s="457"/>
      <c r="F71" s="458"/>
      <c r="G71" s="33">
        <f t="shared" ref="G71:I71" si="44">SUM(G67:G70)</f>
        <v>0</v>
      </c>
      <c r="H71" s="33">
        <f t="shared" si="44"/>
        <v>0</v>
      </c>
      <c r="I71" s="33">
        <f t="shared" si="44"/>
        <v>0</v>
      </c>
      <c r="J71" s="33"/>
      <c r="K71" s="33"/>
      <c r="L71" s="33"/>
      <c r="M71" s="33"/>
      <c r="N71" s="33"/>
      <c r="O71" s="33"/>
      <c r="P71" s="33"/>
    </row>
    <row r="72" spans="2:16" ht="14">
      <c r="B72" s="57"/>
      <c r="C72" s="57"/>
      <c r="D72" s="57"/>
      <c r="E72" s="57"/>
      <c r="F72" s="57"/>
      <c r="G72" s="58"/>
      <c r="H72" s="58"/>
      <c r="I72" s="58"/>
      <c r="J72" s="58"/>
      <c r="K72" s="58"/>
      <c r="L72" s="58"/>
      <c r="M72" s="58"/>
      <c r="N72" s="58"/>
      <c r="O72" s="58"/>
      <c r="P72" s="58"/>
    </row>
    <row r="73" spans="2:16" ht="21">
      <c r="B73" s="23" t="str">
        <f>B9</f>
        <v>HPC &amp; AI Clusters</v>
      </c>
      <c r="C73" s="23"/>
      <c r="D73" s="23"/>
      <c r="E73" s="23"/>
      <c r="F73" s="23"/>
      <c r="G73" s="23"/>
      <c r="H73" s="164"/>
      <c r="I73" s="11"/>
      <c r="J73" s="22" t="s">
        <v>21</v>
      </c>
      <c r="K73" s="11"/>
      <c r="L73" s="26"/>
      <c r="M73" s="26"/>
      <c r="N73" s="26"/>
      <c r="O73" s="253"/>
      <c r="P73" s="253"/>
    </row>
    <row r="74" spans="2:16" ht="14">
      <c r="B74" s="92" t="str">
        <f>'Combined forecast'!B7</f>
        <v>Lane Speed</v>
      </c>
      <c r="C74" s="156" t="str">
        <f>'Combined forecast'!C7</f>
        <v>Agg. Speed</v>
      </c>
      <c r="D74" s="156" t="str">
        <f>'Combined forecast'!D7</f>
        <v>Type</v>
      </c>
      <c r="E74" s="156" t="str">
        <f>'Combined forecast'!E7</f>
        <v>Lanes</v>
      </c>
      <c r="F74" s="157" t="str">
        <f>'Combined forecast'!F7</f>
        <v>Form Factor</v>
      </c>
      <c r="G74" s="91">
        <v>2016</v>
      </c>
      <c r="H74" s="91">
        <v>2017</v>
      </c>
      <c r="I74" s="91">
        <v>2018</v>
      </c>
      <c r="J74" s="91">
        <v>2019</v>
      </c>
      <c r="K74" s="91">
        <v>2020</v>
      </c>
      <c r="L74" s="37">
        <v>2021</v>
      </c>
      <c r="M74" s="37">
        <v>2022</v>
      </c>
      <c r="N74" s="37">
        <v>2023</v>
      </c>
      <c r="O74" s="37">
        <v>2024</v>
      </c>
      <c r="P74" s="37">
        <v>2025</v>
      </c>
    </row>
    <row r="75" spans="2:16" ht="14">
      <c r="B75" s="158" t="str">
        <f>'Combined forecast'!B8</f>
        <v>≤10G</v>
      </c>
      <c r="C75" s="159" t="str">
        <f>'Combined forecast'!C8</f>
        <v>10G</v>
      </c>
      <c r="D75" s="159" t="str">
        <f>'Combined forecast'!D8</f>
        <v>AOC</v>
      </c>
      <c r="E75" s="159">
        <f>'Combined forecast'!E8</f>
        <v>1</v>
      </c>
      <c r="F75" s="160" t="str">
        <f>'Combined forecast'!F8</f>
        <v>SFP+</v>
      </c>
      <c r="G75" s="134">
        <v>0</v>
      </c>
      <c r="H75" s="134">
        <v>0</v>
      </c>
      <c r="I75" s="134">
        <v>0</v>
      </c>
      <c r="J75" s="134"/>
      <c r="K75" s="134"/>
      <c r="L75" s="134"/>
      <c r="M75" s="134"/>
      <c r="N75" s="134"/>
      <c r="O75" s="134"/>
      <c r="P75" s="134"/>
    </row>
    <row r="76" spans="2:16" ht="14">
      <c r="B76" s="145" t="str">
        <f>'Combined forecast'!B9</f>
        <v>≤10G</v>
      </c>
      <c r="C76" s="142" t="str">
        <f>'Combined forecast'!C9</f>
        <v>40G</v>
      </c>
      <c r="D76" s="142" t="str">
        <f>'Combined forecast'!D9</f>
        <v>AOC</v>
      </c>
      <c r="E76" s="142">
        <f>'Combined forecast'!E9</f>
        <v>4</v>
      </c>
      <c r="F76" s="143" t="str">
        <f>'Combined forecast'!F9</f>
        <v>QSFP+</v>
      </c>
      <c r="G76" s="46">
        <v>24462.027379430347</v>
      </c>
      <c r="H76" s="46">
        <v>12355.68</v>
      </c>
      <c r="I76" s="46">
        <v>7414.2250000000004</v>
      </c>
      <c r="J76" s="46"/>
      <c r="K76" s="46"/>
      <c r="L76" s="46"/>
      <c r="M76" s="46"/>
      <c r="N76" s="46"/>
      <c r="O76" s="46"/>
      <c r="P76" s="46"/>
    </row>
    <row r="77" spans="2:16" ht="14">
      <c r="B77" s="145" t="str">
        <f>'Combined forecast'!B10</f>
        <v>≤10G</v>
      </c>
      <c r="C77" s="142" t="str">
        <f>'Combined forecast'!C10</f>
        <v>40G</v>
      </c>
      <c r="D77" s="142" t="str">
        <f>'Combined forecast'!D10</f>
        <v>AOC</v>
      </c>
      <c r="E77" s="142" t="str">
        <f>'Combined forecast'!E10</f>
        <v>4:1</v>
      </c>
      <c r="F77" s="143" t="str">
        <f>'Combined forecast'!F10</f>
        <v>QSFP+/SFP+</v>
      </c>
      <c r="G77" s="46">
        <v>0</v>
      </c>
      <c r="H77" s="46">
        <v>0</v>
      </c>
      <c r="I77" s="46">
        <v>0</v>
      </c>
      <c r="J77" s="46"/>
      <c r="K77" s="46"/>
      <c r="L77" s="46"/>
      <c r="M77" s="46"/>
      <c r="N77" s="46"/>
      <c r="O77" s="46"/>
      <c r="P77" s="46"/>
    </row>
    <row r="78" spans="2:16" ht="14">
      <c r="B78" s="145" t="str">
        <f>'Combined forecast'!B11</f>
        <v>≤12.5G</v>
      </c>
      <c r="C78" s="142" t="str">
        <f>'Combined forecast'!C11</f>
        <v>150G</v>
      </c>
      <c r="D78" s="142" t="str">
        <f>'Combined forecast'!D11</f>
        <v>AOC</v>
      </c>
      <c r="E78" s="142">
        <f>'Combined forecast'!E11</f>
        <v>12</v>
      </c>
      <c r="F78" s="143" t="str">
        <f>'Combined forecast'!F11</f>
        <v>CXP</v>
      </c>
      <c r="G78" s="46">
        <v>54463.660714285703</v>
      </c>
      <c r="H78" s="46">
        <v>31581.199999999997</v>
      </c>
      <c r="I78" s="46">
        <v>13780.75</v>
      </c>
      <c r="J78" s="46"/>
      <c r="K78" s="46"/>
      <c r="L78" s="46"/>
      <c r="M78" s="46"/>
      <c r="N78" s="46"/>
      <c r="O78" s="46"/>
      <c r="P78" s="46"/>
    </row>
    <row r="79" spans="2:16" ht="14">
      <c r="B79" s="145" t="str">
        <f>'Combined forecast'!B12</f>
        <v>≤12.5G</v>
      </c>
      <c r="C79" s="142" t="str">
        <f>'Combined forecast'!C12</f>
        <v>150G</v>
      </c>
      <c r="D79" s="142" t="str">
        <f>'Combined forecast'!D12</f>
        <v>XCVR</v>
      </c>
      <c r="E79" s="142">
        <f>'Combined forecast'!E12</f>
        <v>12</v>
      </c>
      <c r="F79" s="143" t="str">
        <f>'Combined forecast'!F12</f>
        <v>CXP</v>
      </c>
      <c r="G79" s="46">
        <v>5186.5773037860863</v>
      </c>
      <c r="H79" s="46">
        <v>2530.1249951290897</v>
      </c>
      <c r="I79" s="46">
        <v>1263.9958995942868</v>
      </c>
      <c r="J79" s="46"/>
      <c r="K79" s="46"/>
      <c r="L79" s="46"/>
      <c r="M79" s="46"/>
      <c r="N79" s="46"/>
      <c r="O79" s="46"/>
      <c r="P79" s="46"/>
    </row>
    <row r="80" spans="2:16" ht="14">
      <c r="B80" s="145" t="str">
        <f>'Combined forecast'!B13</f>
        <v>12-14G</v>
      </c>
      <c r="C80" s="142" t="str">
        <f>'Combined forecast'!C13</f>
        <v>56G</v>
      </c>
      <c r="D80" s="142" t="str">
        <f>'Combined forecast'!D13</f>
        <v>AOC</v>
      </c>
      <c r="E80" s="142">
        <f>'Combined forecast'!E13</f>
        <v>4</v>
      </c>
      <c r="F80" s="143" t="str">
        <f>'Combined forecast'!F13</f>
        <v>QSFP+</v>
      </c>
      <c r="G80" s="46">
        <v>160184</v>
      </c>
      <c r="H80" s="46">
        <v>137205</v>
      </c>
      <c r="I80" s="46">
        <v>79208</v>
      </c>
      <c r="J80" s="46"/>
      <c r="K80" s="46"/>
      <c r="L80" s="46"/>
      <c r="M80" s="46"/>
      <c r="N80" s="46"/>
      <c r="O80" s="46"/>
      <c r="P80" s="46"/>
    </row>
    <row r="81" spans="2:16" ht="14">
      <c r="B81" s="145" t="str">
        <f>'Combined forecast'!B14</f>
        <v>12G</v>
      </c>
      <c r="C81" s="142" t="str">
        <f>'Combined forecast'!C14</f>
        <v>48G</v>
      </c>
      <c r="D81" s="142" t="str">
        <f>'Combined forecast'!D14</f>
        <v>AOC</v>
      </c>
      <c r="E81" s="142">
        <f>'Combined forecast'!E14</f>
        <v>4</v>
      </c>
      <c r="F81" s="143" t="str">
        <f>'Combined forecast'!F14</f>
        <v>Mini-SAS HD</v>
      </c>
      <c r="G81" s="46">
        <v>2560</v>
      </c>
      <c r="H81" s="46">
        <v>3650</v>
      </c>
      <c r="I81" s="46">
        <v>4800</v>
      </c>
      <c r="J81" s="46"/>
      <c r="K81" s="46"/>
      <c r="L81" s="46"/>
      <c r="M81" s="46"/>
      <c r="N81" s="46"/>
      <c r="O81" s="46"/>
      <c r="P81" s="46"/>
    </row>
    <row r="82" spans="2:16" ht="14">
      <c r="B82" s="145" t="str">
        <f>'Combined forecast'!B15</f>
        <v>25-28G</v>
      </c>
      <c r="C82" s="142" t="str">
        <f>'Combined forecast'!C15</f>
        <v>25G</v>
      </c>
      <c r="D82" s="142" t="str">
        <f>'Combined forecast'!D15</f>
        <v>AOC</v>
      </c>
      <c r="E82" s="142">
        <f>'Combined forecast'!E15</f>
        <v>1</v>
      </c>
      <c r="F82" s="143" t="str">
        <f>'Combined forecast'!F15</f>
        <v>SFP28</v>
      </c>
      <c r="G82" s="46">
        <v>0</v>
      </c>
      <c r="H82" s="46">
        <v>0</v>
      </c>
      <c r="I82" s="46">
        <v>0</v>
      </c>
      <c r="J82" s="46"/>
      <c r="K82" s="46"/>
      <c r="L82" s="46"/>
      <c r="M82" s="46"/>
      <c r="N82" s="46"/>
      <c r="O82" s="46"/>
      <c r="P82" s="46"/>
    </row>
    <row r="83" spans="2:16" ht="14">
      <c r="B83" s="145" t="str">
        <f>'Combined forecast'!B16</f>
        <v>25-28G, 50G, 100G</v>
      </c>
      <c r="C83" s="142" t="str">
        <f>'Combined forecast'!C16</f>
        <v>100G</v>
      </c>
      <c r="D83" s="142" t="str">
        <f>'Combined forecast'!D16</f>
        <v>AOC</v>
      </c>
      <c r="E83" s="142" t="str">
        <f>'Combined forecast'!E16</f>
        <v>1, 2, or 4</v>
      </c>
      <c r="F83" s="143" t="str">
        <f>'Combined forecast'!F16</f>
        <v>QSFP28, SFP-DD, SFP112</v>
      </c>
      <c r="G83" s="46">
        <v>91000</v>
      </c>
      <c r="H83" s="46">
        <v>88519.050000000017</v>
      </c>
      <c r="I83" s="46">
        <v>108404</v>
      </c>
      <c r="J83" s="46"/>
      <c r="K83" s="46"/>
      <c r="L83" s="46"/>
      <c r="M83" s="46"/>
      <c r="N83" s="46"/>
      <c r="O83" s="46"/>
      <c r="P83" s="46"/>
    </row>
    <row r="84" spans="2:16" ht="14">
      <c r="B84" s="145" t="str">
        <f>'Combined forecast'!B17</f>
        <v>25-28G</v>
      </c>
      <c r="C84" s="142" t="str">
        <f>'Combined forecast'!C17</f>
        <v>100G</v>
      </c>
      <c r="D84" s="142" t="str">
        <f>'Combined forecast'!D17</f>
        <v>AOC</v>
      </c>
      <c r="E84" s="142" t="str">
        <f>'Combined forecast'!E17</f>
        <v>4:1</v>
      </c>
      <c r="F84" s="143" t="str">
        <f>'Combined forecast'!F17</f>
        <v>QSFP28/SFP28</v>
      </c>
      <c r="G84" s="46">
        <v>0</v>
      </c>
      <c r="H84" s="46">
        <v>0</v>
      </c>
      <c r="I84" s="46">
        <v>0</v>
      </c>
      <c r="J84" s="46"/>
      <c r="K84" s="46"/>
      <c r="L84" s="46"/>
      <c r="M84" s="46"/>
      <c r="N84" s="46"/>
      <c r="O84" s="46"/>
      <c r="P84" s="46"/>
    </row>
    <row r="85" spans="2:16" ht="14">
      <c r="B85" s="145" t="str">
        <f>'Combined forecast'!B18</f>
        <v>24G</v>
      </c>
      <c r="C85" s="142" t="str">
        <f>'Combined forecast'!C18</f>
        <v>96G</v>
      </c>
      <c r="D85" s="142" t="str">
        <f>'Combined forecast'!D18</f>
        <v>AOC</v>
      </c>
      <c r="E85" s="142">
        <f>'Combined forecast'!E18</f>
        <v>4</v>
      </c>
      <c r="F85" s="143" t="str">
        <f>'Combined forecast'!F18</f>
        <v>Mini-SAS HD</v>
      </c>
      <c r="G85" s="46">
        <v>0</v>
      </c>
      <c r="H85" s="46">
        <v>0</v>
      </c>
      <c r="I85" s="46">
        <v>0</v>
      </c>
      <c r="J85" s="46"/>
      <c r="K85" s="46"/>
      <c r="L85" s="46"/>
      <c r="M85" s="46"/>
      <c r="N85" s="46"/>
      <c r="O85" s="46"/>
      <c r="P85" s="46"/>
    </row>
    <row r="86" spans="2:16" ht="13.5" customHeight="1">
      <c r="B86" s="145" t="str">
        <f>'Combined forecast'!B19</f>
        <v>25-28G</v>
      </c>
      <c r="C86" s="142" t="str">
        <f>'Combined forecast'!C19</f>
        <v>300G</v>
      </c>
      <c r="D86" s="142" t="str">
        <f>'Combined forecast'!D19</f>
        <v>AOC</v>
      </c>
      <c r="E86" s="142">
        <f>'Combined forecast'!E19</f>
        <v>12</v>
      </c>
      <c r="F86" s="143" t="str">
        <f>'Combined forecast'!F19</f>
        <v>CXP28</v>
      </c>
      <c r="G86" s="46">
        <v>0</v>
      </c>
      <c r="H86" s="46">
        <v>0</v>
      </c>
      <c r="I86" s="46">
        <v>0</v>
      </c>
      <c r="J86" s="46"/>
      <c r="K86" s="46"/>
      <c r="L86" s="46"/>
      <c r="M86" s="46"/>
      <c r="N86" s="46"/>
      <c r="O86" s="46"/>
      <c r="P86" s="46"/>
    </row>
    <row r="87" spans="2:16" ht="14">
      <c r="B87" s="145" t="str">
        <f>'Combined forecast'!B20</f>
        <v>25-28G</v>
      </c>
      <c r="C87" s="142" t="str">
        <f>'Combined forecast'!C20</f>
        <v>100G-600G</v>
      </c>
      <c r="D87" s="142" t="str">
        <f>'Combined forecast'!D20</f>
        <v>EOM</v>
      </c>
      <c r="E87" s="142" t="str">
        <f>'Combined forecast'!E20</f>
        <v>4,8,12,16,24</v>
      </c>
      <c r="F87" s="143" t="str">
        <f>'Combined forecast'!F20</f>
        <v>XCVR</v>
      </c>
      <c r="G87" s="46">
        <v>26500</v>
      </c>
      <c r="H87" s="46">
        <v>47236.4</v>
      </c>
      <c r="I87" s="46">
        <v>41567.5</v>
      </c>
      <c r="J87" s="46"/>
      <c r="K87" s="46"/>
      <c r="L87" s="46"/>
      <c r="M87" s="46"/>
      <c r="N87" s="46"/>
      <c r="O87" s="46"/>
      <c r="P87" s="46"/>
    </row>
    <row r="88" spans="2:16" ht="14">
      <c r="B88" s="145" t="str">
        <f>'Combined forecast'!B21</f>
        <v>25-28G</v>
      </c>
      <c r="C88" s="142" t="str">
        <f>'Combined forecast'!C21</f>
        <v>300G</v>
      </c>
      <c r="D88" s="142" t="str">
        <f>'Combined forecast'!D21</f>
        <v>XCVR</v>
      </c>
      <c r="E88" s="142">
        <f>'Combined forecast'!E21</f>
        <v>12</v>
      </c>
      <c r="F88" s="143" t="str">
        <f>'Combined forecast'!F21</f>
        <v>CXP28</v>
      </c>
      <c r="G88" s="46">
        <v>0</v>
      </c>
      <c r="H88" s="46">
        <v>0</v>
      </c>
      <c r="I88" s="46">
        <v>0</v>
      </c>
      <c r="J88" s="46"/>
      <c r="K88" s="46"/>
      <c r="L88" s="46"/>
      <c r="M88" s="46"/>
      <c r="N88" s="46"/>
      <c r="O88" s="46"/>
      <c r="P88" s="46"/>
    </row>
    <row r="89" spans="2:16" s="55" customFormat="1" ht="14">
      <c r="B89" s="145" t="str">
        <f>'Combined forecast'!B22</f>
        <v>50-56G</v>
      </c>
      <c r="C89" s="142" t="str">
        <f>'Combined forecast'!C22</f>
        <v>50G</v>
      </c>
      <c r="D89" s="142" t="str">
        <f>'Combined forecast'!D22</f>
        <v>AOC</v>
      </c>
      <c r="E89" s="142">
        <f>'Combined forecast'!E22</f>
        <v>1</v>
      </c>
      <c r="F89" s="143" t="str">
        <f>'Combined forecast'!F22</f>
        <v>SFP56</v>
      </c>
      <c r="G89" s="46">
        <v>0</v>
      </c>
      <c r="H89" s="46">
        <v>0</v>
      </c>
      <c r="I89" s="46">
        <v>0</v>
      </c>
      <c r="J89" s="46"/>
      <c r="K89" s="46"/>
      <c r="L89" s="46"/>
      <c r="M89" s="46"/>
      <c r="N89" s="46"/>
      <c r="O89" s="46"/>
      <c r="P89" s="46"/>
    </row>
    <row r="90" spans="2:16" s="55" customFormat="1" ht="14">
      <c r="B90" s="145" t="str">
        <f>'Combined forecast'!B23</f>
        <v>50-56G</v>
      </c>
      <c r="C90" s="142" t="str">
        <f>'Combined forecast'!C23</f>
        <v>200G</v>
      </c>
      <c r="D90" s="142" t="str">
        <f>'Combined forecast'!D23</f>
        <v>AOC</v>
      </c>
      <c r="E90" s="142">
        <f>'Combined forecast'!E23</f>
        <v>4</v>
      </c>
      <c r="F90" s="143" t="str">
        <f>'Combined forecast'!F23</f>
        <v>QSFP56</v>
      </c>
      <c r="G90" s="46">
        <v>0</v>
      </c>
      <c r="H90" s="46">
        <v>0</v>
      </c>
      <c r="I90" s="46">
        <v>0</v>
      </c>
      <c r="J90" s="46"/>
      <c r="K90" s="46"/>
      <c r="L90" s="46"/>
      <c r="M90" s="46"/>
      <c r="N90" s="46"/>
      <c r="O90" s="46"/>
      <c r="P90" s="46"/>
    </row>
    <row r="91" spans="2:16" s="55" customFormat="1" ht="14">
      <c r="B91" s="145" t="str">
        <f>'Combined forecast'!B24</f>
        <v>50-56G</v>
      </c>
      <c r="C91" s="142" t="str">
        <f>'Combined forecast'!C24</f>
        <v>200G - 1.3T</v>
      </c>
      <c r="D91" s="142" t="str">
        <f>'Combined forecast'!D24</f>
        <v>EOM</v>
      </c>
      <c r="E91" s="142" t="str">
        <f>'Combined forecast'!E24</f>
        <v>8,12,16,24</v>
      </c>
      <c r="F91" s="143" t="str">
        <f>'Combined forecast'!F24</f>
        <v>TBD</v>
      </c>
      <c r="G91" s="46">
        <v>0</v>
      </c>
      <c r="H91" s="46">
        <v>0</v>
      </c>
      <c r="I91" s="46">
        <v>0</v>
      </c>
      <c r="J91" s="46"/>
      <c r="K91" s="46"/>
      <c r="L91" s="46"/>
      <c r="M91" s="46"/>
      <c r="N91" s="46"/>
      <c r="O91" s="46"/>
      <c r="P91" s="46"/>
    </row>
    <row r="92" spans="2:16" ht="14">
      <c r="B92" s="145" t="str">
        <f>'Combined forecast'!B25</f>
        <v>50-56G, 100G</v>
      </c>
      <c r="C92" s="142" t="str">
        <f>'Combined forecast'!C25</f>
        <v>400G, 2x200G</v>
      </c>
      <c r="D92" s="142" t="str">
        <f>'Combined forecast'!D25</f>
        <v>AOC</v>
      </c>
      <c r="E92" s="142" t="str">
        <f>'Combined forecast'!E25</f>
        <v>4 or 8</v>
      </c>
      <c r="F92" s="143" t="str">
        <f>'Combined forecast'!F25</f>
        <v>QSFP-DD, OSFP, QSFP112</v>
      </c>
      <c r="G92" s="46">
        <v>0</v>
      </c>
      <c r="H92" s="46">
        <v>0</v>
      </c>
      <c r="I92" s="46">
        <v>0</v>
      </c>
      <c r="J92" s="46"/>
      <c r="K92" s="46"/>
      <c r="L92" s="46"/>
      <c r="M92" s="46"/>
      <c r="N92" s="46"/>
      <c r="O92" s="46"/>
      <c r="P92" s="46"/>
    </row>
    <row r="93" spans="2:16" ht="14">
      <c r="B93" s="145" t="str">
        <f>'Combined forecast'!B26</f>
        <v>50-56G, 100G</v>
      </c>
      <c r="C93" s="142" t="str">
        <f>'Combined forecast'!C26</f>
        <v>400G, 2x200G</v>
      </c>
      <c r="D93" s="142" t="str">
        <f>'Combined forecast'!D26</f>
        <v>AOC</v>
      </c>
      <c r="E93" s="142" t="str">
        <f>'Combined forecast'!E26</f>
        <v>4:1 or 8:1</v>
      </c>
      <c r="F93" s="143" t="str">
        <f>'Combined forecast'!F26</f>
        <v>QSFP-DD, OSFP, QSFP112</v>
      </c>
      <c r="G93" s="46">
        <v>0</v>
      </c>
      <c r="H93" s="46">
        <v>0</v>
      </c>
      <c r="I93" s="46">
        <v>0</v>
      </c>
      <c r="J93" s="46"/>
      <c r="K93" s="46"/>
      <c r="L93" s="46"/>
      <c r="M93" s="46"/>
      <c r="N93" s="46"/>
      <c r="O93" s="46"/>
      <c r="P93" s="46"/>
    </row>
    <row r="94" spans="2:16" ht="14">
      <c r="B94" s="365" t="str">
        <f>'Combined forecast'!B27</f>
        <v>100G</v>
      </c>
      <c r="C94" s="366" t="str">
        <f>'Combined forecast'!C27</f>
        <v>800G</v>
      </c>
      <c r="D94" s="366" t="str">
        <f>'Combined forecast'!D27</f>
        <v>AOC</v>
      </c>
      <c r="E94" s="366">
        <f>'Combined forecast'!E27</f>
        <v>8</v>
      </c>
      <c r="F94" s="367" t="str">
        <f>'Combined forecast'!F27</f>
        <v xml:space="preserve">QSFP-DD800, OSFP </v>
      </c>
      <c r="G94" s="368">
        <v>0</v>
      </c>
      <c r="H94" s="368">
        <v>0</v>
      </c>
      <c r="I94" s="368">
        <v>0</v>
      </c>
      <c r="J94" s="368"/>
      <c r="K94" s="368"/>
      <c r="L94" s="368"/>
      <c r="M94" s="368"/>
      <c r="N94" s="368"/>
      <c r="O94" s="368"/>
      <c r="P94" s="368"/>
    </row>
    <row r="95" spans="2:16" ht="14">
      <c r="B95" s="145" t="str">
        <f>'Combined forecast'!B28</f>
        <v>400 Gbps</v>
      </c>
      <c r="C95" s="142"/>
      <c r="D95" s="142" t="str">
        <f>'Combined forecast'!D28</f>
        <v>CPO</v>
      </c>
      <c r="E95" s="142" t="str">
        <f>'Combined forecast'!E28</f>
        <v>30m</v>
      </c>
      <c r="F95" s="143" t="str">
        <f>'Combined forecast'!F28</f>
        <v>TBD</v>
      </c>
      <c r="G95" s="54">
        <v>0</v>
      </c>
      <c r="H95" s="54">
        <v>0</v>
      </c>
      <c r="I95" s="54">
        <v>0</v>
      </c>
      <c r="J95" s="54"/>
      <c r="K95" s="54"/>
      <c r="L95" s="54"/>
      <c r="M95" s="54"/>
      <c r="N95" s="54"/>
      <c r="O95" s="54"/>
      <c r="P95" s="54"/>
    </row>
    <row r="96" spans="2:16" ht="14">
      <c r="B96" s="145" t="str">
        <f>'Combined forecast'!B29</f>
        <v>400 Gbps</v>
      </c>
      <c r="C96" s="142"/>
      <c r="D96" s="142" t="str">
        <f>'Combined forecast'!D29</f>
        <v>CPO</v>
      </c>
      <c r="E96" s="142" t="str">
        <f>'Combined forecast'!E29</f>
        <v>100 m</v>
      </c>
      <c r="F96" s="143" t="str">
        <f>'Combined forecast'!F29</f>
        <v>TBD</v>
      </c>
      <c r="G96" s="46">
        <v>0</v>
      </c>
      <c r="H96" s="46">
        <v>0</v>
      </c>
      <c r="I96" s="46">
        <v>0</v>
      </c>
      <c r="J96" s="46"/>
      <c r="K96" s="46"/>
      <c r="L96" s="46"/>
      <c r="M96" s="46"/>
      <c r="N96" s="46"/>
      <c r="O96" s="46"/>
      <c r="P96" s="46"/>
    </row>
    <row r="97" spans="2:16" ht="14">
      <c r="B97" s="145" t="str">
        <f>'Combined forecast'!B30</f>
        <v>400 Gbps</v>
      </c>
      <c r="C97" s="142"/>
      <c r="D97" s="142" t="str">
        <f>'Combined forecast'!D30</f>
        <v>CPO</v>
      </c>
      <c r="E97" s="142" t="str">
        <f>'Combined forecast'!E30</f>
        <v>500 m</v>
      </c>
      <c r="F97" s="143" t="str">
        <f>'Combined forecast'!F30</f>
        <v>TBD</v>
      </c>
      <c r="G97" s="46">
        <v>0</v>
      </c>
      <c r="H97" s="46">
        <v>0</v>
      </c>
      <c r="I97" s="46">
        <v>0</v>
      </c>
      <c r="J97" s="46"/>
      <c r="K97" s="46"/>
      <c r="L97" s="46"/>
      <c r="M97" s="46"/>
      <c r="N97" s="46"/>
      <c r="O97" s="46"/>
      <c r="P97" s="46"/>
    </row>
    <row r="98" spans="2:16" ht="14">
      <c r="B98" s="145" t="str">
        <f>'Combined forecast'!B31</f>
        <v>800 Gbps</v>
      </c>
      <c r="C98" s="142"/>
      <c r="D98" s="142" t="str">
        <f>'Combined forecast'!D31</f>
        <v>CPO</v>
      </c>
      <c r="E98" s="142" t="str">
        <f>'Combined forecast'!E31</f>
        <v>30m</v>
      </c>
      <c r="F98" s="143" t="str">
        <f>'Combined forecast'!F31</f>
        <v>TBD</v>
      </c>
      <c r="G98" s="54">
        <v>0</v>
      </c>
      <c r="H98" s="54">
        <v>0</v>
      </c>
      <c r="I98" s="54">
        <v>0</v>
      </c>
      <c r="J98" s="54"/>
      <c r="K98" s="54"/>
      <c r="L98" s="54"/>
      <c r="M98" s="54"/>
      <c r="N98" s="54"/>
      <c r="O98" s="54"/>
      <c r="P98" s="54"/>
    </row>
    <row r="99" spans="2:16" ht="14">
      <c r="B99" s="145" t="str">
        <f>'Combined forecast'!B32</f>
        <v>800 Gbps</v>
      </c>
      <c r="C99" s="142"/>
      <c r="D99" s="142" t="str">
        <f>'Combined forecast'!D32</f>
        <v>CPO</v>
      </c>
      <c r="E99" s="142" t="str">
        <f>'Combined forecast'!E32</f>
        <v>100 m</v>
      </c>
      <c r="F99" s="143" t="str">
        <f>'Combined forecast'!F32</f>
        <v>TBD</v>
      </c>
      <c r="G99" s="46">
        <v>0</v>
      </c>
      <c r="H99" s="46">
        <v>0</v>
      </c>
      <c r="I99" s="46">
        <v>0</v>
      </c>
      <c r="J99" s="46"/>
      <c r="K99" s="46"/>
      <c r="L99" s="46"/>
      <c r="M99" s="46"/>
      <c r="N99" s="46"/>
      <c r="O99" s="46"/>
      <c r="P99" s="46"/>
    </row>
    <row r="100" spans="2:16" ht="14">
      <c r="B100" s="145" t="str">
        <f>'Combined forecast'!B33</f>
        <v>800 Gbps</v>
      </c>
      <c r="C100" s="142"/>
      <c r="D100" s="142" t="str">
        <f>'Combined forecast'!D33</f>
        <v>CPO</v>
      </c>
      <c r="E100" s="142" t="str">
        <f>'Combined forecast'!E33</f>
        <v>500 m</v>
      </c>
      <c r="F100" s="143" t="str">
        <f>'Combined forecast'!F33</f>
        <v>TBD</v>
      </c>
      <c r="G100" s="46">
        <v>0</v>
      </c>
      <c r="H100" s="46">
        <v>0</v>
      </c>
      <c r="I100" s="46">
        <v>0</v>
      </c>
      <c r="J100" s="46"/>
      <c r="K100" s="46"/>
      <c r="L100" s="46"/>
      <c r="M100" s="46"/>
      <c r="N100" s="46"/>
      <c r="O100" s="46"/>
      <c r="P100" s="46"/>
    </row>
    <row r="101" spans="2:16" ht="14">
      <c r="B101" s="145" t="str">
        <f>'Combined forecast'!B34</f>
        <v>1.6 Tbps</v>
      </c>
      <c r="C101" s="142"/>
      <c r="D101" s="142" t="str">
        <f>'Combined forecast'!D34</f>
        <v>CPO</v>
      </c>
      <c r="E101" s="142" t="str">
        <f>'Combined forecast'!E34</f>
        <v>30m</v>
      </c>
      <c r="F101" s="143" t="str">
        <f>'Combined forecast'!F34</f>
        <v>TBD</v>
      </c>
      <c r="G101" s="54">
        <v>0</v>
      </c>
      <c r="H101" s="54">
        <v>0</v>
      </c>
      <c r="I101" s="54">
        <v>0</v>
      </c>
      <c r="J101" s="54"/>
      <c r="K101" s="54"/>
      <c r="L101" s="54"/>
      <c r="M101" s="54"/>
      <c r="N101" s="54"/>
      <c r="O101" s="54"/>
      <c r="P101" s="54"/>
    </row>
    <row r="102" spans="2:16" ht="14">
      <c r="B102" s="145" t="str">
        <f>'Combined forecast'!B35</f>
        <v>1.6 Tbps</v>
      </c>
      <c r="C102" s="142"/>
      <c r="D102" s="142" t="str">
        <f>'Combined forecast'!D35</f>
        <v>CPO</v>
      </c>
      <c r="E102" s="142" t="str">
        <f>'Combined forecast'!E35</f>
        <v>100 m</v>
      </c>
      <c r="F102" s="143" t="str">
        <f>'Combined forecast'!F35</f>
        <v>TBD</v>
      </c>
      <c r="G102" s="46">
        <v>0</v>
      </c>
      <c r="H102" s="46">
        <v>0</v>
      </c>
      <c r="I102" s="46">
        <v>0</v>
      </c>
      <c r="J102" s="46"/>
      <c r="K102" s="46"/>
      <c r="L102" s="46"/>
      <c r="M102" s="46"/>
      <c r="N102" s="46"/>
      <c r="O102" s="46"/>
      <c r="P102" s="46"/>
    </row>
    <row r="103" spans="2:16" ht="14">
      <c r="B103" s="145" t="str">
        <f>'Combined forecast'!B36</f>
        <v>1.6 Tbps</v>
      </c>
      <c r="C103" s="142"/>
      <c r="D103" s="142" t="str">
        <f>'Combined forecast'!D36</f>
        <v>CPO</v>
      </c>
      <c r="E103" s="142" t="str">
        <f>'Combined forecast'!E36</f>
        <v>500 m</v>
      </c>
      <c r="F103" s="143" t="str">
        <f>'Combined forecast'!F36</f>
        <v>TBD</v>
      </c>
      <c r="G103" s="46">
        <v>0</v>
      </c>
      <c r="H103" s="46">
        <v>0</v>
      </c>
      <c r="I103" s="46">
        <v>0</v>
      </c>
      <c r="J103" s="46"/>
      <c r="K103" s="46"/>
      <c r="L103" s="46"/>
      <c r="M103" s="46"/>
      <c r="N103" s="46"/>
      <c r="O103" s="46"/>
      <c r="P103" s="46"/>
    </row>
    <row r="104" spans="2:16" ht="14">
      <c r="B104" s="161" t="s">
        <v>25</v>
      </c>
      <c r="C104" s="112" t="s">
        <v>59</v>
      </c>
      <c r="D104" s="112" t="s">
        <v>59</v>
      </c>
      <c r="E104" s="144" t="s">
        <v>59</v>
      </c>
      <c r="F104" s="104" t="s">
        <v>59</v>
      </c>
      <c r="G104" s="152">
        <f t="shared" ref="G104:I104" si="45">SUM(G75:G103)</f>
        <v>364356.26539750211</v>
      </c>
      <c r="H104" s="152">
        <f t="shared" si="45"/>
        <v>323077.45499512914</v>
      </c>
      <c r="I104" s="152">
        <f t="shared" si="45"/>
        <v>256438.47089959428</v>
      </c>
      <c r="J104" s="152"/>
      <c r="K104" s="152"/>
      <c r="L104" s="152"/>
      <c r="M104" s="152"/>
      <c r="N104" s="152"/>
      <c r="O104" s="152"/>
      <c r="P104" s="152"/>
    </row>
    <row r="105" spans="2:16">
      <c r="O105" s="4"/>
      <c r="P105" s="4"/>
    </row>
    <row r="106" spans="2:16" ht="14">
      <c r="B106" s="97" t="str">
        <f>B74</f>
        <v>Lane Speed</v>
      </c>
      <c r="C106" s="98" t="str">
        <f>C74</f>
        <v>Agg. Speed</v>
      </c>
      <c r="D106" s="112" t="str">
        <f>D74</f>
        <v>Type</v>
      </c>
      <c r="E106" s="112" t="str">
        <f>E74</f>
        <v>Lanes</v>
      </c>
      <c r="F106" s="113" t="str">
        <f>F74</f>
        <v>Form Factor</v>
      </c>
      <c r="G106" s="87">
        <f t="shared" ref="G106:P106" si="46">G114</f>
        <v>2016</v>
      </c>
      <c r="H106" s="87">
        <f t="shared" si="46"/>
        <v>2017</v>
      </c>
      <c r="I106" s="87">
        <f t="shared" si="46"/>
        <v>2018</v>
      </c>
      <c r="J106" s="87">
        <f t="shared" si="46"/>
        <v>2019</v>
      </c>
      <c r="K106" s="87">
        <f t="shared" si="46"/>
        <v>2020</v>
      </c>
      <c r="L106" s="87">
        <f t="shared" si="46"/>
        <v>2021</v>
      </c>
      <c r="M106" s="87">
        <f t="shared" si="46"/>
        <v>2022</v>
      </c>
      <c r="N106" s="87">
        <f t="shared" si="46"/>
        <v>2023</v>
      </c>
      <c r="O106" s="87">
        <f t="shared" si="46"/>
        <v>2024</v>
      </c>
      <c r="P106" s="87">
        <f t="shared" si="46"/>
        <v>2025</v>
      </c>
    </row>
    <row r="107" spans="2:16" ht="14">
      <c r="B107" s="105" t="str">
        <f>'Combined forecast'!B40</f>
        <v>All</v>
      </c>
      <c r="C107" s="93" t="str">
        <f>'Combined forecast'!C40</f>
        <v>All</v>
      </c>
      <c r="D107" s="93" t="str">
        <f>'Combined forecast'!D40</f>
        <v>AOC</v>
      </c>
      <c r="E107" s="93" t="str">
        <f>'Combined forecast'!E40</f>
        <v>Single</v>
      </c>
      <c r="F107" s="107" t="str">
        <f>'Combined forecast'!F40</f>
        <v>All</v>
      </c>
      <c r="G107" s="94">
        <f t="shared" ref="G107:I107" si="47">G75+G82+G89</f>
        <v>0</v>
      </c>
      <c r="H107" s="25">
        <f t="shared" si="47"/>
        <v>0</v>
      </c>
      <c r="I107" s="25">
        <f t="shared" si="47"/>
        <v>0</v>
      </c>
      <c r="J107" s="25"/>
      <c r="K107" s="25"/>
      <c r="L107" s="25"/>
      <c r="M107" s="25"/>
      <c r="N107" s="25"/>
      <c r="O107" s="25"/>
      <c r="P107" s="25"/>
    </row>
    <row r="108" spans="2:16" ht="14">
      <c r="B108" s="106" t="str">
        <f>'Combined forecast'!B41</f>
        <v>All</v>
      </c>
      <c r="C108" s="89" t="str">
        <f>'Combined forecast'!C41</f>
        <v>All</v>
      </c>
      <c r="D108" s="89" t="str">
        <f>'Combined forecast'!D41</f>
        <v>AOC/XCVR</v>
      </c>
      <c r="E108" s="89" t="str">
        <f>'Combined forecast'!E41</f>
        <v>Multi-</v>
      </c>
      <c r="F108" s="108" t="str">
        <f>'Combined forecast'!F41</f>
        <v>All</v>
      </c>
      <c r="G108" s="54">
        <f t="shared" ref="G108:I108" si="48">G76+G78+G79+G80+G81+G83+G85+G86+G88+G90+G77+G84+G92+G94+G93</f>
        <v>337856.26539750211</v>
      </c>
      <c r="H108" s="54">
        <f t="shared" si="48"/>
        <v>275841.05499512912</v>
      </c>
      <c r="I108" s="54">
        <f t="shared" si="48"/>
        <v>214870.97089959428</v>
      </c>
      <c r="J108" s="54"/>
      <c r="K108" s="54"/>
      <c r="L108" s="54"/>
      <c r="M108" s="54"/>
      <c r="N108" s="54"/>
      <c r="O108" s="54"/>
      <c r="P108" s="54"/>
    </row>
    <row r="109" spans="2:16" ht="14">
      <c r="B109" s="106" t="str">
        <f>'Combined forecast'!B42</f>
        <v>All</v>
      </c>
      <c r="C109" s="89" t="str">
        <f>'Combined forecast'!C42</f>
        <v>All</v>
      </c>
      <c r="D109" s="89" t="str">
        <f>'Combined forecast'!D42</f>
        <v>EOM</v>
      </c>
      <c r="E109" s="89" t="str">
        <f>'Combined forecast'!E42</f>
        <v>All</v>
      </c>
      <c r="F109" s="108" t="str">
        <f>'Combined forecast'!F42</f>
        <v>Non-COBO</v>
      </c>
      <c r="G109" s="54">
        <f t="shared" ref="G109:I109" si="49">+G87+G91</f>
        <v>26500</v>
      </c>
      <c r="H109" s="54">
        <f t="shared" si="49"/>
        <v>47236.4</v>
      </c>
      <c r="I109" s="54">
        <f t="shared" si="49"/>
        <v>41567.5</v>
      </c>
      <c r="J109" s="54"/>
      <c r="K109" s="54"/>
      <c r="L109" s="54"/>
      <c r="M109" s="54"/>
      <c r="N109" s="54"/>
      <c r="O109" s="54"/>
      <c r="P109" s="54"/>
    </row>
    <row r="110" spans="2:16" ht="14">
      <c r="B110" s="106" t="str">
        <f>'Combined forecast'!B43</f>
        <v>All</v>
      </c>
      <c r="C110" s="89" t="str">
        <f>'Combined forecast'!C43</f>
        <v>All</v>
      </c>
      <c r="D110" s="89" t="str">
        <f>'Combined forecast'!D43</f>
        <v>Chiplet</v>
      </c>
      <c r="E110" s="89" t="str">
        <f>'Combined forecast'!E43</f>
        <v>All</v>
      </c>
      <c r="F110" s="108" t="str">
        <f>'Combined forecast'!F43</f>
        <v>TBD</v>
      </c>
      <c r="G110" s="54">
        <f t="shared" ref="G110:I110" si="50">SUM(G95:G103)</f>
        <v>0</v>
      </c>
      <c r="H110" s="54">
        <f t="shared" si="50"/>
        <v>0</v>
      </c>
      <c r="I110" s="54">
        <f t="shared" si="50"/>
        <v>0</v>
      </c>
      <c r="J110" s="54"/>
      <c r="K110" s="234"/>
      <c r="L110" s="234"/>
      <c r="M110" s="234"/>
      <c r="N110" s="234"/>
      <c r="O110" s="234"/>
      <c r="P110" s="234"/>
    </row>
    <row r="111" spans="2:16" ht="14">
      <c r="B111" s="99" t="s">
        <v>13</v>
      </c>
      <c r="C111" s="112" t="s">
        <v>59</v>
      </c>
      <c r="D111" s="112" t="s">
        <v>59</v>
      </c>
      <c r="E111" s="144" t="s">
        <v>59</v>
      </c>
      <c r="F111" s="104" t="s">
        <v>59</v>
      </c>
      <c r="G111" s="96">
        <f t="shared" ref="G111:I111" si="51">SUM(G107:G110)</f>
        <v>364356.26539750211</v>
      </c>
      <c r="H111" s="96">
        <f t="shared" si="51"/>
        <v>323077.45499512914</v>
      </c>
      <c r="I111" s="96">
        <f t="shared" si="51"/>
        <v>256438.47089959428</v>
      </c>
      <c r="J111" s="96"/>
      <c r="K111" s="96"/>
      <c r="L111" s="96"/>
      <c r="M111" s="96"/>
      <c r="N111" s="96"/>
      <c r="O111" s="96"/>
      <c r="P111" s="96"/>
    </row>
    <row r="112" spans="2:16" ht="14">
      <c r="B112" s="11"/>
      <c r="C112" s="11"/>
      <c r="D112" s="11"/>
      <c r="E112" s="11"/>
      <c r="F112" s="11"/>
      <c r="G112" s="11"/>
      <c r="H112" s="14"/>
      <c r="I112" s="11"/>
      <c r="J112" s="11"/>
      <c r="K112" s="11"/>
      <c r="L112" s="11"/>
      <c r="M112" s="11"/>
      <c r="N112" s="11"/>
      <c r="O112" s="21"/>
      <c r="P112" s="21"/>
    </row>
    <row r="113" spans="2:16" ht="21">
      <c r="B113" s="23" t="str">
        <f>B10</f>
        <v>Core Routing &amp; Optical Transport</v>
      </c>
      <c r="C113" s="23"/>
      <c r="D113" s="23"/>
      <c r="E113" s="23"/>
      <c r="F113" s="23"/>
      <c r="G113" s="23"/>
      <c r="H113" s="23"/>
      <c r="I113" s="23"/>
      <c r="J113" s="23"/>
      <c r="K113" s="23"/>
      <c r="L113" s="23"/>
      <c r="M113" s="26"/>
      <c r="N113" s="26"/>
      <c r="O113" s="253"/>
      <c r="P113" s="253"/>
    </row>
    <row r="114" spans="2:16" ht="14">
      <c r="B114" s="92" t="str">
        <f t="shared" ref="B114:F123" si="52">B74</f>
        <v>Lane Speed</v>
      </c>
      <c r="C114" s="156" t="str">
        <f t="shared" si="52"/>
        <v>Agg. Speed</v>
      </c>
      <c r="D114" s="156" t="str">
        <f t="shared" si="52"/>
        <v>Type</v>
      </c>
      <c r="E114" s="156" t="str">
        <f t="shared" si="52"/>
        <v>Lanes</v>
      </c>
      <c r="F114" s="157" t="str">
        <f t="shared" si="52"/>
        <v>Form Factor</v>
      </c>
      <c r="G114" s="91">
        <v>2016</v>
      </c>
      <c r="H114" s="91">
        <v>2017</v>
      </c>
      <c r="I114" s="91">
        <v>2018</v>
      </c>
      <c r="J114" s="91">
        <v>2019</v>
      </c>
      <c r="K114" s="91">
        <v>2020</v>
      </c>
      <c r="L114" s="37">
        <v>2021</v>
      </c>
      <c r="M114" s="37">
        <v>2022</v>
      </c>
      <c r="N114" s="37">
        <v>2023</v>
      </c>
      <c r="O114" s="37">
        <v>2024</v>
      </c>
      <c r="P114" s="37">
        <v>2025</v>
      </c>
    </row>
    <row r="115" spans="2:16" ht="14">
      <c r="B115" s="158" t="str">
        <f t="shared" si="52"/>
        <v>≤10G</v>
      </c>
      <c r="C115" s="159" t="str">
        <f t="shared" si="52"/>
        <v>10G</v>
      </c>
      <c r="D115" s="159" t="str">
        <f t="shared" si="52"/>
        <v>AOC</v>
      </c>
      <c r="E115" s="159">
        <f t="shared" si="52"/>
        <v>1</v>
      </c>
      <c r="F115" s="160" t="str">
        <f t="shared" si="52"/>
        <v>SFP+</v>
      </c>
      <c r="G115" s="134">
        <v>0</v>
      </c>
      <c r="H115" s="134">
        <v>0</v>
      </c>
      <c r="I115" s="134">
        <v>0</v>
      </c>
      <c r="J115" s="134"/>
      <c r="K115" s="134"/>
      <c r="L115" s="134"/>
      <c r="M115" s="134"/>
      <c r="N115" s="134"/>
      <c r="O115" s="134"/>
      <c r="P115" s="134"/>
    </row>
    <row r="116" spans="2:16" ht="14">
      <c r="B116" s="145" t="str">
        <f t="shared" si="52"/>
        <v>≤10G</v>
      </c>
      <c r="C116" s="142" t="str">
        <f t="shared" si="52"/>
        <v>40G</v>
      </c>
      <c r="D116" s="142" t="str">
        <f t="shared" si="52"/>
        <v>AOC</v>
      </c>
      <c r="E116" s="142">
        <f t="shared" si="52"/>
        <v>4</v>
      </c>
      <c r="F116" s="143" t="str">
        <f t="shared" si="52"/>
        <v>QSFP+</v>
      </c>
      <c r="G116" s="46">
        <v>0</v>
      </c>
      <c r="H116" s="46">
        <v>0</v>
      </c>
      <c r="I116" s="46">
        <v>0</v>
      </c>
      <c r="J116" s="46"/>
      <c r="K116" s="46"/>
      <c r="L116" s="46"/>
      <c r="M116" s="46"/>
      <c r="N116" s="46"/>
      <c r="O116" s="46"/>
      <c r="P116" s="46"/>
    </row>
    <row r="117" spans="2:16" ht="14">
      <c r="B117" s="145" t="str">
        <f t="shared" si="52"/>
        <v>≤10G</v>
      </c>
      <c r="C117" s="142" t="str">
        <f t="shared" si="52"/>
        <v>40G</v>
      </c>
      <c r="D117" s="142" t="str">
        <f t="shared" si="52"/>
        <v>AOC</v>
      </c>
      <c r="E117" s="142" t="str">
        <f t="shared" si="52"/>
        <v>4:1</v>
      </c>
      <c r="F117" s="143" t="str">
        <f t="shared" si="52"/>
        <v>QSFP+/SFP+</v>
      </c>
      <c r="G117" s="46">
        <v>0</v>
      </c>
      <c r="H117" s="46">
        <v>0</v>
      </c>
      <c r="I117" s="46">
        <v>0</v>
      </c>
      <c r="J117" s="46"/>
      <c r="K117" s="46"/>
      <c r="L117" s="46"/>
      <c r="M117" s="46"/>
      <c r="N117" s="46"/>
      <c r="O117" s="46"/>
      <c r="P117" s="46"/>
    </row>
    <row r="118" spans="2:16" ht="14">
      <c r="B118" s="145" t="str">
        <f t="shared" si="52"/>
        <v>≤12.5G</v>
      </c>
      <c r="C118" s="142" t="str">
        <f t="shared" si="52"/>
        <v>150G</v>
      </c>
      <c r="D118" s="142" t="str">
        <f t="shared" si="52"/>
        <v>AOC</v>
      </c>
      <c r="E118" s="142">
        <f t="shared" si="52"/>
        <v>12</v>
      </c>
      <c r="F118" s="143" t="str">
        <f t="shared" si="52"/>
        <v>CXP</v>
      </c>
      <c r="G118" s="46">
        <v>66566.69642857142</v>
      </c>
      <c r="H118" s="46">
        <v>58650.8</v>
      </c>
      <c r="I118" s="46">
        <v>41342.25</v>
      </c>
      <c r="J118" s="46"/>
      <c r="K118" s="46"/>
      <c r="L118" s="46"/>
      <c r="M118" s="46"/>
      <c r="N118" s="46"/>
      <c r="O118" s="46"/>
      <c r="P118" s="46"/>
    </row>
    <row r="119" spans="2:16" ht="14">
      <c r="B119" s="145" t="str">
        <f t="shared" si="52"/>
        <v>≤12.5G</v>
      </c>
      <c r="C119" s="142" t="str">
        <f t="shared" si="52"/>
        <v>150G</v>
      </c>
      <c r="D119" s="142" t="str">
        <f t="shared" si="52"/>
        <v>XCVR</v>
      </c>
      <c r="E119" s="142">
        <f t="shared" si="52"/>
        <v>12</v>
      </c>
      <c r="F119" s="143" t="str">
        <f t="shared" si="52"/>
        <v>CXP</v>
      </c>
      <c r="G119" s="46">
        <v>19813.422696213915</v>
      </c>
      <c r="H119" s="46">
        <v>13894.875004870912</v>
      </c>
      <c r="I119" s="46">
        <v>13055.004100405713</v>
      </c>
      <c r="J119" s="46"/>
      <c r="K119" s="46"/>
      <c r="L119" s="46"/>
      <c r="M119" s="46"/>
      <c r="N119" s="46"/>
      <c r="O119" s="46"/>
      <c r="P119" s="46"/>
    </row>
    <row r="120" spans="2:16" ht="14">
      <c r="B120" s="145" t="str">
        <f t="shared" si="52"/>
        <v>12-14G</v>
      </c>
      <c r="C120" s="142" t="str">
        <f t="shared" si="52"/>
        <v>56G</v>
      </c>
      <c r="D120" s="142" t="str">
        <f t="shared" si="52"/>
        <v>AOC</v>
      </c>
      <c r="E120" s="142">
        <f t="shared" si="52"/>
        <v>4</v>
      </c>
      <c r="F120" s="143" t="str">
        <f t="shared" si="52"/>
        <v>QSFP+</v>
      </c>
      <c r="G120" s="46">
        <v>0</v>
      </c>
      <c r="H120" s="46">
        <v>0</v>
      </c>
      <c r="I120" s="46">
        <v>0</v>
      </c>
      <c r="J120" s="46"/>
      <c r="K120" s="46"/>
      <c r="L120" s="46"/>
      <c r="M120" s="46"/>
      <c r="N120" s="46"/>
      <c r="O120" s="46"/>
      <c r="P120" s="46"/>
    </row>
    <row r="121" spans="2:16" ht="14">
      <c r="B121" s="145" t="str">
        <f t="shared" si="52"/>
        <v>12G</v>
      </c>
      <c r="C121" s="142" t="str">
        <f t="shared" si="52"/>
        <v>48G</v>
      </c>
      <c r="D121" s="142" t="str">
        <f t="shared" si="52"/>
        <v>AOC</v>
      </c>
      <c r="E121" s="142">
        <f t="shared" si="52"/>
        <v>4</v>
      </c>
      <c r="F121" s="143" t="str">
        <f t="shared" si="52"/>
        <v>Mini-SAS HD</v>
      </c>
      <c r="G121" s="46">
        <v>0</v>
      </c>
      <c r="H121" s="46">
        <v>0</v>
      </c>
      <c r="I121" s="46">
        <v>0</v>
      </c>
      <c r="J121" s="46"/>
      <c r="K121" s="46"/>
      <c r="L121" s="46"/>
      <c r="M121" s="46"/>
      <c r="N121" s="46"/>
      <c r="O121" s="46"/>
      <c r="P121" s="46"/>
    </row>
    <row r="122" spans="2:16" ht="14">
      <c r="B122" s="145" t="str">
        <f t="shared" si="52"/>
        <v>25-28G</v>
      </c>
      <c r="C122" s="142" t="str">
        <f t="shared" si="52"/>
        <v>25G</v>
      </c>
      <c r="D122" s="142" t="str">
        <f t="shared" si="52"/>
        <v>AOC</v>
      </c>
      <c r="E122" s="142">
        <f t="shared" si="52"/>
        <v>1</v>
      </c>
      <c r="F122" s="143" t="str">
        <f t="shared" si="52"/>
        <v>SFP28</v>
      </c>
      <c r="G122" s="46">
        <v>0</v>
      </c>
      <c r="H122" s="46">
        <v>0</v>
      </c>
      <c r="I122" s="46">
        <v>0</v>
      </c>
      <c r="J122" s="46"/>
      <c r="K122" s="46"/>
      <c r="L122" s="46"/>
      <c r="M122" s="46"/>
      <c r="N122" s="46"/>
      <c r="O122" s="46"/>
      <c r="P122" s="46"/>
    </row>
    <row r="123" spans="2:16" ht="14">
      <c r="B123" s="145" t="str">
        <f t="shared" si="52"/>
        <v>25-28G, 50G, 100G</v>
      </c>
      <c r="C123" s="142" t="str">
        <f t="shared" si="52"/>
        <v>100G</v>
      </c>
      <c r="D123" s="142" t="str">
        <f t="shared" si="52"/>
        <v>AOC</v>
      </c>
      <c r="E123" s="142" t="str">
        <f t="shared" si="52"/>
        <v>1, 2, or 4</v>
      </c>
      <c r="F123" s="143" t="str">
        <f t="shared" si="52"/>
        <v>QSFP28, SFP-DD, SFP112</v>
      </c>
      <c r="G123" s="46">
        <v>0</v>
      </c>
      <c r="H123" s="46">
        <v>19670.900000000001</v>
      </c>
      <c r="I123" s="46">
        <v>27101</v>
      </c>
      <c r="J123" s="46"/>
      <c r="K123" s="46"/>
      <c r="L123" s="46"/>
      <c r="M123" s="46"/>
      <c r="N123" s="46"/>
      <c r="O123" s="46"/>
      <c r="P123" s="46"/>
    </row>
    <row r="124" spans="2:16" ht="14">
      <c r="B124" s="145" t="str">
        <f t="shared" ref="B124:F133" si="53">B84</f>
        <v>25-28G</v>
      </c>
      <c r="C124" s="142" t="str">
        <f t="shared" si="53"/>
        <v>100G</v>
      </c>
      <c r="D124" s="142" t="str">
        <f t="shared" si="53"/>
        <v>AOC</v>
      </c>
      <c r="E124" s="142" t="str">
        <f t="shared" si="53"/>
        <v>4:1</v>
      </c>
      <c r="F124" s="143" t="str">
        <f t="shared" si="53"/>
        <v>QSFP28/SFP28</v>
      </c>
      <c r="G124" s="46">
        <v>0</v>
      </c>
      <c r="H124" s="46">
        <v>0</v>
      </c>
      <c r="I124" s="46">
        <v>0</v>
      </c>
      <c r="J124" s="46"/>
      <c r="K124" s="46"/>
      <c r="L124" s="46"/>
      <c r="M124" s="46"/>
      <c r="N124" s="46"/>
      <c r="O124" s="46"/>
      <c r="P124" s="46"/>
    </row>
    <row r="125" spans="2:16" ht="14">
      <c r="B125" s="145" t="str">
        <f t="shared" si="53"/>
        <v>24G</v>
      </c>
      <c r="C125" s="142" t="str">
        <f t="shared" si="53"/>
        <v>96G</v>
      </c>
      <c r="D125" s="142" t="str">
        <f t="shared" si="53"/>
        <v>AOC</v>
      </c>
      <c r="E125" s="142">
        <f t="shared" si="53"/>
        <v>4</v>
      </c>
      <c r="F125" s="143" t="str">
        <f t="shared" si="53"/>
        <v>Mini-SAS HD</v>
      </c>
      <c r="G125" s="46">
        <v>0</v>
      </c>
      <c r="H125" s="46">
        <v>0</v>
      </c>
      <c r="I125" s="46">
        <v>0</v>
      </c>
      <c r="J125" s="46"/>
      <c r="K125" s="46"/>
      <c r="L125" s="46"/>
      <c r="M125" s="46"/>
      <c r="N125" s="46"/>
      <c r="O125" s="46"/>
      <c r="P125" s="46"/>
    </row>
    <row r="126" spans="2:16" ht="14">
      <c r="B126" s="145" t="str">
        <f t="shared" si="53"/>
        <v>25-28G</v>
      </c>
      <c r="C126" s="142" t="str">
        <f t="shared" si="53"/>
        <v>300G</v>
      </c>
      <c r="D126" s="142" t="str">
        <f t="shared" si="53"/>
        <v>AOC</v>
      </c>
      <c r="E126" s="142">
        <f t="shared" si="53"/>
        <v>12</v>
      </c>
      <c r="F126" s="143" t="str">
        <f t="shared" si="53"/>
        <v>CXP28</v>
      </c>
      <c r="G126" s="46">
        <v>0</v>
      </c>
      <c r="H126" s="46">
        <v>0</v>
      </c>
      <c r="I126" s="46">
        <v>0</v>
      </c>
      <c r="J126" s="46"/>
      <c r="K126" s="46"/>
      <c r="L126" s="46"/>
      <c r="M126" s="46"/>
      <c r="N126" s="46"/>
      <c r="O126" s="46"/>
      <c r="P126" s="46"/>
    </row>
    <row r="127" spans="2:16" ht="14">
      <c r="B127" s="145" t="str">
        <f t="shared" si="53"/>
        <v>25-28G</v>
      </c>
      <c r="C127" s="142" t="str">
        <f t="shared" si="53"/>
        <v>100G-600G</v>
      </c>
      <c r="D127" s="142" t="str">
        <f t="shared" si="53"/>
        <v>EOM</v>
      </c>
      <c r="E127" s="142" t="str">
        <f t="shared" si="53"/>
        <v>4,8,12,16,24</v>
      </c>
      <c r="F127" s="143" t="str">
        <f t="shared" si="53"/>
        <v>XCVR</v>
      </c>
      <c r="G127" s="46">
        <v>5300</v>
      </c>
      <c r="H127" s="46">
        <v>9447.2800000000097</v>
      </c>
      <c r="I127" s="46">
        <v>19952.399999999987</v>
      </c>
      <c r="J127" s="46"/>
      <c r="K127" s="46"/>
      <c r="L127" s="46"/>
      <c r="M127" s="46"/>
      <c r="N127" s="46"/>
      <c r="O127" s="46"/>
      <c r="P127" s="46"/>
    </row>
    <row r="128" spans="2:16" ht="14">
      <c r="B128" s="145" t="str">
        <f t="shared" si="53"/>
        <v>25-28G</v>
      </c>
      <c r="C128" s="142" t="str">
        <f t="shared" si="53"/>
        <v>300G</v>
      </c>
      <c r="D128" s="142" t="str">
        <f t="shared" si="53"/>
        <v>XCVR</v>
      </c>
      <c r="E128" s="142">
        <f t="shared" si="53"/>
        <v>12</v>
      </c>
      <c r="F128" s="143" t="str">
        <f t="shared" si="53"/>
        <v>CXP28</v>
      </c>
      <c r="G128" s="46">
        <v>0</v>
      </c>
      <c r="H128" s="46">
        <v>0</v>
      </c>
      <c r="I128" s="46">
        <v>1500</v>
      </c>
      <c r="J128" s="46"/>
      <c r="K128" s="46"/>
      <c r="L128" s="46"/>
      <c r="M128" s="46"/>
      <c r="N128" s="46"/>
      <c r="O128" s="46"/>
      <c r="P128" s="46"/>
    </row>
    <row r="129" spans="1:16" ht="14">
      <c r="A129" s="55"/>
      <c r="B129" s="145" t="str">
        <f t="shared" si="53"/>
        <v>50-56G</v>
      </c>
      <c r="C129" s="142" t="str">
        <f t="shared" si="53"/>
        <v>50G</v>
      </c>
      <c r="D129" s="142" t="str">
        <f t="shared" si="53"/>
        <v>AOC</v>
      </c>
      <c r="E129" s="142">
        <f t="shared" si="53"/>
        <v>1</v>
      </c>
      <c r="F129" s="143" t="str">
        <f t="shared" si="53"/>
        <v>SFP56</v>
      </c>
      <c r="G129" s="46">
        <v>0</v>
      </c>
      <c r="H129" s="46">
        <v>0</v>
      </c>
      <c r="I129" s="46">
        <v>0</v>
      </c>
      <c r="J129" s="46"/>
      <c r="K129" s="46"/>
      <c r="L129" s="46"/>
      <c r="M129" s="46"/>
      <c r="N129" s="46"/>
      <c r="O129" s="46"/>
      <c r="P129" s="46"/>
    </row>
    <row r="130" spans="1:16" ht="14">
      <c r="A130" s="55"/>
      <c r="B130" s="145" t="str">
        <f t="shared" si="53"/>
        <v>50-56G</v>
      </c>
      <c r="C130" s="142" t="str">
        <f t="shared" si="53"/>
        <v>200G</v>
      </c>
      <c r="D130" s="142" t="str">
        <f t="shared" si="53"/>
        <v>AOC</v>
      </c>
      <c r="E130" s="142">
        <f t="shared" si="53"/>
        <v>4</v>
      </c>
      <c r="F130" s="143" t="str">
        <f t="shared" si="53"/>
        <v>QSFP56</v>
      </c>
      <c r="G130" s="46">
        <v>0</v>
      </c>
      <c r="H130" s="46">
        <v>0</v>
      </c>
      <c r="I130" s="46">
        <v>0</v>
      </c>
      <c r="J130" s="46"/>
      <c r="K130" s="46"/>
      <c r="L130" s="46"/>
      <c r="M130" s="46"/>
      <c r="N130" s="46"/>
      <c r="O130" s="46"/>
      <c r="P130" s="46"/>
    </row>
    <row r="131" spans="1:16" ht="14">
      <c r="A131" s="55"/>
      <c r="B131" s="145" t="str">
        <f t="shared" si="53"/>
        <v>50-56G</v>
      </c>
      <c r="C131" s="142" t="str">
        <f t="shared" si="53"/>
        <v>200G - 1.3T</v>
      </c>
      <c r="D131" s="142" t="str">
        <f t="shared" si="53"/>
        <v>EOM</v>
      </c>
      <c r="E131" s="142" t="str">
        <f t="shared" si="53"/>
        <v>8,12,16,24</v>
      </c>
      <c r="F131" s="143" t="str">
        <f t="shared" si="53"/>
        <v>TBD</v>
      </c>
      <c r="G131" s="46">
        <v>0</v>
      </c>
      <c r="H131" s="46">
        <v>0</v>
      </c>
      <c r="I131" s="46">
        <v>0</v>
      </c>
      <c r="J131" s="46"/>
      <c r="K131" s="46"/>
      <c r="L131" s="46"/>
      <c r="M131" s="46"/>
      <c r="N131" s="46"/>
      <c r="O131" s="46"/>
      <c r="P131" s="46"/>
    </row>
    <row r="132" spans="1:16" ht="14">
      <c r="B132" s="145" t="str">
        <f t="shared" si="53"/>
        <v>50-56G, 100G</v>
      </c>
      <c r="C132" s="142" t="str">
        <f t="shared" si="53"/>
        <v>400G, 2x200G</v>
      </c>
      <c r="D132" s="142" t="str">
        <f t="shared" si="53"/>
        <v>AOC</v>
      </c>
      <c r="E132" s="142" t="str">
        <f t="shared" si="53"/>
        <v>4 or 8</v>
      </c>
      <c r="F132" s="143" t="str">
        <f t="shared" si="53"/>
        <v>QSFP-DD, OSFP, QSFP112</v>
      </c>
      <c r="G132" s="46">
        <v>0</v>
      </c>
      <c r="H132" s="46">
        <v>0</v>
      </c>
      <c r="I132" s="46">
        <v>0</v>
      </c>
      <c r="J132" s="46"/>
      <c r="K132" s="46"/>
      <c r="L132" s="46"/>
      <c r="M132" s="46"/>
      <c r="N132" s="46"/>
      <c r="O132" s="46"/>
      <c r="P132" s="46"/>
    </row>
    <row r="133" spans="1:16" ht="14">
      <c r="B133" s="145" t="str">
        <f t="shared" si="53"/>
        <v>50-56G, 100G</v>
      </c>
      <c r="C133" s="142" t="str">
        <f t="shared" si="53"/>
        <v>400G, 2x200G</v>
      </c>
      <c r="D133" s="142" t="str">
        <f t="shared" si="53"/>
        <v>AOC</v>
      </c>
      <c r="E133" s="142" t="str">
        <f t="shared" si="53"/>
        <v>4:1 or 8:1</v>
      </c>
      <c r="F133" s="143" t="str">
        <f t="shared" si="53"/>
        <v>QSFP-DD, OSFP, QSFP112</v>
      </c>
      <c r="G133" s="46">
        <v>0</v>
      </c>
      <c r="H133" s="46">
        <v>0</v>
      </c>
      <c r="I133" s="46">
        <v>0</v>
      </c>
      <c r="J133" s="46"/>
      <c r="K133" s="46"/>
      <c r="L133" s="46"/>
      <c r="M133" s="46"/>
      <c r="N133" s="46"/>
      <c r="O133" s="46"/>
      <c r="P133" s="46"/>
    </row>
    <row r="134" spans="1:16" ht="14">
      <c r="B134" s="365" t="str">
        <f t="shared" ref="B134:F134" si="54">B94</f>
        <v>100G</v>
      </c>
      <c r="C134" s="366" t="str">
        <f t="shared" si="54"/>
        <v>800G</v>
      </c>
      <c r="D134" s="366" t="str">
        <f t="shared" si="54"/>
        <v>AOC</v>
      </c>
      <c r="E134" s="366">
        <f t="shared" si="54"/>
        <v>8</v>
      </c>
      <c r="F134" s="367" t="str">
        <f t="shared" si="54"/>
        <v xml:space="preserve">QSFP-DD800, OSFP </v>
      </c>
      <c r="G134" s="368">
        <v>0</v>
      </c>
      <c r="H134" s="368">
        <v>0</v>
      </c>
      <c r="I134" s="368">
        <v>0</v>
      </c>
      <c r="J134" s="368"/>
      <c r="K134" s="368"/>
      <c r="L134" s="368"/>
      <c r="M134" s="368"/>
      <c r="N134" s="368"/>
      <c r="O134" s="368"/>
      <c r="P134" s="368"/>
    </row>
    <row r="135" spans="1:16" ht="14">
      <c r="B135" s="145" t="str">
        <f t="shared" ref="B135:B143" si="55">B95</f>
        <v>400 Gbps</v>
      </c>
      <c r="C135" s="142"/>
      <c r="D135" s="142" t="str">
        <f t="shared" ref="D135:F144" si="56">D95</f>
        <v>CPO</v>
      </c>
      <c r="E135" s="142" t="str">
        <f t="shared" si="56"/>
        <v>30m</v>
      </c>
      <c r="F135" s="143" t="str">
        <f t="shared" si="56"/>
        <v>TBD</v>
      </c>
      <c r="G135" s="54">
        <v>0</v>
      </c>
      <c r="H135" s="54">
        <v>0</v>
      </c>
      <c r="I135" s="54">
        <v>0</v>
      </c>
      <c r="J135" s="54"/>
      <c r="K135" s="54"/>
      <c r="L135" s="54"/>
      <c r="M135" s="54"/>
      <c r="N135" s="54"/>
      <c r="O135" s="54"/>
      <c r="P135" s="54"/>
    </row>
    <row r="136" spans="1:16" ht="14">
      <c r="B136" s="145" t="str">
        <f t="shared" si="55"/>
        <v>400 Gbps</v>
      </c>
      <c r="C136" s="142"/>
      <c r="D136" s="142" t="str">
        <f t="shared" si="56"/>
        <v>CPO</v>
      </c>
      <c r="E136" s="142" t="str">
        <f t="shared" si="56"/>
        <v>100 m</v>
      </c>
      <c r="F136" s="143" t="str">
        <f t="shared" si="56"/>
        <v>TBD</v>
      </c>
      <c r="G136" s="54">
        <v>0</v>
      </c>
      <c r="H136" s="54">
        <v>0</v>
      </c>
      <c r="I136" s="54">
        <v>0</v>
      </c>
      <c r="J136" s="54"/>
      <c r="K136" s="54"/>
      <c r="L136" s="54"/>
      <c r="M136" s="54"/>
      <c r="N136" s="54"/>
      <c r="O136" s="54"/>
      <c r="P136" s="54"/>
    </row>
    <row r="137" spans="1:16" ht="14">
      <c r="B137" s="145" t="str">
        <f t="shared" si="55"/>
        <v>400 Gbps</v>
      </c>
      <c r="C137" s="142"/>
      <c r="D137" s="142" t="str">
        <f t="shared" si="56"/>
        <v>CPO</v>
      </c>
      <c r="E137" s="142" t="str">
        <f t="shared" si="56"/>
        <v>500 m</v>
      </c>
      <c r="F137" s="143" t="str">
        <f t="shared" si="56"/>
        <v>TBD</v>
      </c>
      <c r="G137" s="54">
        <v>0</v>
      </c>
      <c r="H137" s="54">
        <v>0</v>
      </c>
      <c r="I137" s="54">
        <v>0</v>
      </c>
      <c r="J137" s="54"/>
      <c r="K137" s="54"/>
      <c r="L137" s="54"/>
      <c r="M137" s="54"/>
      <c r="N137" s="54"/>
      <c r="O137" s="54"/>
      <c r="P137" s="54"/>
    </row>
    <row r="138" spans="1:16" ht="14">
      <c r="B138" s="145" t="str">
        <f t="shared" si="55"/>
        <v>800 Gbps</v>
      </c>
      <c r="C138" s="142"/>
      <c r="D138" s="142" t="str">
        <f t="shared" si="56"/>
        <v>CPO</v>
      </c>
      <c r="E138" s="142" t="str">
        <f t="shared" si="56"/>
        <v>30m</v>
      </c>
      <c r="F138" s="143" t="str">
        <f t="shared" si="56"/>
        <v>TBD</v>
      </c>
      <c r="G138" s="54">
        <v>0</v>
      </c>
      <c r="H138" s="54">
        <v>0</v>
      </c>
      <c r="I138" s="54">
        <v>0</v>
      </c>
      <c r="J138" s="54"/>
      <c r="K138" s="54"/>
      <c r="L138" s="54"/>
      <c r="M138" s="54"/>
      <c r="N138" s="54"/>
      <c r="O138" s="54"/>
      <c r="P138" s="54"/>
    </row>
    <row r="139" spans="1:16" ht="14">
      <c r="B139" s="145" t="str">
        <f t="shared" si="55"/>
        <v>800 Gbps</v>
      </c>
      <c r="C139" s="142"/>
      <c r="D139" s="142" t="str">
        <f t="shared" si="56"/>
        <v>CPO</v>
      </c>
      <c r="E139" s="142" t="str">
        <f t="shared" si="56"/>
        <v>100 m</v>
      </c>
      <c r="F139" s="143" t="str">
        <f t="shared" si="56"/>
        <v>TBD</v>
      </c>
      <c r="G139" s="54">
        <v>0</v>
      </c>
      <c r="H139" s="54">
        <v>0</v>
      </c>
      <c r="I139" s="54">
        <v>0</v>
      </c>
      <c r="J139" s="54"/>
      <c r="K139" s="54"/>
      <c r="L139" s="54"/>
      <c r="M139" s="54"/>
      <c r="N139" s="54"/>
      <c r="O139" s="54"/>
      <c r="P139" s="54"/>
    </row>
    <row r="140" spans="1:16" ht="14">
      <c r="B140" s="145" t="str">
        <f t="shared" si="55"/>
        <v>800 Gbps</v>
      </c>
      <c r="C140" s="142"/>
      <c r="D140" s="142" t="str">
        <f t="shared" si="56"/>
        <v>CPO</v>
      </c>
      <c r="E140" s="142" t="str">
        <f t="shared" si="56"/>
        <v>500 m</v>
      </c>
      <c r="F140" s="143" t="str">
        <f t="shared" si="56"/>
        <v>TBD</v>
      </c>
      <c r="G140" s="54">
        <v>0</v>
      </c>
      <c r="H140" s="54">
        <v>0</v>
      </c>
      <c r="I140" s="54">
        <v>0</v>
      </c>
      <c r="J140" s="54"/>
      <c r="K140" s="54"/>
      <c r="L140" s="54"/>
      <c r="M140" s="54"/>
      <c r="N140" s="54"/>
      <c r="O140" s="54"/>
      <c r="P140" s="54"/>
    </row>
    <row r="141" spans="1:16" ht="14">
      <c r="B141" s="145" t="str">
        <f t="shared" si="55"/>
        <v>1.6 Tbps</v>
      </c>
      <c r="C141" s="142"/>
      <c r="D141" s="142" t="str">
        <f t="shared" si="56"/>
        <v>CPO</v>
      </c>
      <c r="E141" s="142" t="str">
        <f t="shared" si="56"/>
        <v>30m</v>
      </c>
      <c r="F141" s="143" t="str">
        <f t="shared" si="56"/>
        <v>TBD</v>
      </c>
      <c r="G141" s="54">
        <v>0</v>
      </c>
      <c r="H141" s="54">
        <v>0</v>
      </c>
      <c r="I141" s="54">
        <v>0</v>
      </c>
      <c r="J141" s="54"/>
      <c r="K141" s="54"/>
      <c r="L141" s="54"/>
      <c r="M141" s="54"/>
      <c r="N141" s="54"/>
      <c r="O141" s="54"/>
      <c r="P141" s="54"/>
    </row>
    <row r="142" spans="1:16" ht="14">
      <c r="B142" s="145" t="str">
        <f t="shared" si="55"/>
        <v>1.6 Tbps</v>
      </c>
      <c r="C142" s="142"/>
      <c r="D142" s="142" t="str">
        <f t="shared" si="56"/>
        <v>CPO</v>
      </c>
      <c r="E142" s="142" t="str">
        <f t="shared" si="56"/>
        <v>100 m</v>
      </c>
      <c r="F142" s="143" t="str">
        <f t="shared" si="56"/>
        <v>TBD</v>
      </c>
      <c r="G142" s="46">
        <v>0</v>
      </c>
      <c r="H142" s="46">
        <v>0</v>
      </c>
      <c r="I142" s="46">
        <v>0</v>
      </c>
      <c r="J142" s="46"/>
      <c r="K142" s="46"/>
      <c r="L142" s="46"/>
      <c r="M142" s="46"/>
      <c r="N142" s="46"/>
      <c r="O142" s="46"/>
      <c r="P142" s="46"/>
    </row>
    <row r="143" spans="1:16" ht="14">
      <c r="B143" s="145" t="str">
        <f t="shared" si="55"/>
        <v>1.6 Tbps</v>
      </c>
      <c r="C143" s="142"/>
      <c r="D143" s="142" t="str">
        <f t="shared" si="56"/>
        <v>CPO</v>
      </c>
      <c r="E143" s="142" t="str">
        <f t="shared" si="56"/>
        <v>500 m</v>
      </c>
      <c r="F143" s="143" t="str">
        <f t="shared" si="56"/>
        <v>TBD</v>
      </c>
      <c r="G143" s="46">
        <v>0</v>
      </c>
      <c r="H143" s="46">
        <v>0</v>
      </c>
      <c r="I143" s="46">
        <v>0</v>
      </c>
      <c r="J143" s="46"/>
      <c r="K143" s="46"/>
      <c r="L143" s="46"/>
      <c r="M143" s="46"/>
      <c r="N143" s="46"/>
      <c r="O143" s="46"/>
      <c r="P143" s="46"/>
    </row>
    <row r="144" spans="1:16" ht="14">
      <c r="B144" s="161" t="s">
        <v>25</v>
      </c>
      <c r="C144" s="301" t="str">
        <f>C104</f>
        <v>All</v>
      </c>
      <c r="D144" s="301" t="str">
        <f t="shared" si="56"/>
        <v>All</v>
      </c>
      <c r="E144" s="301" t="str">
        <f t="shared" si="56"/>
        <v>All</v>
      </c>
      <c r="F144" s="302" t="str">
        <f t="shared" si="56"/>
        <v>All</v>
      </c>
      <c r="G144" s="152">
        <f t="shared" ref="G144:I144" si="57">SUM(G115:G143)</f>
        <v>91680.119124785328</v>
      </c>
      <c r="H144" s="152">
        <f t="shared" si="57"/>
        <v>101663.85500487093</v>
      </c>
      <c r="I144" s="152">
        <f t="shared" si="57"/>
        <v>102950.65410040569</v>
      </c>
      <c r="J144" s="152"/>
      <c r="K144" s="152"/>
      <c r="L144" s="152"/>
      <c r="M144" s="152"/>
      <c r="N144" s="152"/>
      <c r="O144" s="152"/>
      <c r="P144" s="152"/>
    </row>
    <row r="146" spans="1:16" ht="14">
      <c r="B146" s="97" t="str">
        <f>B114</f>
        <v>Lane Speed</v>
      </c>
      <c r="C146" s="112" t="str">
        <f>C114</f>
        <v>Agg. Speed</v>
      </c>
      <c r="D146" s="112" t="str">
        <f>D114</f>
        <v>Type</v>
      </c>
      <c r="E146" s="112" t="str">
        <f>E114</f>
        <v>Lanes</v>
      </c>
      <c r="F146" s="113" t="str">
        <f>F114</f>
        <v>Form Factor</v>
      </c>
      <c r="G146" s="87">
        <v>2016</v>
      </c>
      <c r="H146" s="87">
        <v>2017</v>
      </c>
      <c r="I146" s="87">
        <v>2018</v>
      </c>
      <c r="J146" s="87">
        <v>2019</v>
      </c>
      <c r="K146" s="87">
        <v>2020</v>
      </c>
      <c r="L146" s="87">
        <v>2021</v>
      </c>
      <c r="M146" s="87">
        <v>2022</v>
      </c>
      <c r="N146" s="87">
        <v>2023</v>
      </c>
      <c r="O146" s="87">
        <v>2024</v>
      </c>
      <c r="P146" s="87">
        <v>2025</v>
      </c>
    </row>
    <row r="147" spans="1:16" ht="14">
      <c r="B147" s="105" t="str">
        <f t="shared" ref="B147:F150" si="58">B107</f>
        <v>All</v>
      </c>
      <c r="C147" s="93" t="str">
        <f t="shared" si="58"/>
        <v>All</v>
      </c>
      <c r="D147" s="93" t="str">
        <f t="shared" si="58"/>
        <v>AOC</v>
      </c>
      <c r="E147" s="93" t="str">
        <f t="shared" si="58"/>
        <v>Single</v>
      </c>
      <c r="F147" s="107" t="str">
        <f t="shared" si="58"/>
        <v>All</v>
      </c>
      <c r="G147" s="54">
        <f t="shared" ref="G147:I147" si="59">G115+G122+G129</f>
        <v>0</v>
      </c>
      <c r="H147" s="54">
        <f t="shared" si="59"/>
        <v>0</v>
      </c>
      <c r="I147" s="54">
        <f t="shared" si="59"/>
        <v>0</v>
      </c>
      <c r="J147" s="54"/>
      <c r="K147" s="54"/>
      <c r="L147" s="54"/>
      <c r="M147" s="54"/>
      <c r="N147" s="54"/>
      <c r="O147" s="54"/>
      <c r="P147" s="54"/>
    </row>
    <row r="148" spans="1:16" ht="14">
      <c r="B148" s="106" t="str">
        <f t="shared" si="58"/>
        <v>All</v>
      </c>
      <c r="C148" s="89" t="str">
        <f t="shared" si="58"/>
        <v>All</v>
      </c>
      <c r="D148" s="89" t="str">
        <f t="shared" si="58"/>
        <v>AOC/XCVR</v>
      </c>
      <c r="E148" s="89" t="str">
        <f t="shared" si="58"/>
        <v>Multi-</v>
      </c>
      <c r="F148" s="108" t="str">
        <f t="shared" si="58"/>
        <v>All</v>
      </c>
      <c r="G148" s="54">
        <f t="shared" ref="G148:I148" si="60">G116+G118+G119+G120+G121+G123+G125+G126+G128+G130+G117+G124+G132+G134+G133</f>
        <v>86380.119124785328</v>
      </c>
      <c r="H148" s="54">
        <f t="shared" si="60"/>
        <v>92216.575004870916</v>
      </c>
      <c r="I148" s="54">
        <f t="shared" si="60"/>
        <v>82998.254100405713</v>
      </c>
      <c r="J148" s="54"/>
      <c r="K148" s="54"/>
      <c r="L148" s="54"/>
      <c r="M148" s="54"/>
      <c r="N148" s="54"/>
      <c r="O148" s="54"/>
      <c r="P148" s="54"/>
    </row>
    <row r="149" spans="1:16" ht="14">
      <c r="B149" s="106" t="str">
        <f t="shared" si="58"/>
        <v>All</v>
      </c>
      <c r="C149" s="89" t="str">
        <f t="shared" si="58"/>
        <v>All</v>
      </c>
      <c r="D149" s="89" t="str">
        <f t="shared" si="58"/>
        <v>EOM</v>
      </c>
      <c r="E149" s="89" t="str">
        <f t="shared" si="58"/>
        <v>All</v>
      </c>
      <c r="F149" s="108" t="str">
        <f t="shared" si="58"/>
        <v>Non-COBO</v>
      </c>
      <c r="G149" s="54">
        <f t="shared" ref="G149:I149" si="61">+G127+G131</f>
        <v>5300</v>
      </c>
      <c r="H149" s="54">
        <f t="shared" si="61"/>
        <v>9447.2800000000097</v>
      </c>
      <c r="I149" s="54">
        <f t="shared" si="61"/>
        <v>19952.399999999987</v>
      </c>
      <c r="J149" s="54"/>
      <c r="K149" s="54"/>
      <c r="L149" s="54"/>
      <c r="M149" s="54"/>
      <c r="N149" s="54"/>
      <c r="O149" s="54"/>
      <c r="P149" s="54"/>
    </row>
    <row r="150" spans="1:16" ht="14">
      <c r="B150" s="106" t="str">
        <f t="shared" si="58"/>
        <v>All</v>
      </c>
      <c r="C150" s="89" t="str">
        <f t="shared" si="58"/>
        <v>All</v>
      </c>
      <c r="D150" s="89" t="str">
        <f t="shared" si="58"/>
        <v>Chiplet</v>
      </c>
      <c r="E150" s="89" t="str">
        <f t="shared" si="58"/>
        <v>All</v>
      </c>
      <c r="F150" s="108" t="str">
        <f t="shared" si="58"/>
        <v>TBD</v>
      </c>
      <c r="G150" s="54">
        <f t="shared" ref="G150:I150" si="62">SUM(G135:G143)</f>
        <v>0</v>
      </c>
      <c r="H150" s="54">
        <f t="shared" si="62"/>
        <v>0</v>
      </c>
      <c r="I150" s="54">
        <f t="shared" si="62"/>
        <v>0</v>
      </c>
      <c r="J150" s="54"/>
      <c r="K150" s="54"/>
      <c r="L150" s="54"/>
      <c r="M150" s="54"/>
      <c r="N150" s="54"/>
      <c r="O150" s="54"/>
      <c r="P150" s="54"/>
    </row>
    <row r="151" spans="1:16" ht="14">
      <c r="B151" s="99" t="s">
        <v>13</v>
      </c>
      <c r="C151" s="112" t="str">
        <f>C144</f>
        <v>All</v>
      </c>
      <c r="D151" s="112" t="str">
        <f>D144</f>
        <v>All</v>
      </c>
      <c r="E151" s="144" t="str">
        <f>E144</f>
        <v>All</v>
      </c>
      <c r="F151" s="104" t="str">
        <f>F144</f>
        <v>All</v>
      </c>
      <c r="G151" s="96">
        <f t="shared" ref="G151:I151" si="63">SUM(G147:G150)</f>
        <v>91680.119124785328</v>
      </c>
      <c r="H151" s="96">
        <f t="shared" si="63"/>
        <v>101663.85500487093</v>
      </c>
      <c r="I151" s="96">
        <f t="shared" si="63"/>
        <v>102950.65410040569</v>
      </c>
      <c r="J151" s="96"/>
      <c r="K151" s="96"/>
      <c r="L151" s="96"/>
      <c r="M151" s="96"/>
      <c r="N151" s="96"/>
      <c r="O151" s="96"/>
      <c r="P151" s="96"/>
    </row>
    <row r="152" spans="1:16" ht="14">
      <c r="B152" s="11"/>
      <c r="C152" s="11"/>
      <c r="D152" s="11"/>
      <c r="E152" s="11"/>
      <c r="F152" s="11"/>
      <c r="G152" s="11"/>
      <c r="H152" s="11"/>
      <c r="I152" s="11"/>
      <c r="J152" s="11"/>
      <c r="K152" s="11"/>
      <c r="L152" s="11"/>
      <c r="M152" s="11"/>
      <c r="N152" s="11"/>
      <c r="O152" s="21"/>
      <c r="P152" s="21"/>
    </row>
    <row r="153" spans="1:16" s="11" customFormat="1" ht="21">
      <c r="B153" s="23" t="str">
        <f>B12</f>
        <v>Other</v>
      </c>
      <c r="C153" s="23" t="s">
        <v>233</v>
      </c>
      <c r="D153" s="23"/>
      <c r="E153" s="23"/>
      <c r="F153" s="23"/>
      <c r="G153" s="23"/>
      <c r="H153" s="23"/>
      <c r="I153" s="23"/>
      <c r="L153" s="76"/>
      <c r="M153" s="26"/>
      <c r="N153" s="26"/>
      <c r="O153" s="253"/>
      <c r="P153" s="253"/>
    </row>
    <row r="154" spans="1:16" s="11" customFormat="1" ht="14">
      <c r="A154" s="4"/>
      <c r="B154" s="92" t="str">
        <f t="shared" ref="B154:F163" si="64">B74</f>
        <v>Lane Speed</v>
      </c>
      <c r="C154" s="156" t="str">
        <f t="shared" si="64"/>
        <v>Agg. Speed</v>
      </c>
      <c r="D154" s="156" t="str">
        <f t="shared" si="64"/>
        <v>Type</v>
      </c>
      <c r="E154" s="156" t="str">
        <f t="shared" si="64"/>
        <v>Lanes</v>
      </c>
      <c r="F154" s="157" t="str">
        <f t="shared" si="64"/>
        <v>Form Factor</v>
      </c>
      <c r="G154" s="91">
        <v>2016</v>
      </c>
      <c r="H154" s="91">
        <v>2017</v>
      </c>
      <c r="I154" s="91">
        <v>2018</v>
      </c>
      <c r="J154" s="91">
        <v>2019</v>
      </c>
      <c r="K154" s="91">
        <v>2020</v>
      </c>
      <c r="L154" s="37">
        <v>2021</v>
      </c>
      <c r="M154" s="37">
        <v>2022</v>
      </c>
      <c r="N154" s="37">
        <v>2023</v>
      </c>
      <c r="O154" s="37">
        <v>2024</v>
      </c>
      <c r="P154" s="37">
        <v>2025</v>
      </c>
    </row>
    <row r="155" spans="1:16" s="11" customFormat="1" ht="14">
      <c r="A155" s="4"/>
      <c r="B155" s="158" t="str">
        <f t="shared" si="64"/>
        <v>≤10G</v>
      </c>
      <c r="C155" s="159" t="str">
        <f t="shared" si="64"/>
        <v>10G</v>
      </c>
      <c r="D155" s="159" t="str">
        <f t="shared" si="64"/>
        <v>AOC</v>
      </c>
      <c r="E155" s="159">
        <f t="shared" si="64"/>
        <v>1</v>
      </c>
      <c r="F155" s="160" t="str">
        <f t="shared" si="64"/>
        <v>SFP+</v>
      </c>
      <c r="G155" s="134">
        <v>0</v>
      </c>
      <c r="H155" s="134">
        <v>0</v>
      </c>
      <c r="I155" s="134">
        <v>0</v>
      </c>
      <c r="J155" s="134"/>
      <c r="K155" s="134"/>
      <c r="L155" s="134"/>
      <c r="M155" s="134"/>
      <c r="N155" s="134"/>
      <c r="O155" s="134"/>
      <c r="P155" s="134"/>
    </row>
    <row r="156" spans="1:16" s="11" customFormat="1" ht="14">
      <c r="A156" s="4"/>
      <c r="B156" s="145" t="str">
        <f t="shared" si="64"/>
        <v>≤10G</v>
      </c>
      <c r="C156" s="142" t="str">
        <f t="shared" si="64"/>
        <v>40G</v>
      </c>
      <c r="D156" s="142" t="str">
        <f t="shared" si="64"/>
        <v>AOC</v>
      </c>
      <c r="E156" s="142">
        <f t="shared" si="64"/>
        <v>4</v>
      </c>
      <c r="F156" s="143" t="str">
        <f t="shared" si="64"/>
        <v>QSFP+</v>
      </c>
      <c r="G156" s="46">
        <v>0</v>
      </c>
      <c r="H156" s="46">
        <v>2.9103830456733704E-11</v>
      </c>
      <c r="I156" s="46">
        <v>5.8207660913467407E-11</v>
      </c>
      <c r="J156" s="46"/>
      <c r="K156" s="46"/>
      <c r="L156" s="46"/>
      <c r="M156" s="46"/>
      <c r="N156" s="46"/>
      <c r="O156" s="46"/>
      <c r="P156" s="46"/>
    </row>
    <row r="157" spans="1:16" s="11" customFormat="1" ht="14">
      <c r="A157" s="4"/>
      <c r="B157" s="145" t="str">
        <f t="shared" si="64"/>
        <v>≤10G</v>
      </c>
      <c r="C157" s="142" t="str">
        <f t="shared" si="64"/>
        <v>40G</v>
      </c>
      <c r="D157" s="142" t="str">
        <f t="shared" si="64"/>
        <v>AOC</v>
      </c>
      <c r="E157" s="142" t="str">
        <f t="shared" si="64"/>
        <v>4:1</v>
      </c>
      <c r="F157" s="143" t="str">
        <f t="shared" si="64"/>
        <v>QSFP+/SFP+</v>
      </c>
      <c r="G157" s="46">
        <v>0</v>
      </c>
      <c r="H157" s="46">
        <v>0</v>
      </c>
      <c r="I157" s="46">
        <v>0</v>
      </c>
      <c r="J157" s="46"/>
      <c r="K157" s="46"/>
      <c r="L157" s="46"/>
      <c r="M157" s="46"/>
      <c r="N157" s="46"/>
      <c r="O157" s="46"/>
      <c r="P157" s="46"/>
    </row>
    <row r="158" spans="1:16" s="11" customFormat="1" ht="14">
      <c r="A158" s="4"/>
      <c r="B158" s="145" t="str">
        <f t="shared" si="64"/>
        <v>≤12.5G</v>
      </c>
      <c r="C158" s="142" t="str">
        <f t="shared" si="64"/>
        <v>150G</v>
      </c>
      <c r="D158" s="142" t="str">
        <f t="shared" si="64"/>
        <v>AOC</v>
      </c>
      <c r="E158" s="142">
        <f t="shared" si="64"/>
        <v>12</v>
      </c>
      <c r="F158" s="143" t="str">
        <f t="shared" si="64"/>
        <v>CXP</v>
      </c>
      <c r="G158" s="46">
        <v>0</v>
      </c>
      <c r="H158" s="46">
        <v>0</v>
      </c>
      <c r="I158" s="46">
        <v>0</v>
      </c>
      <c r="J158" s="46"/>
      <c r="K158" s="46"/>
      <c r="L158" s="46"/>
      <c r="M158" s="46"/>
      <c r="N158" s="46"/>
      <c r="O158" s="46"/>
      <c r="P158" s="46"/>
    </row>
    <row r="159" spans="1:16" s="11" customFormat="1" ht="14">
      <c r="A159" s="4"/>
      <c r="B159" s="145" t="str">
        <f t="shared" si="64"/>
        <v>≤12.5G</v>
      </c>
      <c r="C159" s="142" t="str">
        <f t="shared" si="64"/>
        <v>150G</v>
      </c>
      <c r="D159" s="142" t="str">
        <f t="shared" si="64"/>
        <v>XCVR</v>
      </c>
      <c r="E159" s="142">
        <f t="shared" si="64"/>
        <v>12</v>
      </c>
      <c r="F159" s="143" t="str">
        <f t="shared" si="64"/>
        <v>CXP</v>
      </c>
      <c r="G159" s="46">
        <v>0</v>
      </c>
      <c r="H159" s="46">
        <v>-1.8189894035458565E-12</v>
      </c>
      <c r="I159" s="46">
        <v>0</v>
      </c>
      <c r="J159" s="46"/>
      <c r="K159" s="46"/>
      <c r="L159" s="46"/>
      <c r="M159" s="46"/>
      <c r="N159" s="46"/>
      <c r="O159" s="46"/>
      <c r="P159" s="46"/>
    </row>
    <row r="160" spans="1:16" s="11" customFormat="1" ht="14">
      <c r="A160" s="4"/>
      <c r="B160" s="145" t="str">
        <f t="shared" si="64"/>
        <v>12-14G</v>
      </c>
      <c r="C160" s="142" t="str">
        <f t="shared" si="64"/>
        <v>56G</v>
      </c>
      <c r="D160" s="142" t="str">
        <f t="shared" si="64"/>
        <v>AOC</v>
      </c>
      <c r="E160" s="142">
        <f t="shared" si="64"/>
        <v>4</v>
      </c>
      <c r="F160" s="143" t="str">
        <f t="shared" si="64"/>
        <v>QSFP+</v>
      </c>
      <c r="G160" s="46">
        <v>0</v>
      </c>
      <c r="H160" s="46">
        <v>0</v>
      </c>
      <c r="I160" s="46">
        <v>0</v>
      </c>
      <c r="J160" s="46"/>
      <c r="K160" s="46"/>
      <c r="L160" s="46"/>
      <c r="M160" s="46"/>
      <c r="N160" s="46"/>
      <c r="O160" s="46"/>
      <c r="P160" s="46"/>
    </row>
    <row r="161" spans="1:16" s="11" customFormat="1" ht="14">
      <c r="A161" s="4"/>
      <c r="B161" s="145" t="str">
        <f t="shared" si="64"/>
        <v>12G</v>
      </c>
      <c r="C161" s="142" t="str">
        <f t="shared" si="64"/>
        <v>48G</v>
      </c>
      <c r="D161" s="142" t="str">
        <f t="shared" si="64"/>
        <v>AOC</v>
      </c>
      <c r="E161" s="142">
        <f t="shared" si="64"/>
        <v>4</v>
      </c>
      <c r="F161" s="143" t="str">
        <f t="shared" si="64"/>
        <v>Mini-SAS HD</v>
      </c>
      <c r="G161" s="46">
        <v>0</v>
      </c>
      <c r="H161" s="46">
        <v>0</v>
      </c>
      <c r="I161" s="46">
        <v>0</v>
      </c>
      <c r="J161" s="46"/>
      <c r="K161" s="46"/>
      <c r="L161" s="46"/>
      <c r="M161" s="46"/>
      <c r="N161" s="46"/>
      <c r="O161" s="46"/>
      <c r="P161" s="46"/>
    </row>
    <row r="162" spans="1:16" s="11" customFormat="1" ht="14">
      <c r="A162" s="4"/>
      <c r="B162" s="145" t="str">
        <f t="shared" si="64"/>
        <v>25-28G</v>
      </c>
      <c r="C162" s="142" t="str">
        <f t="shared" si="64"/>
        <v>25G</v>
      </c>
      <c r="D162" s="142" t="str">
        <f t="shared" si="64"/>
        <v>AOC</v>
      </c>
      <c r="E162" s="142">
        <f t="shared" si="64"/>
        <v>1</v>
      </c>
      <c r="F162" s="143" t="str">
        <f t="shared" si="64"/>
        <v>SFP28</v>
      </c>
      <c r="G162" s="46">
        <v>0</v>
      </c>
      <c r="H162" s="46">
        <v>0</v>
      </c>
      <c r="I162" s="46">
        <v>0</v>
      </c>
      <c r="J162" s="46"/>
      <c r="K162" s="46"/>
      <c r="L162" s="46"/>
      <c r="M162" s="46"/>
      <c r="N162" s="46"/>
      <c r="O162" s="46"/>
      <c r="P162" s="46"/>
    </row>
    <row r="163" spans="1:16" s="11" customFormat="1" ht="14">
      <c r="A163" s="4"/>
      <c r="B163" s="145" t="str">
        <f t="shared" si="64"/>
        <v>25-28G, 50G, 100G</v>
      </c>
      <c r="C163" s="142" t="str">
        <f t="shared" si="64"/>
        <v>100G</v>
      </c>
      <c r="D163" s="142" t="str">
        <f t="shared" si="64"/>
        <v>AOC</v>
      </c>
      <c r="E163" s="142" t="str">
        <f t="shared" si="64"/>
        <v>1, 2, or 4</v>
      </c>
      <c r="F163" s="143" t="str">
        <f t="shared" si="64"/>
        <v>QSFP28, SFP-DD, SFP112</v>
      </c>
      <c r="G163" s="46">
        <v>0</v>
      </c>
      <c r="H163" s="46">
        <v>-1.4551915228366852E-11</v>
      </c>
      <c r="I163" s="46">
        <v>0</v>
      </c>
      <c r="J163" s="46"/>
      <c r="K163" s="46"/>
      <c r="L163" s="46"/>
      <c r="M163" s="46"/>
      <c r="N163" s="46"/>
      <c r="O163" s="46"/>
      <c r="P163" s="46"/>
    </row>
    <row r="164" spans="1:16" s="11" customFormat="1" ht="14">
      <c r="A164" s="4"/>
      <c r="B164" s="145" t="str">
        <f t="shared" ref="B164:F173" si="65">B84</f>
        <v>25-28G</v>
      </c>
      <c r="C164" s="142" t="str">
        <f t="shared" si="65"/>
        <v>100G</v>
      </c>
      <c r="D164" s="142" t="str">
        <f t="shared" si="65"/>
        <v>AOC</v>
      </c>
      <c r="E164" s="142" t="str">
        <f t="shared" si="65"/>
        <v>4:1</v>
      </c>
      <c r="F164" s="143" t="str">
        <f t="shared" si="65"/>
        <v>QSFP28/SFP28</v>
      </c>
      <c r="G164" s="46">
        <v>0</v>
      </c>
      <c r="H164" s="46">
        <v>0</v>
      </c>
      <c r="I164" s="46">
        <v>0</v>
      </c>
      <c r="J164" s="46"/>
      <c r="K164" s="46"/>
      <c r="L164" s="46"/>
      <c r="M164" s="46"/>
      <c r="N164" s="46"/>
      <c r="O164" s="46"/>
      <c r="P164" s="46"/>
    </row>
    <row r="165" spans="1:16" s="11" customFormat="1" ht="14">
      <c r="A165" s="4"/>
      <c r="B165" s="145" t="str">
        <f t="shared" si="65"/>
        <v>24G</v>
      </c>
      <c r="C165" s="142" t="str">
        <f t="shared" si="65"/>
        <v>96G</v>
      </c>
      <c r="D165" s="142" t="str">
        <f t="shared" si="65"/>
        <v>AOC</v>
      </c>
      <c r="E165" s="142">
        <f t="shared" si="65"/>
        <v>4</v>
      </c>
      <c r="F165" s="143" t="str">
        <f t="shared" si="65"/>
        <v>Mini-SAS HD</v>
      </c>
      <c r="G165" s="46">
        <v>0</v>
      </c>
      <c r="H165" s="46">
        <v>0</v>
      </c>
      <c r="I165" s="46">
        <v>0</v>
      </c>
      <c r="J165" s="46"/>
      <c r="K165" s="46"/>
      <c r="L165" s="46"/>
      <c r="M165" s="46"/>
      <c r="N165" s="46"/>
      <c r="O165" s="46"/>
      <c r="P165" s="46"/>
    </row>
    <row r="166" spans="1:16" s="11" customFormat="1" ht="14">
      <c r="A166" s="4"/>
      <c r="B166" s="145" t="str">
        <f t="shared" si="65"/>
        <v>25-28G</v>
      </c>
      <c r="C166" s="142" t="str">
        <f t="shared" si="65"/>
        <v>300G</v>
      </c>
      <c r="D166" s="142" t="str">
        <f t="shared" si="65"/>
        <v>AOC</v>
      </c>
      <c r="E166" s="142">
        <f t="shared" si="65"/>
        <v>12</v>
      </c>
      <c r="F166" s="143" t="str">
        <f t="shared" si="65"/>
        <v>CXP28</v>
      </c>
      <c r="G166" s="46">
        <v>0</v>
      </c>
      <c r="H166" s="46">
        <v>0</v>
      </c>
      <c r="I166" s="46">
        <v>0</v>
      </c>
      <c r="J166" s="46"/>
      <c r="K166" s="46"/>
      <c r="L166" s="46"/>
      <c r="M166" s="46"/>
      <c r="N166" s="46"/>
      <c r="O166" s="46"/>
      <c r="P166" s="46"/>
    </row>
    <row r="167" spans="1:16" ht="14">
      <c r="B167" s="145" t="str">
        <f t="shared" si="65"/>
        <v>25-28G</v>
      </c>
      <c r="C167" s="142" t="str">
        <f t="shared" si="65"/>
        <v>100G-600G</v>
      </c>
      <c r="D167" s="142" t="str">
        <f t="shared" si="65"/>
        <v>EOM</v>
      </c>
      <c r="E167" s="142" t="str">
        <f t="shared" si="65"/>
        <v>4,8,12,16,24</v>
      </c>
      <c r="F167" s="143" t="str">
        <f t="shared" si="65"/>
        <v>XCVR</v>
      </c>
      <c r="G167" s="46">
        <v>0</v>
      </c>
      <c r="H167" s="46">
        <v>2361.820000000007</v>
      </c>
      <c r="I167" s="46">
        <v>8313.5</v>
      </c>
      <c r="J167" s="46"/>
      <c r="K167" s="46"/>
      <c r="L167" s="46"/>
      <c r="M167" s="46"/>
      <c r="N167" s="46"/>
      <c r="O167" s="46"/>
      <c r="P167" s="46"/>
    </row>
    <row r="168" spans="1:16" ht="14">
      <c r="B168" s="145" t="str">
        <f t="shared" si="65"/>
        <v>25-28G</v>
      </c>
      <c r="C168" s="142" t="str">
        <f t="shared" si="65"/>
        <v>300G</v>
      </c>
      <c r="D168" s="142" t="str">
        <f t="shared" si="65"/>
        <v>XCVR</v>
      </c>
      <c r="E168" s="142">
        <f t="shared" si="65"/>
        <v>12</v>
      </c>
      <c r="F168" s="143" t="str">
        <f t="shared" si="65"/>
        <v>CXP28</v>
      </c>
      <c r="G168" s="46">
        <v>0</v>
      </c>
      <c r="H168" s="46">
        <v>0</v>
      </c>
      <c r="I168" s="46">
        <v>0</v>
      </c>
      <c r="J168" s="46"/>
      <c r="K168" s="46"/>
      <c r="L168" s="46"/>
      <c r="M168" s="46"/>
      <c r="N168" s="46"/>
      <c r="O168" s="46"/>
      <c r="P168" s="46"/>
    </row>
    <row r="169" spans="1:16" ht="14">
      <c r="A169" s="55"/>
      <c r="B169" s="145" t="str">
        <f t="shared" si="65"/>
        <v>50-56G</v>
      </c>
      <c r="C169" s="142" t="str">
        <f t="shared" si="65"/>
        <v>50G</v>
      </c>
      <c r="D169" s="142" t="str">
        <f t="shared" si="65"/>
        <v>AOC</v>
      </c>
      <c r="E169" s="142">
        <f t="shared" si="65"/>
        <v>1</v>
      </c>
      <c r="F169" s="143" t="str">
        <f t="shared" si="65"/>
        <v>SFP56</v>
      </c>
      <c r="G169" s="46">
        <v>0</v>
      </c>
      <c r="H169" s="46">
        <v>0</v>
      </c>
      <c r="I169" s="46">
        <v>0</v>
      </c>
      <c r="J169" s="46"/>
      <c r="K169" s="46"/>
      <c r="L169" s="46"/>
      <c r="M169" s="46"/>
      <c r="N169" s="46"/>
      <c r="O169" s="46"/>
      <c r="P169" s="46"/>
    </row>
    <row r="170" spans="1:16" ht="14">
      <c r="A170" s="55"/>
      <c r="B170" s="145" t="str">
        <f t="shared" si="65"/>
        <v>50-56G</v>
      </c>
      <c r="C170" s="142" t="str">
        <f t="shared" si="65"/>
        <v>200G</v>
      </c>
      <c r="D170" s="142" t="str">
        <f t="shared" si="65"/>
        <v>AOC</v>
      </c>
      <c r="E170" s="142">
        <f t="shared" si="65"/>
        <v>4</v>
      </c>
      <c r="F170" s="143" t="str">
        <f t="shared" si="65"/>
        <v>QSFP56</v>
      </c>
      <c r="G170" s="46">
        <v>0</v>
      </c>
      <c r="H170" s="46">
        <v>0</v>
      </c>
      <c r="I170" s="46">
        <v>0</v>
      </c>
      <c r="J170" s="46"/>
      <c r="K170" s="46"/>
      <c r="L170" s="46"/>
      <c r="M170" s="46"/>
      <c r="N170" s="46"/>
      <c r="O170" s="46"/>
      <c r="P170" s="46"/>
    </row>
    <row r="171" spans="1:16" ht="14">
      <c r="A171" s="55"/>
      <c r="B171" s="145" t="str">
        <f t="shared" si="65"/>
        <v>50-56G</v>
      </c>
      <c r="C171" s="142" t="str">
        <f t="shared" si="65"/>
        <v>200G - 1.3T</v>
      </c>
      <c r="D171" s="142" t="str">
        <f t="shared" si="65"/>
        <v>EOM</v>
      </c>
      <c r="E171" s="142" t="str">
        <f t="shared" si="65"/>
        <v>8,12,16,24</v>
      </c>
      <c r="F171" s="143" t="str">
        <f t="shared" si="65"/>
        <v>TBD</v>
      </c>
      <c r="G171" s="46">
        <v>0</v>
      </c>
      <c r="H171" s="46">
        <v>0</v>
      </c>
      <c r="I171" s="46">
        <v>0</v>
      </c>
      <c r="J171" s="46"/>
      <c r="K171" s="46"/>
      <c r="L171" s="46"/>
      <c r="M171" s="46"/>
      <c r="N171" s="46"/>
      <c r="O171" s="46"/>
      <c r="P171" s="46"/>
    </row>
    <row r="172" spans="1:16" ht="14">
      <c r="B172" s="145" t="str">
        <f t="shared" si="65"/>
        <v>50-56G, 100G</v>
      </c>
      <c r="C172" s="142" t="str">
        <f t="shared" si="65"/>
        <v>400G, 2x200G</v>
      </c>
      <c r="D172" s="142" t="str">
        <f t="shared" si="65"/>
        <v>AOC</v>
      </c>
      <c r="E172" s="142" t="str">
        <f t="shared" si="65"/>
        <v>4 or 8</v>
      </c>
      <c r="F172" s="143" t="str">
        <f t="shared" si="65"/>
        <v>QSFP-DD, OSFP, QSFP112</v>
      </c>
      <c r="G172" s="46">
        <v>0</v>
      </c>
      <c r="H172" s="46">
        <v>0</v>
      </c>
      <c r="I172" s="46">
        <v>0</v>
      </c>
      <c r="J172" s="46"/>
      <c r="K172" s="46"/>
      <c r="L172" s="46"/>
      <c r="M172" s="46"/>
      <c r="N172" s="46"/>
      <c r="O172" s="46"/>
      <c r="P172" s="46"/>
    </row>
    <row r="173" spans="1:16" ht="14">
      <c r="B173" s="145" t="str">
        <f t="shared" si="65"/>
        <v>50-56G, 100G</v>
      </c>
      <c r="C173" s="142" t="str">
        <f t="shared" si="65"/>
        <v>400G, 2x200G</v>
      </c>
      <c r="D173" s="142" t="str">
        <f t="shared" si="65"/>
        <v>AOC</v>
      </c>
      <c r="E173" s="142" t="str">
        <f t="shared" si="65"/>
        <v>4:1 or 8:1</v>
      </c>
      <c r="F173" s="143" t="str">
        <f t="shared" si="65"/>
        <v>QSFP-DD, OSFP, QSFP112</v>
      </c>
      <c r="G173" s="46">
        <v>0</v>
      </c>
      <c r="H173" s="46">
        <v>0</v>
      </c>
      <c r="I173" s="46">
        <v>0</v>
      </c>
      <c r="J173" s="46"/>
      <c r="K173" s="46"/>
      <c r="L173" s="46"/>
      <c r="M173" s="46"/>
      <c r="N173" s="46"/>
      <c r="O173" s="46"/>
      <c r="P173" s="46"/>
    </row>
    <row r="174" spans="1:16" ht="14">
      <c r="B174" s="365" t="str">
        <f t="shared" ref="B174:F174" si="66">B94</f>
        <v>100G</v>
      </c>
      <c r="C174" s="366" t="str">
        <f t="shared" si="66"/>
        <v>800G</v>
      </c>
      <c r="D174" s="366" t="str">
        <f t="shared" si="66"/>
        <v>AOC</v>
      </c>
      <c r="E174" s="366">
        <f t="shared" si="66"/>
        <v>8</v>
      </c>
      <c r="F174" s="367" t="str">
        <f t="shared" si="66"/>
        <v xml:space="preserve">QSFP-DD800, OSFP </v>
      </c>
      <c r="G174" s="368">
        <v>0</v>
      </c>
      <c r="H174" s="368">
        <v>0</v>
      </c>
      <c r="I174" s="368">
        <v>0</v>
      </c>
      <c r="J174" s="368"/>
      <c r="K174" s="368"/>
      <c r="L174" s="368"/>
      <c r="M174" s="368"/>
      <c r="N174" s="368"/>
      <c r="O174" s="368"/>
      <c r="P174" s="368"/>
    </row>
    <row r="175" spans="1:16" ht="14">
      <c r="B175" s="145" t="str">
        <f t="shared" ref="B175:B184" si="67">B95</f>
        <v>400 Gbps</v>
      </c>
      <c r="C175" s="142"/>
      <c r="D175" s="142" t="str">
        <f t="shared" ref="D175:F183" si="68">D95</f>
        <v>CPO</v>
      </c>
      <c r="E175" s="142" t="str">
        <f t="shared" si="68"/>
        <v>30m</v>
      </c>
      <c r="F175" s="143" t="str">
        <f t="shared" si="68"/>
        <v>TBD</v>
      </c>
      <c r="G175" s="54">
        <v>0</v>
      </c>
      <c r="H175" s="54">
        <v>0</v>
      </c>
      <c r="I175" s="54">
        <v>0</v>
      </c>
      <c r="J175" s="54"/>
      <c r="K175" s="54"/>
      <c r="L175" s="54"/>
      <c r="M175" s="54"/>
      <c r="N175" s="54"/>
      <c r="O175" s="54"/>
      <c r="P175" s="54"/>
    </row>
    <row r="176" spans="1:16" ht="14">
      <c r="B176" s="145" t="str">
        <f t="shared" si="67"/>
        <v>400 Gbps</v>
      </c>
      <c r="C176" s="142"/>
      <c r="D176" s="142" t="str">
        <f t="shared" si="68"/>
        <v>CPO</v>
      </c>
      <c r="E176" s="142" t="str">
        <f t="shared" si="68"/>
        <v>100 m</v>
      </c>
      <c r="F176" s="143" t="str">
        <f t="shared" si="68"/>
        <v>TBD</v>
      </c>
      <c r="G176" s="54">
        <v>0</v>
      </c>
      <c r="H176" s="54">
        <v>0</v>
      </c>
      <c r="I176" s="54">
        <v>0</v>
      </c>
      <c r="J176" s="54"/>
      <c r="K176" s="54"/>
      <c r="L176" s="54"/>
      <c r="M176" s="54"/>
      <c r="N176" s="54"/>
      <c r="O176" s="54"/>
      <c r="P176" s="54"/>
    </row>
    <row r="177" spans="2:16" ht="14">
      <c r="B177" s="145" t="str">
        <f t="shared" si="67"/>
        <v>400 Gbps</v>
      </c>
      <c r="C177" s="142"/>
      <c r="D177" s="142" t="str">
        <f t="shared" si="68"/>
        <v>CPO</v>
      </c>
      <c r="E177" s="142" t="str">
        <f t="shared" si="68"/>
        <v>500 m</v>
      </c>
      <c r="F177" s="143" t="str">
        <f t="shared" si="68"/>
        <v>TBD</v>
      </c>
      <c r="G177" s="54">
        <v>0</v>
      </c>
      <c r="H177" s="54">
        <v>0</v>
      </c>
      <c r="I177" s="54">
        <v>0</v>
      </c>
      <c r="J177" s="54"/>
      <c r="K177" s="54"/>
      <c r="L177" s="54"/>
      <c r="M177" s="54"/>
      <c r="N177" s="54"/>
      <c r="O177" s="54"/>
      <c r="P177" s="54"/>
    </row>
    <row r="178" spans="2:16" ht="14">
      <c r="B178" s="145" t="str">
        <f t="shared" si="67"/>
        <v>800 Gbps</v>
      </c>
      <c r="C178" s="142"/>
      <c r="D178" s="142" t="str">
        <f t="shared" si="68"/>
        <v>CPO</v>
      </c>
      <c r="E178" s="142" t="str">
        <f t="shared" si="68"/>
        <v>30m</v>
      </c>
      <c r="F178" s="143" t="str">
        <f t="shared" si="68"/>
        <v>TBD</v>
      </c>
      <c r="G178" s="54">
        <v>0</v>
      </c>
      <c r="H178" s="54">
        <v>0</v>
      </c>
      <c r="I178" s="54">
        <v>0</v>
      </c>
      <c r="J178" s="54"/>
      <c r="K178" s="54"/>
      <c r="L178" s="54"/>
      <c r="M178" s="54"/>
      <c r="N178" s="54"/>
      <c r="O178" s="54"/>
      <c r="P178" s="54"/>
    </row>
    <row r="179" spans="2:16" ht="14">
      <c r="B179" s="145" t="str">
        <f t="shared" si="67"/>
        <v>800 Gbps</v>
      </c>
      <c r="C179" s="142"/>
      <c r="D179" s="142" t="str">
        <f t="shared" si="68"/>
        <v>CPO</v>
      </c>
      <c r="E179" s="142" t="str">
        <f t="shared" si="68"/>
        <v>100 m</v>
      </c>
      <c r="F179" s="143" t="str">
        <f t="shared" si="68"/>
        <v>TBD</v>
      </c>
      <c r="G179" s="54">
        <v>0</v>
      </c>
      <c r="H179" s="54">
        <v>0</v>
      </c>
      <c r="I179" s="54">
        <v>0</v>
      </c>
      <c r="J179" s="54"/>
      <c r="K179" s="54"/>
      <c r="L179" s="54"/>
      <c r="M179" s="54"/>
      <c r="N179" s="54"/>
      <c r="O179" s="54"/>
      <c r="P179" s="54"/>
    </row>
    <row r="180" spans="2:16" ht="14">
      <c r="B180" s="145" t="str">
        <f t="shared" si="67"/>
        <v>800 Gbps</v>
      </c>
      <c r="C180" s="142"/>
      <c r="D180" s="142" t="str">
        <f t="shared" si="68"/>
        <v>CPO</v>
      </c>
      <c r="E180" s="142" t="str">
        <f t="shared" si="68"/>
        <v>500 m</v>
      </c>
      <c r="F180" s="143" t="str">
        <f t="shared" si="68"/>
        <v>TBD</v>
      </c>
      <c r="G180" s="54">
        <v>0</v>
      </c>
      <c r="H180" s="54">
        <v>0</v>
      </c>
      <c r="I180" s="54">
        <v>0</v>
      </c>
      <c r="J180" s="54"/>
      <c r="K180" s="54"/>
      <c r="L180" s="54"/>
      <c r="M180" s="54"/>
      <c r="N180" s="54"/>
      <c r="O180" s="54"/>
      <c r="P180" s="54"/>
    </row>
    <row r="181" spans="2:16" ht="14">
      <c r="B181" s="145" t="str">
        <f t="shared" si="67"/>
        <v>1.6 Tbps</v>
      </c>
      <c r="C181" s="142"/>
      <c r="D181" s="142" t="str">
        <f t="shared" si="68"/>
        <v>CPO</v>
      </c>
      <c r="E181" s="142" t="str">
        <f t="shared" si="68"/>
        <v>30m</v>
      </c>
      <c r="F181" s="143" t="str">
        <f t="shared" si="68"/>
        <v>TBD</v>
      </c>
      <c r="G181" s="54">
        <v>0</v>
      </c>
      <c r="H181" s="54">
        <v>0</v>
      </c>
      <c r="I181" s="54">
        <v>0</v>
      </c>
      <c r="J181" s="54"/>
      <c r="K181" s="54"/>
      <c r="L181" s="54"/>
      <c r="M181" s="54"/>
      <c r="N181" s="54"/>
      <c r="O181" s="54"/>
      <c r="P181" s="54"/>
    </row>
    <row r="182" spans="2:16" ht="14">
      <c r="B182" s="145" t="str">
        <f t="shared" si="67"/>
        <v>1.6 Tbps</v>
      </c>
      <c r="C182" s="142"/>
      <c r="D182" s="142" t="str">
        <f t="shared" si="68"/>
        <v>CPO</v>
      </c>
      <c r="E182" s="142" t="str">
        <f t="shared" si="68"/>
        <v>100 m</v>
      </c>
      <c r="F182" s="143" t="str">
        <f t="shared" si="68"/>
        <v>TBD</v>
      </c>
      <c r="G182" s="46">
        <v>0</v>
      </c>
      <c r="H182" s="46">
        <v>0</v>
      </c>
      <c r="I182" s="46">
        <v>0</v>
      </c>
      <c r="J182" s="46"/>
      <c r="K182" s="46"/>
      <c r="L182" s="46"/>
      <c r="M182" s="46"/>
      <c r="N182" s="46"/>
      <c r="O182" s="46"/>
      <c r="P182" s="46"/>
    </row>
    <row r="183" spans="2:16" ht="14">
      <c r="B183" s="145" t="str">
        <f t="shared" si="67"/>
        <v>1.6 Tbps</v>
      </c>
      <c r="C183" s="142"/>
      <c r="D183" s="142" t="str">
        <f t="shared" si="68"/>
        <v>CPO</v>
      </c>
      <c r="E183" s="142" t="str">
        <f t="shared" si="68"/>
        <v>500 m</v>
      </c>
      <c r="F183" s="143" t="str">
        <f t="shared" si="68"/>
        <v>TBD</v>
      </c>
      <c r="G183" s="46">
        <v>0</v>
      </c>
      <c r="H183" s="46">
        <v>0</v>
      </c>
      <c r="I183" s="46">
        <v>0</v>
      </c>
      <c r="J183" s="46"/>
      <c r="K183" s="46"/>
      <c r="L183" s="46"/>
      <c r="M183" s="46"/>
      <c r="N183" s="46"/>
      <c r="O183" s="46"/>
      <c r="P183" s="46"/>
    </row>
    <row r="184" spans="2:16" ht="14">
      <c r="B184" s="161" t="str">
        <f t="shared" si="67"/>
        <v xml:space="preserve">Total Devices </v>
      </c>
      <c r="C184" s="112" t="str">
        <f>C151</f>
        <v>All</v>
      </c>
      <c r="D184" s="112" t="str">
        <f>D151</f>
        <v>All</v>
      </c>
      <c r="E184" s="144" t="str">
        <f>E151</f>
        <v>All</v>
      </c>
      <c r="F184" s="104" t="str">
        <f>F151</f>
        <v>All</v>
      </c>
      <c r="G184" s="152">
        <f t="shared" ref="G184:I184" si="69">SUM(G155:G183)</f>
        <v>0</v>
      </c>
      <c r="H184" s="152">
        <f t="shared" si="69"/>
        <v>2361.8200000000197</v>
      </c>
      <c r="I184" s="152">
        <f t="shared" si="69"/>
        <v>8313.5000000000582</v>
      </c>
      <c r="J184" s="152"/>
      <c r="K184" s="152"/>
      <c r="L184" s="152"/>
      <c r="M184" s="152"/>
      <c r="N184" s="152"/>
      <c r="O184" s="152"/>
      <c r="P184" s="152"/>
    </row>
    <row r="186" spans="2:16" ht="14">
      <c r="B186" s="97" t="str">
        <f>B74</f>
        <v>Lane Speed</v>
      </c>
      <c r="C186" s="98" t="str">
        <f>C74</f>
        <v>Agg. Speed</v>
      </c>
      <c r="D186" s="112" t="str">
        <f>D74</f>
        <v>Type</v>
      </c>
      <c r="E186" s="112" t="str">
        <f>E74</f>
        <v>Lanes</v>
      </c>
      <c r="F186" s="113" t="str">
        <f>F74</f>
        <v>Form Factor</v>
      </c>
      <c r="G186" s="87">
        <v>2016</v>
      </c>
      <c r="H186" s="87">
        <v>2017</v>
      </c>
      <c r="I186" s="87">
        <v>2018</v>
      </c>
      <c r="J186" s="87">
        <v>2019</v>
      </c>
      <c r="K186" s="87">
        <v>2020</v>
      </c>
      <c r="L186" s="87">
        <v>2021</v>
      </c>
      <c r="M186" s="87">
        <v>2022</v>
      </c>
      <c r="N186" s="87">
        <v>2023</v>
      </c>
      <c r="O186" s="87">
        <v>2024</v>
      </c>
      <c r="P186" s="87">
        <v>2025</v>
      </c>
    </row>
    <row r="187" spans="2:16" ht="14">
      <c r="B187" s="105" t="str">
        <f t="shared" ref="B187:F190" si="70">B107</f>
        <v>All</v>
      </c>
      <c r="C187" s="93" t="str">
        <f t="shared" si="70"/>
        <v>All</v>
      </c>
      <c r="D187" s="93" t="str">
        <f t="shared" si="70"/>
        <v>AOC</v>
      </c>
      <c r="E187" s="93" t="str">
        <f t="shared" si="70"/>
        <v>Single</v>
      </c>
      <c r="F187" s="107" t="str">
        <f t="shared" si="70"/>
        <v>All</v>
      </c>
      <c r="G187" s="94">
        <f t="shared" ref="G187:I187" si="71">G155+G162</f>
        <v>0</v>
      </c>
      <c r="H187" s="25">
        <f t="shared" si="71"/>
        <v>0</v>
      </c>
      <c r="I187" s="25">
        <f t="shared" si="71"/>
        <v>0</v>
      </c>
      <c r="J187" s="25"/>
      <c r="K187" s="25"/>
      <c r="L187" s="25"/>
      <c r="M187" s="25"/>
      <c r="N187" s="25"/>
      <c r="O187" s="25"/>
      <c r="P187" s="25"/>
    </row>
    <row r="188" spans="2:16" ht="14">
      <c r="B188" s="106" t="str">
        <f t="shared" si="70"/>
        <v>All</v>
      </c>
      <c r="C188" s="89" t="str">
        <f t="shared" si="70"/>
        <v>All</v>
      </c>
      <c r="D188" s="89" t="str">
        <f t="shared" si="70"/>
        <v>AOC/XCVR</v>
      </c>
      <c r="E188" s="89" t="str">
        <f t="shared" si="70"/>
        <v>Multi-</v>
      </c>
      <c r="F188" s="108" t="str">
        <f t="shared" si="70"/>
        <v>All</v>
      </c>
      <c r="G188" s="54">
        <f t="shared" ref="G188:I188" si="72">G156+G158+G159+G160+G161+G163+G165+G166+G168+G170+G157+G164+G172+G174+G173</f>
        <v>0</v>
      </c>
      <c r="H188" s="54">
        <f t="shared" si="72"/>
        <v>1.2732925824820995E-11</v>
      </c>
      <c r="I188" s="54">
        <f t="shared" si="72"/>
        <v>5.8207660913467407E-11</v>
      </c>
      <c r="J188" s="54"/>
      <c r="K188" s="54"/>
      <c r="L188" s="54"/>
      <c r="M188" s="54"/>
      <c r="N188" s="54"/>
      <c r="O188" s="54"/>
      <c r="P188" s="54"/>
    </row>
    <row r="189" spans="2:16" ht="14">
      <c r="B189" s="106" t="str">
        <f t="shared" si="70"/>
        <v>All</v>
      </c>
      <c r="C189" s="89" t="str">
        <f t="shared" si="70"/>
        <v>All</v>
      </c>
      <c r="D189" s="89" t="str">
        <f t="shared" si="70"/>
        <v>EOM</v>
      </c>
      <c r="E189" s="89" t="str">
        <f t="shared" si="70"/>
        <v>All</v>
      </c>
      <c r="F189" s="108" t="str">
        <f t="shared" si="70"/>
        <v>Non-COBO</v>
      </c>
      <c r="G189" s="54">
        <f>+G167+G171</f>
        <v>0</v>
      </c>
      <c r="H189" s="54">
        <f t="shared" ref="H189:I189" si="73">+H167+H171</f>
        <v>2361.820000000007</v>
      </c>
      <c r="I189" s="54">
        <f t="shared" si="73"/>
        <v>8313.5</v>
      </c>
      <c r="J189" s="54"/>
      <c r="K189" s="54"/>
      <c r="L189" s="54"/>
      <c r="M189" s="54"/>
      <c r="N189" s="54"/>
      <c r="O189" s="54"/>
      <c r="P189" s="54"/>
    </row>
    <row r="190" spans="2:16" ht="14">
      <c r="B190" s="106" t="str">
        <f t="shared" si="70"/>
        <v>All</v>
      </c>
      <c r="C190" s="89" t="str">
        <f t="shared" si="70"/>
        <v>All</v>
      </c>
      <c r="D190" s="89" t="str">
        <f t="shared" si="70"/>
        <v>Chiplet</v>
      </c>
      <c r="E190" s="89" t="str">
        <f t="shared" si="70"/>
        <v>All</v>
      </c>
      <c r="F190" s="108" t="str">
        <f t="shared" si="70"/>
        <v>TBD</v>
      </c>
      <c r="G190" s="54">
        <f t="shared" ref="G190:I190" si="74">SUM(G175:G183)</f>
        <v>0</v>
      </c>
      <c r="H190" s="54">
        <f t="shared" si="74"/>
        <v>0</v>
      </c>
      <c r="I190" s="54">
        <f t="shared" si="74"/>
        <v>0</v>
      </c>
      <c r="J190" s="54"/>
      <c r="K190" s="54"/>
      <c r="L190" s="54"/>
      <c r="M190" s="54"/>
      <c r="N190" s="54"/>
      <c r="O190" s="54"/>
      <c r="P190" s="54"/>
    </row>
    <row r="191" spans="2:16" ht="14">
      <c r="B191" s="99" t="s">
        <v>13</v>
      </c>
      <c r="C191" s="112" t="str">
        <f>C151</f>
        <v>All</v>
      </c>
      <c r="D191" s="112" t="str">
        <f>D151</f>
        <v>All</v>
      </c>
      <c r="E191" s="144" t="str">
        <f>E151</f>
        <v>All</v>
      </c>
      <c r="F191" s="104" t="str">
        <f>F151</f>
        <v>All</v>
      </c>
      <c r="G191" s="96">
        <f t="shared" ref="G191:I191" si="75">SUM(G187:G190)</f>
        <v>0</v>
      </c>
      <c r="H191" s="96">
        <f t="shared" si="75"/>
        <v>2361.8200000000197</v>
      </c>
      <c r="I191" s="96">
        <f t="shared" si="75"/>
        <v>8313.5000000000582</v>
      </c>
      <c r="J191" s="96"/>
      <c r="K191" s="96"/>
      <c r="L191" s="96"/>
      <c r="M191" s="96"/>
      <c r="N191" s="96"/>
      <c r="O191" s="96"/>
      <c r="P191" s="96"/>
    </row>
    <row r="192" spans="2:16" ht="14">
      <c r="B192" s="11"/>
      <c r="C192" s="11"/>
      <c r="D192" s="11"/>
      <c r="E192" s="11"/>
      <c r="F192" s="11"/>
      <c r="G192" s="11"/>
      <c r="H192" s="11"/>
      <c r="I192" s="11"/>
      <c r="J192" s="11"/>
      <c r="K192" s="11"/>
      <c r="L192" s="11"/>
      <c r="M192" s="11"/>
      <c r="N192" s="11"/>
      <c r="O192" s="21"/>
      <c r="P192" s="21"/>
    </row>
    <row r="194" spans="2:16" ht="21">
      <c r="B194" s="23" t="str">
        <f>B11</f>
        <v>Cloud (Datacenter)</v>
      </c>
      <c r="C194" s="23"/>
      <c r="D194" s="23"/>
      <c r="E194" s="23"/>
      <c r="F194" s="23"/>
      <c r="G194" s="23"/>
      <c r="H194" s="164"/>
      <c r="I194" s="11"/>
      <c r="J194" s="11"/>
      <c r="K194" s="11"/>
      <c r="L194" s="26"/>
      <c r="M194" s="26"/>
      <c r="N194" s="26"/>
      <c r="O194" s="253"/>
      <c r="P194" s="253"/>
    </row>
    <row r="195" spans="2:16" ht="14">
      <c r="B195" s="92" t="str">
        <f t="shared" ref="B195:F204" si="76">B74</f>
        <v>Lane Speed</v>
      </c>
      <c r="C195" s="156" t="str">
        <f t="shared" si="76"/>
        <v>Agg. Speed</v>
      </c>
      <c r="D195" s="156" t="str">
        <f t="shared" si="76"/>
        <v>Type</v>
      </c>
      <c r="E195" s="156" t="str">
        <f t="shared" si="76"/>
        <v>Lanes</v>
      </c>
      <c r="F195" s="157" t="str">
        <f t="shared" si="76"/>
        <v>Form Factor</v>
      </c>
      <c r="G195" s="91">
        <v>2016</v>
      </c>
      <c r="H195" s="91">
        <v>2017</v>
      </c>
      <c r="I195" s="91">
        <v>2018</v>
      </c>
      <c r="J195" s="91">
        <v>2019</v>
      </c>
      <c r="K195" s="91">
        <v>2020</v>
      </c>
      <c r="L195" s="37">
        <v>2021</v>
      </c>
      <c r="M195" s="37">
        <v>2022</v>
      </c>
      <c r="N195" s="37">
        <v>2023</v>
      </c>
      <c r="O195" s="37">
        <v>2024</v>
      </c>
      <c r="P195" s="37">
        <v>2025</v>
      </c>
    </row>
    <row r="196" spans="2:16" ht="14">
      <c r="B196" s="158" t="str">
        <f t="shared" si="76"/>
        <v>≤10G</v>
      </c>
      <c r="C196" s="159" t="str">
        <f t="shared" si="76"/>
        <v>10G</v>
      </c>
      <c r="D196" s="159" t="str">
        <f t="shared" si="76"/>
        <v>AOC</v>
      </c>
      <c r="E196" s="159">
        <f t="shared" si="76"/>
        <v>1</v>
      </c>
      <c r="F196" s="160" t="str">
        <f t="shared" si="76"/>
        <v>SFP+</v>
      </c>
      <c r="G196" s="134">
        <v>1654178</v>
      </c>
      <c r="H196" s="134">
        <v>3231705</v>
      </c>
      <c r="I196" s="134">
        <v>4256351</v>
      </c>
      <c r="J196" s="134"/>
      <c r="K196" s="134"/>
      <c r="L196" s="134"/>
      <c r="M196" s="134"/>
      <c r="N196" s="134"/>
      <c r="O196" s="134"/>
      <c r="P196" s="134"/>
    </row>
    <row r="197" spans="2:16" ht="14">
      <c r="B197" s="145" t="str">
        <f t="shared" si="76"/>
        <v>≤10G</v>
      </c>
      <c r="C197" s="142" t="str">
        <f t="shared" si="76"/>
        <v>40G</v>
      </c>
      <c r="D197" s="142" t="str">
        <f t="shared" si="76"/>
        <v>AOC</v>
      </c>
      <c r="E197" s="142">
        <f t="shared" si="76"/>
        <v>4</v>
      </c>
      <c r="F197" s="143" t="str">
        <f t="shared" si="76"/>
        <v>QSFP+</v>
      </c>
      <c r="G197" s="46">
        <v>314531.97262056964</v>
      </c>
      <c r="H197" s="46">
        <v>193572.31999999998</v>
      </c>
      <c r="I197" s="46">
        <v>289154.77499999997</v>
      </c>
      <c r="J197" s="46"/>
      <c r="K197" s="46"/>
      <c r="L197" s="46"/>
      <c r="M197" s="46"/>
      <c r="N197" s="46"/>
      <c r="O197" s="46"/>
      <c r="P197" s="46"/>
    </row>
    <row r="198" spans="2:16" ht="14">
      <c r="B198" s="145" t="str">
        <f t="shared" si="76"/>
        <v>≤10G</v>
      </c>
      <c r="C198" s="142" t="str">
        <f t="shared" si="76"/>
        <v>40G</v>
      </c>
      <c r="D198" s="142" t="str">
        <f t="shared" si="76"/>
        <v>AOC</v>
      </c>
      <c r="E198" s="142" t="str">
        <f t="shared" si="76"/>
        <v>4:1</v>
      </c>
      <c r="F198" s="143" t="str">
        <f t="shared" si="76"/>
        <v>QSFP+/SFP+</v>
      </c>
      <c r="G198" s="46">
        <v>42400</v>
      </c>
      <c r="H198" s="46">
        <v>37000</v>
      </c>
      <c r="I198" s="46">
        <v>46592</v>
      </c>
      <c r="J198" s="46"/>
      <c r="K198" s="46"/>
      <c r="L198" s="46"/>
      <c r="M198" s="46"/>
      <c r="N198" s="46"/>
      <c r="O198" s="46"/>
      <c r="P198" s="46"/>
    </row>
    <row r="199" spans="2:16" ht="14">
      <c r="B199" s="145" t="str">
        <f t="shared" si="76"/>
        <v>≤12.5G</v>
      </c>
      <c r="C199" s="142" t="str">
        <f t="shared" si="76"/>
        <v>150G</v>
      </c>
      <c r="D199" s="142" t="str">
        <f t="shared" si="76"/>
        <v>AOC</v>
      </c>
      <c r="E199" s="142">
        <f t="shared" si="76"/>
        <v>12</v>
      </c>
      <c r="F199" s="143" t="str">
        <f t="shared" si="76"/>
        <v>CXP</v>
      </c>
      <c r="G199" s="46">
        <v>0</v>
      </c>
      <c r="H199" s="46">
        <v>0</v>
      </c>
      <c r="I199" s="46">
        <v>0</v>
      </c>
      <c r="J199" s="46"/>
      <c r="K199" s="46"/>
      <c r="L199" s="46"/>
      <c r="M199" s="46"/>
      <c r="N199" s="46"/>
      <c r="O199" s="46"/>
      <c r="P199" s="46"/>
    </row>
    <row r="200" spans="2:16" ht="14">
      <c r="B200" s="145" t="str">
        <f t="shared" si="76"/>
        <v>≤12.5G</v>
      </c>
      <c r="C200" s="142" t="str">
        <f t="shared" si="76"/>
        <v>150G</v>
      </c>
      <c r="D200" s="142" t="str">
        <f t="shared" si="76"/>
        <v>XCVR</v>
      </c>
      <c r="E200" s="142">
        <f t="shared" si="76"/>
        <v>12</v>
      </c>
      <c r="F200" s="143" t="str">
        <f t="shared" si="76"/>
        <v>CXP</v>
      </c>
      <c r="G200" s="46">
        <v>0</v>
      </c>
      <c r="H200" s="46">
        <v>0</v>
      </c>
      <c r="I200" s="46">
        <v>0</v>
      </c>
      <c r="J200" s="46"/>
      <c r="K200" s="46"/>
      <c r="L200" s="46"/>
      <c r="M200" s="46"/>
      <c r="N200" s="46"/>
      <c r="O200" s="46"/>
      <c r="P200" s="46"/>
    </row>
    <row r="201" spans="2:16" ht="14">
      <c r="B201" s="145" t="str">
        <f t="shared" si="76"/>
        <v>12-14G</v>
      </c>
      <c r="C201" s="142" t="str">
        <f t="shared" si="76"/>
        <v>56G</v>
      </c>
      <c r="D201" s="142" t="str">
        <f t="shared" si="76"/>
        <v>AOC</v>
      </c>
      <c r="E201" s="142">
        <f t="shared" si="76"/>
        <v>4</v>
      </c>
      <c r="F201" s="143" t="str">
        <f t="shared" si="76"/>
        <v>QSFP+</v>
      </c>
      <c r="G201" s="46">
        <v>0</v>
      </c>
      <c r="H201" s="46">
        <v>0</v>
      </c>
      <c r="I201" s="46">
        <v>0</v>
      </c>
      <c r="J201" s="46"/>
      <c r="K201" s="46"/>
      <c r="L201" s="46"/>
      <c r="M201" s="46"/>
      <c r="N201" s="46"/>
      <c r="O201" s="46"/>
      <c r="P201" s="46"/>
    </row>
    <row r="202" spans="2:16" ht="14">
      <c r="B202" s="145" t="str">
        <f t="shared" si="76"/>
        <v>12G</v>
      </c>
      <c r="C202" s="142" t="str">
        <f t="shared" si="76"/>
        <v>48G</v>
      </c>
      <c r="D202" s="142" t="str">
        <f t="shared" si="76"/>
        <v>AOC</v>
      </c>
      <c r="E202" s="142">
        <f t="shared" si="76"/>
        <v>4</v>
      </c>
      <c r="F202" s="143" t="str">
        <f t="shared" si="76"/>
        <v>Mini-SAS HD</v>
      </c>
      <c r="G202" s="46">
        <v>23040</v>
      </c>
      <c r="H202" s="46">
        <v>32850</v>
      </c>
      <c r="I202" s="46">
        <v>43200</v>
      </c>
      <c r="J202" s="46"/>
      <c r="K202" s="46"/>
      <c r="L202" s="46"/>
      <c r="M202" s="46"/>
      <c r="N202" s="46"/>
      <c r="O202" s="46"/>
      <c r="P202" s="46"/>
    </row>
    <row r="203" spans="2:16" ht="14">
      <c r="B203" s="145" t="str">
        <f t="shared" si="76"/>
        <v>25-28G</v>
      </c>
      <c r="C203" s="142" t="str">
        <f t="shared" si="76"/>
        <v>25G</v>
      </c>
      <c r="D203" s="142" t="str">
        <f t="shared" si="76"/>
        <v>AOC</v>
      </c>
      <c r="E203" s="142">
        <f t="shared" si="76"/>
        <v>1</v>
      </c>
      <c r="F203" s="143" t="str">
        <f t="shared" si="76"/>
        <v>SFP28</v>
      </c>
      <c r="G203" s="46">
        <v>10000</v>
      </c>
      <c r="H203" s="46">
        <v>170652</v>
      </c>
      <c r="I203" s="46">
        <v>1025400</v>
      </c>
      <c r="J203" s="46"/>
      <c r="K203" s="46"/>
      <c r="L203" s="46"/>
      <c r="M203" s="46"/>
      <c r="N203" s="46"/>
      <c r="O203" s="46"/>
      <c r="P203" s="46"/>
    </row>
    <row r="204" spans="2:16" ht="14">
      <c r="B204" s="145" t="str">
        <f t="shared" si="76"/>
        <v>25-28G, 50G, 100G</v>
      </c>
      <c r="C204" s="142" t="str">
        <f t="shared" si="76"/>
        <v>100G</v>
      </c>
      <c r="D204" s="142" t="str">
        <f t="shared" si="76"/>
        <v>AOC</v>
      </c>
      <c r="E204" s="142" t="str">
        <f t="shared" si="76"/>
        <v>1, 2, or 4</v>
      </c>
      <c r="F204" s="143" t="str">
        <f t="shared" si="76"/>
        <v>QSFP28, SFP-DD, SFP112</v>
      </c>
      <c r="G204" s="46">
        <v>49000</v>
      </c>
      <c r="H204" s="46">
        <v>88519.05</v>
      </c>
      <c r="I204" s="46">
        <v>135505</v>
      </c>
      <c r="J204" s="46"/>
      <c r="K204" s="46"/>
      <c r="L204" s="46"/>
      <c r="M204" s="46"/>
      <c r="N204" s="46"/>
      <c r="O204" s="46"/>
      <c r="P204" s="46"/>
    </row>
    <row r="205" spans="2:16" ht="14">
      <c r="B205" s="145" t="str">
        <f t="shared" ref="B205:F214" si="77">B84</f>
        <v>25-28G</v>
      </c>
      <c r="C205" s="142" t="str">
        <f t="shared" si="77"/>
        <v>100G</v>
      </c>
      <c r="D205" s="142" t="str">
        <f t="shared" si="77"/>
        <v>AOC</v>
      </c>
      <c r="E205" s="142" t="str">
        <f t="shared" si="77"/>
        <v>4:1</v>
      </c>
      <c r="F205" s="143" t="str">
        <f t="shared" si="77"/>
        <v>QSFP28/SFP28</v>
      </c>
      <c r="G205" s="46">
        <v>0</v>
      </c>
      <c r="H205" s="46">
        <v>3500</v>
      </c>
      <c r="I205" s="46">
        <v>2701</v>
      </c>
      <c r="J205" s="46"/>
      <c r="K205" s="46"/>
      <c r="L205" s="46"/>
      <c r="M205" s="46"/>
      <c r="N205" s="46"/>
      <c r="O205" s="46"/>
      <c r="P205" s="46"/>
    </row>
    <row r="206" spans="2:16" ht="14">
      <c r="B206" s="145" t="str">
        <f t="shared" si="77"/>
        <v>24G</v>
      </c>
      <c r="C206" s="142" t="str">
        <f t="shared" si="77"/>
        <v>96G</v>
      </c>
      <c r="D206" s="142" t="str">
        <f t="shared" si="77"/>
        <v>AOC</v>
      </c>
      <c r="E206" s="142">
        <f t="shared" si="77"/>
        <v>4</v>
      </c>
      <c r="F206" s="143" t="str">
        <f t="shared" si="77"/>
        <v>Mini-SAS HD</v>
      </c>
      <c r="G206" s="46">
        <v>0</v>
      </c>
      <c r="H206" s="46">
        <v>0</v>
      </c>
      <c r="I206" s="46">
        <v>0</v>
      </c>
      <c r="J206" s="46"/>
      <c r="K206" s="46"/>
      <c r="L206" s="46"/>
      <c r="M206" s="46"/>
      <c r="N206" s="46"/>
      <c r="O206" s="46"/>
      <c r="P206" s="46"/>
    </row>
    <row r="207" spans="2:16" ht="14">
      <c r="B207" s="145" t="str">
        <f t="shared" si="77"/>
        <v>25-28G</v>
      </c>
      <c r="C207" s="142" t="str">
        <f t="shared" si="77"/>
        <v>300G</v>
      </c>
      <c r="D207" s="142" t="str">
        <f t="shared" si="77"/>
        <v>AOC</v>
      </c>
      <c r="E207" s="142">
        <f t="shared" si="77"/>
        <v>12</v>
      </c>
      <c r="F207" s="143" t="str">
        <f t="shared" si="77"/>
        <v>CXP28</v>
      </c>
      <c r="G207" s="46">
        <v>0</v>
      </c>
      <c r="H207" s="46">
        <v>0</v>
      </c>
      <c r="I207" s="46">
        <v>0</v>
      </c>
      <c r="J207" s="46"/>
      <c r="K207" s="46"/>
      <c r="L207" s="46"/>
      <c r="M207" s="46"/>
      <c r="N207" s="46"/>
      <c r="O207" s="46"/>
      <c r="P207" s="46"/>
    </row>
    <row r="208" spans="2:16" ht="14">
      <c r="B208" s="145" t="str">
        <f t="shared" si="77"/>
        <v>25-28G</v>
      </c>
      <c r="C208" s="142" t="str">
        <f t="shared" si="77"/>
        <v>100G-600G</v>
      </c>
      <c r="D208" s="142" t="str">
        <f t="shared" si="77"/>
        <v>EOM</v>
      </c>
      <c r="E208" s="142" t="str">
        <f t="shared" si="77"/>
        <v>4,8,12,16,24</v>
      </c>
      <c r="F208" s="143" t="str">
        <f t="shared" si="77"/>
        <v>XCVR</v>
      </c>
      <c r="G208" s="46">
        <v>21200</v>
      </c>
      <c r="H208" s="46">
        <v>59045.499999999985</v>
      </c>
      <c r="I208" s="46">
        <v>96436.6</v>
      </c>
      <c r="J208" s="46"/>
      <c r="K208" s="46"/>
      <c r="L208" s="46"/>
      <c r="M208" s="46"/>
      <c r="N208" s="46"/>
      <c r="O208" s="46"/>
      <c r="P208" s="46"/>
    </row>
    <row r="209" spans="1:16" ht="14">
      <c r="B209" s="145" t="str">
        <f t="shared" si="77"/>
        <v>25-28G</v>
      </c>
      <c r="C209" s="142" t="str">
        <f t="shared" si="77"/>
        <v>300G</v>
      </c>
      <c r="D209" s="142" t="str">
        <f t="shared" si="77"/>
        <v>XCVR</v>
      </c>
      <c r="E209" s="142">
        <f t="shared" si="77"/>
        <v>12</v>
      </c>
      <c r="F209" s="143" t="str">
        <f t="shared" si="77"/>
        <v>CXP28</v>
      </c>
      <c r="G209" s="46">
        <v>0</v>
      </c>
      <c r="H209" s="46">
        <v>0</v>
      </c>
      <c r="I209" s="46">
        <v>0</v>
      </c>
      <c r="J209" s="46"/>
      <c r="K209" s="46"/>
      <c r="L209" s="46"/>
      <c r="M209" s="46"/>
      <c r="N209" s="46"/>
      <c r="O209" s="46"/>
      <c r="P209" s="46"/>
    </row>
    <row r="210" spans="1:16" ht="14">
      <c r="A210" s="55"/>
      <c r="B210" s="145" t="str">
        <f t="shared" si="77"/>
        <v>50-56G</v>
      </c>
      <c r="C210" s="142" t="str">
        <f t="shared" si="77"/>
        <v>50G</v>
      </c>
      <c r="D210" s="142" t="str">
        <f t="shared" si="77"/>
        <v>AOC</v>
      </c>
      <c r="E210" s="142">
        <f t="shared" si="77"/>
        <v>1</v>
      </c>
      <c r="F210" s="143" t="str">
        <f t="shared" si="77"/>
        <v>SFP56</v>
      </c>
      <c r="G210" s="46">
        <v>0</v>
      </c>
      <c r="H210" s="46">
        <v>0</v>
      </c>
      <c r="I210" s="46">
        <v>0</v>
      </c>
      <c r="J210" s="46"/>
      <c r="K210" s="46"/>
      <c r="L210" s="46"/>
      <c r="M210" s="46"/>
      <c r="N210" s="46"/>
      <c r="O210" s="46"/>
      <c r="P210" s="46"/>
    </row>
    <row r="211" spans="1:16" ht="14">
      <c r="A211" s="55"/>
      <c r="B211" s="145" t="str">
        <f t="shared" si="77"/>
        <v>50-56G</v>
      </c>
      <c r="C211" s="142" t="str">
        <f t="shared" si="77"/>
        <v>200G</v>
      </c>
      <c r="D211" s="142" t="str">
        <f t="shared" si="77"/>
        <v>AOC</v>
      </c>
      <c r="E211" s="142">
        <f t="shared" si="77"/>
        <v>4</v>
      </c>
      <c r="F211" s="143" t="str">
        <f t="shared" si="77"/>
        <v>QSFP56</v>
      </c>
      <c r="G211" s="46">
        <v>0</v>
      </c>
      <c r="H211" s="46">
        <v>0</v>
      </c>
      <c r="I211" s="46">
        <v>0</v>
      </c>
      <c r="J211" s="46"/>
      <c r="K211" s="46"/>
      <c r="L211" s="46"/>
      <c r="M211" s="46"/>
      <c r="N211" s="46"/>
      <c r="O211" s="46"/>
      <c r="P211" s="46"/>
    </row>
    <row r="212" spans="1:16" ht="14">
      <c r="A212" s="55"/>
      <c r="B212" s="145" t="str">
        <f t="shared" si="77"/>
        <v>50-56G</v>
      </c>
      <c r="C212" s="142" t="str">
        <f t="shared" si="77"/>
        <v>200G - 1.3T</v>
      </c>
      <c r="D212" s="142" t="str">
        <f t="shared" si="77"/>
        <v>EOM</v>
      </c>
      <c r="E212" s="142" t="str">
        <f t="shared" si="77"/>
        <v>8,12,16,24</v>
      </c>
      <c r="F212" s="143" t="str">
        <f t="shared" si="77"/>
        <v>TBD</v>
      </c>
      <c r="G212" s="46">
        <v>0</v>
      </c>
      <c r="H212" s="46">
        <v>0</v>
      </c>
      <c r="I212" s="46">
        <v>0</v>
      </c>
      <c r="J212" s="46"/>
      <c r="K212" s="46"/>
      <c r="L212" s="46"/>
      <c r="M212" s="46"/>
      <c r="N212" s="46"/>
      <c r="O212" s="46"/>
      <c r="P212" s="46"/>
    </row>
    <row r="213" spans="1:16" ht="14">
      <c r="B213" s="145" t="str">
        <f t="shared" si="77"/>
        <v>50-56G, 100G</v>
      </c>
      <c r="C213" s="142" t="str">
        <f t="shared" si="77"/>
        <v>400G, 2x200G</v>
      </c>
      <c r="D213" s="142" t="str">
        <f t="shared" si="77"/>
        <v>AOC</v>
      </c>
      <c r="E213" s="142" t="str">
        <f t="shared" si="77"/>
        <v>4 or 8</v>
      </c>
      <c r="F213" s="143" t="str">
        <f t="shared" si="77"/>
        <v>QSFP-DD, OSFP, QSFP112</v>
      </c>
      <c r="G213" s="46">
        <v>0</v>
      </c>
      <c r="H213" s="46">
        <v>0</v>
      </c>
      <c r="I213" s="46">
        <v>0</v>
      </c>
      <c r="J213" s="46"/>
      <c r="K213" s="46"/>
      <c r="L213" s="46"/>
      <c r="M213" s="46"/>
      <c r="N213" s="46"/>
      <c r="O213" s="46"/>
      <c r="P213" s="46"/>
    </row>
    <row r="214" spans="1:16" ht="14">
      <c r="B214" s="145" t="str">
        <f t="shared" si="77"/>
        <v>50-56G, 100G</v>
      </c>
      <c r="C214" s="142" t="str">
        <f t="shared" si="77"/>
        <v>400G, 2x200G</v>
      </c>
      <c r="D214" s="142" t="str">
        <f t="shared" si="77"/>
        <v>AOC</v>
      </c>
      <c r="E214" s="142" t="str">
        <f t="shared" si="77"/>
        <v>4:1 or 8:1</v>
      </c>
      <c r="F214" s="143" t="str">
        <f t="shared" si="77"/>
        <v>QSFP-DD, OSFP, QSFP112</v>
      </c>
      <c r="G214" s="46">
        <v>0</v>
      </c>
      <c r="H214" s="46">
        <v>0</v>
      </c>
      <c r="I214" s="46">
        <v>0</v>
      </c>
      <c r="J214" s="46"/>
      <c r="K214" s="46"/>
      <c r="L214" s="46"/>
      <c r="M214" s="46"/>
      <c r="N214" s="46"/>
      <c r="O214" s="46"/>
      <c r="P214" s="46"/>
    </row>
    <row r="215" spans="1:16" ht="14">
      <c r="B215" s="365" t="str">
        <f t="shared" ref="B215:F215" si="78">B94</f>
        <v>100G</v>
      </c>
      <c r="C215" s="366" t="str">
        <f t="shared" si="78"/>
        <v>800G</v>
      </c>
      <c r="D215" s="366" t="str">
        <f t="shared" si="78"/>
        <v>AOC</v>
      </c>
      <c r="E215" s="366">
        <f t="shared" si="78"/>
        <v>8</v>
      </c>
      <c r="F215" s="367" t="str">
        <f t="shared" si="78"/>
        <v xml:space="preserve">QSFP-DD800, OSFP </v>
      </c>
      <c r="G215" s="368">
        <v>0</v>
      </c>
      <c r="H215" s="368">
        <v>0</v>
      </c>
      <c r="I215" s="368">
        <v>0</v>
      </c>
      <c r="J215" s="368"/>
      <c r="K215" s="368"/>
      <c r="L215" s="368"/>
      <c r="M215" s="368"/>
      <c r="N215" s="368"/>
      <c r="O215" s="368"/>
      <c r="P215" s="368"/>
    </row>
    <row r="216" spans="1:16" ht="14">
      <c r="B216" s="145" t="str">
        <f t="shared" ref="B216:B224" si="79">B95</f>
        <v>400 Gbps</v>
      </c>
      <c r="C216" s="142"/>
      <c r="D216" s="142" t="str">
        <f t="shared" ref="D216:F224" si="80">D95</f>
        <v>CPO</v>
      </c>
      <c r="E216" s="142" t="str">
        <f t="shared" si="80"/>
        <v>30m</v>
      </c>
      <c r="F216" s="143" t="str">
        <f t="shared" si="80"/>
        <v>TBD</v>
      </c>
      <c r="G216" s="54">
        <v>0</v>
      </c>
      <c r="H216" s="54">
        <v>0</v>
      </c>
      <c r="I216" s="54">
        <v>0</v>
      </c>
      <c r="J216" s="54"/>
      <c r="K216" s="54"/>
      <c r="L216" s="54"/>
      <c r="M216" s="54"/>
      <c r="N216" s="54"/>
      <c r="O216" s="54"/>
      <c r="P216" s="54"/>
    </row>
    <row r="217" spans="1:16" ht="14">
      <c r="B217" s="145" t="str">
        <f t="shared" si="79"/>
        <v>400 Gbps</v>
      </c>
      <c r="C217" s="142"/>
      <c r="D217" s="142" t="str">
        <f t="shared" si="80"/>
        <v>CPO</v>
      </c>
      <c r="E217" s="142" t="str">
        <f t="shared" si="80"/>
        <v>100 m</v>
      </c>
      <c r="F217" s="143" t="str">
        <f t="shared" si="80"/>
        <v>TBD</v>
      </c>
      <c r="G217" s="54">
        <v>0</v>
      </c>
      <c r="H217" s="54">
        <v>0</v>
      </c>
      <c r="I217" s="54">
        <v>0</v>
      </c>
      <c r="J217" s="54"/>
      <c r="K217" s="54"/>
      <c r="L217" s="54"/>
      <c r="M217" s="54"/>
      <c r="N217" s="54"/>
      <c r="O217" s="54"/>
      <c r="P217" s="54"/>
    </row>
    <row r="218" spans="1:16" ht="14">
      <c r="B218" s="145" t="str">
        <f t="shared" si="79"/>
        <v>400 Gbps</v>
      </c>
      <c r="C218" s="142"/>
      <c r="D218" s="142" t="str">
        <f t="shared" si="80"/>
        <v>CPO</v>
      </c>
      <c r="E218" s="142" t="str">
        <f t="shared" si="80"/>
        <v>500 m</v>
      </c>
      <c r="F218" s="143" t="str">
        <f t="shared" si="80"/>
        <v>TBD</v>
      </c>
      <c r="G218" s="54">
        <v>0</v>
      </c>
      <c r="H218" s="54">
        <v>0</v>
      </c>
      <c r="I218" s="54">
        <v>0</v>
      </c>
      <c r="J218" s="54"/>
      <c r="K218" s="54"/>
      <c r="L218" s="54"/>
      <c r="M218" s="54"/>
      <c r="N218" s="54"/>
      <c r="O218" s="54"/>
      <c r="P218" s="54"/>
    </row>
    <row r="219" spans="1:16" ht="14">
      <c r="B219" s="145" t="str">
        <f t="shared" si="79"/>
        <v>800 Gbps</v>
      </c>
      <c r="C219" s="142"/>
      <c r="D219" s="142" t="str">
        <f t="shared" si="80"/>
        <v>CPO</v>
      </c>
      <c r="E219" s="142" t="str">
        <f t="shared" si="80"/>
        <v>30m</v>
      </c>
      <c r="F219" s="143" t="str">
        <f t="shared" si="80"/>
        <v>TBD</v>
      </c>
      <c r="G219" s="54">
        <v>0</v>
      </c>
      <c r="H219" s="54">
        <v>0</v>
      </c>
      <c r="I219" s="54">
        <v>0</v>
      </c>
      <c r="J219" s="54"/>
      <c r="K219" s="54"/>
      <c r="L219" s="54"/>
      <c r="M219" s="54"/>
      <c r="N219" s="54"/>
      <c r="O219" s="54"/>
      <c r="P219" s="54"/>
    </row>
    <row r="220" spans="1:16" ht="14">
      <c r="B220" s="145" t="str">
        <f t="shared" si="79"/>
        <v>800 Gbps</v>
      </c>
      <c r="C220" s="142"/>
      <c r="D220" s="142" t="str">
        <f t="shared" si="80"/>
        <v>CPO</v>
      </c>
      <c r="E220" s="142" t="str">
        <f t="shared" si="80"/>
        <v>100 m</v>
      </c>
      <c r="F220" s="143" t="str">
        <f t="shared" si="80"/>
        <v>TBD</v>
      </c>
      <c r="G220" s="54">
        <v>0</v>
      </c>
      <c r="H220" s="54">
        <v>0</v>
      </c>
      <c r="I220" s="54">
        <v>0</v>
      </c>
      <c r="J220" s="54"/>
      <c r="K220" s="54"/>
      <c r="L220" s="54"/>
      <c r="M220" s="54"/>
      <c r="N220" s="54"/>
      <c r="O220" s="54"/>
      <c r="P220" s="54"/>
    </row>
    <row r="221" spans="1:16" ht="14">
      <c r="B221" s="145" t="str">
        <f t="shared" si="79"/>
        <v>800 Gbps</v>
      </c>
      <c r="C221" s="142"/>
      <c r="D221" s="142" t="str">
        <f t="shared" si="80"/>
        <v>CPO</v>
      </c>
      <c r="E221" s="142" t="str">
        <f t="shared" si="80"/>
        <v>500 m</v>
      </c>
      <c r="F221" s="143" t="str">
        <f t="shared" si="80"/>
        <v>TBD</v>
      </c>
      <c r="G221" s="54">
        <v>0</v>
      </c>
      <c r="H221" s="54">
        <v>0</v>
      </c>
      <c r="I221" s="54">
        <v>0</v>
      </c>
      <c r="J221" s="54"/>
      <c r="K221" s="54"/>
      <c r="L221" s="54"/>
      <c r="M221" s="54"/>
      <c r="N221" s="54"/>
      <c r="O221" s="54"/>
      <c r="P221" s="54"/>
    </row>
    <row r="222" spans="1:16" ht="14">
      <c r="B222" s="145" t="str">
        <f t="shared" si="79"/>
        <v>1.6 Tbps</v>
      </c>
      <c r="C222" s="142"/>
      <c r="D222" s="142" t="str">
        <f t="shared" si="80"/>
        <v>CPO</v>
      </c>
      <c r="E222" s="142" t="str">
        <f t="shared" si="80"/>
        <v>30m</v>
      </c>
      <c r="F222" s="143" t="str">
        <f t="shared" si="80"/>
        <v>TBD</v>
      </c>
      <c r="G222" s="54">
        <v>0</v>
      </c>
      <c r="H222" s="54">
        <v>0</v>
      </c>
      <c r="I222" s="54">
        <v>0</v>
      </c>
      <c r="J222" s="54"/>
      <c r="K222" s="54"/>
      <c r="L222" s="54"/>
      <c r="M222" s="54"/>
      <c r="N222" s="54"/>
      <c r="O222" s="54"/>
      <c r="P222" s="54"/>
    </row>
    <row r="223" spans="1:16" ht="14">
      <c r="B223" s="145" t="str">
        <f t="shared" si="79"/>
        <v>1.6 Tbps</v>
      </c>
      <c r="C223" s="142"/>
      <c r="D223" s="142" t="str">
        <f t="shared" si="80"/>
        <v>CPO</v>
      </c>
      <c r="E223" s="142" t="str">
        <f t="shared" si="80"/>
        <v>100 m</v>
      </c>
      <c r="F223" s="143" t="str">
        <f t="shared" si="80"/>
        <v>TBD</v>
      </c>
      <c r="G223" s="46">
        <v>0</v>
      </c>
      <c r="H223" s="46">
        <v>0</v>
      </c>
      <c r="I223" s="46">
        <v>0</v>
      </c>
      <c r="J223" s="46"/>
      <c r="K223" s="46"/>
      <c r="L223" s="46"/>
      <c r="M223" s="46"/>
      <c r="N223" s="46"/>
      <c r="O223" s="46"/>
      <c r="P223" s="46"/>
    </row>
    <row r="224" spans="1:16" ht="14">
      <c r="B224" s="145" t="str">
        <f t="shared" si="79"/>
        <v>1.6 Tbps</v>
      </c>
      <c r="C224" s="142"/>
      <c r="D224" s="142" t="str">
        <f t="shared" si="80"/>
        <v>CPO</v>
      </c>
      <c r="E224" s="142" t="str">
        <f t="shared" si="80"/>
        <v>500 m</v>
      </c>
      <c r="F224" s="143" t="str">
        <f t="shared" si="80"/>
        <v>TBD</v>
      </c>
      <c r="G224" s="46">
        <v>0</v>
      </c>
      <c r="H224" s="46">
        <v>0</v>
      </c>
      <c r="I224" s="46">
        <v>0</v>
      </c>
      <c r="J224" s="46"/>
      <c r="K224" s="46"/>
      <c r="L224" s="46"/>
      <c r="M224" s="46"/>
      <c r="N224" s="46"/>
      <c r="O224" s="46"/>
      <c r="P224" s="46"/>
    </row>
    <row r="225" spans="2:16" ht="14">
      <c r="B225" s="161" t="s">
        <v>25</v>
      </c>
      <c r="C225" s="112" t="str">
        <f>C151</f>
        <v>All</v>
      </c>
      <c r="D225" s="112" t="str">
        <f>D151</f>
        <v>All</v>
      </c>
      <c r="E225" s="144" t="str">
        <f>E151</f>
        <v>All</v>
      </c>
      <c r="F225" s="104" t="str">
        <f>F151</f>
        <v>All</v>
      </c>
      <c r="G225" s="152">
        <f t="shared" ref="G225:I225" si="81">SUM(G196:G224)</f>
        <v>2114349.9726205696</v>
      </c>
      <c r="H225" s="152">
        <f t="shared" si="81"/>
        <v>3816843.8699999996</v>
      </c>
      <c r="I225" s="152">
        <f t="shared" si="81"/>
        <v>5895340.375</v>
      </c>
      <c r="J225" s="152"/>
      <c r="K225" s="152"/>
      <c r="L225" s="152"/>
      <c r="M225" s="152"/>
      <c r="N225" s="152"/>
      <c r="O225" s="152"/>
      <c r="P225" s="152"/>
    </row>
    <row r="227" spans="2:16" ht="14">
      <c r="B227" s="97" t="str">
        <f>B74</f>
        <v>Lane Speed</v>
      </c>
      <c r="C227" s="112" t="str">
        <f>C74</f>
        <v>Agg. Speed</v>
      </c>
      <c r="D227" s="112" t="str">
        <f>D74</f>
        <v>Type</v>
      </c>
      <c r="E227" s="112" t="str">
        <f>E74</f>
        <v>Lanes</v>
      </c>
      <c r="F227" s="113" t="str">
        <f>F74</f>
        <v>Form Factor</v>
      </c>
      <c r="G227" s="87">
        <v>2016</v>
      </c>
      <c r="H227" s="87">
        <v>2017</v>
      </c>
      <c r="I227" s="87">
        <v>2018</v>
      </c>
      <c r="J227" s="87">
        <v>2019</v>
      </c>
      <c r="K227" s="87">
        <v>2020</v>
      </c>
      <c r="L227" s="87">
        <v>2021</v>
      </c>
      <c r="M227" s="87">
        <v>2022</v>
      </c>
      <c r="N227" s="87">
        <v>2023</v>
      </c>
      <c r="O227" s="87">
        <v>2024</v>
      </c>
      <c r="P227" s="87">
        <v>2025</v>
      </c>
    </row>
    <row r="228" spans="2:16" ht="14">
      <c r="B228" s="105" t="str">
        <f t="shared" ref="B228:F232" si="82">B187</f>
        <v>All</v>
      </c>
      <c r="C228" s="93" t="str">
        <f t="shared" si="82"/>
        <v>All</v>
      </c>
      <c r="D228" s="93" t="str">
        <f t="shared" si="82"/>
        <v>AOC</v>
      </c>
      <c r="E228" s="93" t="str">
        <f t="shared" si="82"/>
        <v>Single</v>
      </c>
      <c r="F228" s="107" t="str">
        <f t="shared" si="82"/>
        <v>All</v>
      </c>
      <c r="G228" s="54">
        <f t="shared" ref="G228:I228" si="83">G196+G203+G210</f>
        <v>1664178</v>
      </c>
      <c r="H228" s="54">
        <f t="shared" si="83"/>
        <v>3402357</v>
      </c>
      <c r="I228" s="54">
        <f t="shared" si="83"/>
        <v>5281751</v>
      </c>
      <c r="J228" s="54"/>
      <c r="K228" s="54"/>
      <c r="L228" s="54"/>
      <c r="M228" s="54"/>
      <c r="N228" s="54"/>
      <c r="O228" s="54"/>
      <c r="P228" s="54"/>
    </row>
    <row r="229" spans="2:16" ht="14">
      <c r="B229" s="106" t="str">
        <f t="shared" si="82"/>
        <v>All</v>
      </c>
      <c r="C229" s="89" t="str">
        <f t="shared" si="82"/>
        <v>All</v>
      </c>
      <c r="D229" s="89" t="str">
        <f t="shared" si="82"/>
        <v>AOC/XCVR</v>
      </c>
      <c r="E229" s="89" t="str">
        <f t="shared" si="82"/>
        <v>Multi-</v>
      </c>
      <c r="F229" s="108" t="str">
        <f t="shared" si="82"/>
        <v>All</v>
      </c>
      <c r="G229" s="54">
        <f t="shared" ref="G229:I229" si="84">G197+G199+G200+G201+G202+G204+G206+G207+G209+G211+G198+G205+G213+G215+G214</f>
        <v>428971.97262056964</v>
      </c>
      <c r="H229" s="54">
        <f t="shared" si="84"/>
        <v>355441.37</v>
      </c>
      <c r="I229" s="54">
        <f t="shared" si="84"/>
        <v>517152.77499999997</v>
      </c>
      <c r="J229" s="54"/>
      <c r="K229" s="54"/>
      <c r="L229" s="54"/>
      <c r="M229" s="54"/>
      <c r="N229" s="54"/>
      <c r="O229" s="54"/>
      <c r="P229" s="54"/>
    </row>
    <row r="230" spans="2:16" ht="14">
      <c r="B230" s="106" t="str">
        <f t="shared" si="82"/>
        <v>All</v>
      </c>
      <c r="C230" s="89" t="str">
        <f t="shared" si="82"/>
        <v>All</v>
      </c>
      <c r="D230" s="89" t="str">
        <f t="shared" si="82"/>
        <v>EOM</v>
      </c>
      <c r="E230" s="89" t="str">
        <f t="shared" si="82"/>
        <v>All</v>
      </c>
      <c r="F230" s="108" t="str">
        <f t="shared" si="82"/>
        <v>Non-COBO</v>
      </c>
      <c r="G230" s="54">
        <f>+G208+G212</f>
        <v>21200</v>
      </c>
      <c r="H230" s="54">
        <f t="shared" ref="H230:I230" si="85">+H208+H212</f>
        <v>59045.499999999985</v>
      </c>
      <c r="I230" s="54">
        <f t="shared" si="85"/>
        <v>96436.6</v>
      </c>
      <c r="J230" s="54"/>
      <c r="K230" s="54"/>
      <c r="L230" s="54"/>
      <c r="M230" s="54"/>
      <c r="N230" s="54"/>
      <c r="O230" s="54"/>
      <c r="P230" s="54"/>
    </row>
    <row r="231" spans="2:16" ht="14">
      <c r="B231" s="106" t="str">
        <f t="shared" si="82"/>
        <v>All</v>
      </c>
      <c r="C231" s="89" t="str">
        <f t="shared" si="82"/>
        <v>All</v>
      </c>
      <c r="D231" s="89" t="str">
        <f t="shared" si="82"/>
        <v>Chiplet</v>
      </c>
      <c r="E231" s="89" t="str">
        <f t="shared" si="82"/>
        <v>All</v>
      </c>
      <c r="F231" s="108" t="str">
        <f t="shared" si="82"/>
        <v>TBD</v>
      </c>
      <c r="G231" s="54">
        <f t="shared" ref="G231:I231" si="86">SUM(G216:G224)</f>
        <v>0</v>
      </c>
      <c r="H231" s="54">
        <f t="shared" si="86"/>
        <v>0</v>
      </c>
      <c r="I231" s="54">
        <f t="shared" si="86"/>
        <v>0</v>
      </c>
      <c r="J231" s="54"/>
      <c r="K231" s="54"/>
      <c r="L231" s="54"/>
      <c r="M231" s="54"/>
      <c r="N231" s="54"/>
      <c r="O231" s="54"/>
      <c r="P231" s="54"/>
    </row>
    <row r="232" spans="2:16" ht="14">
      <c r="B232" s="99" t="str">
        <f t="shared" si="82"/>
        <v>Total</v>
      </c>
      <c r="C232" s="112" t="str">
        <f t="shared" si="82"/>
        <v>All</v>
      </c>
      <c r="D232" s="112" t="str">
        <f t="shared" si="82"/>
        <v>All</v>
      </c>
      <c r="E232" s="144" t="str">
        <f t="shared" si="82"/>
        <v>All</v>
      </c>
      <c r="F232" s="104" t="str">
        <f t="shared" si="82"/>
        <v>All</v>
      </c>
      <c r="G232" s="96">
        <f t="shared" ref="G232:I232" si="87">SUM(G228:G231)</f>
        <v>2114349.9726205696</v>
      </c>
      <c r="H232" s="96">
        <f t="shared" si="87"/>
        <v>3816843.87</v>
      </c>
      <c r="I232" s="96">
        <f t="shared" si="87"/>
        <v>5895340.375</v>
      </c>
      <c r="J232" s="96"/>
      <c r="K232" s="96"/>
      <c r="L232" s="96"/>
      <c r="M232" s="96"/>
      <c r="N232" s="96"/>
      <c r="O232" s="96"/>
      <c r="P232" s="96"/>
    </row>
    <row r="234" spans="2:16" ht="14">
      <c r="B234" s="16"/>
      <c r="C234" s="16"/>
      <c r="D234" s="16"/>
      <c r="E234" s="16"/>
      <c r="F234" s="16"/>
      <c r="G234" s="11"/>
      <c r="H234" s="11"/>
      <c r="I234" s="11"/>
      <c r="J234" s="11"/>
      <c r="K234" s="11"/>
      <c r="L234" s="11"/>
      <c r="M234" s="11"/>
      <c r="N234" s="11"/>
      <c r="O234" s="21"/>
      <c r="P234" s="21"/>
    </row>
    <row r="235" spans="2:16" ht="21">
      <c r="B235" s="23" t="s">
        <v>138</v>
      </c>
      <c r="C235" s="23"/>
      <c r="D235" s="23"/>
      <c r="E235" s="23"/>
      <c r="F235" s="23"/>
      <c r="G235" s="11"/>
      <c r="H235" s="11"/>
      <c r="I235" s="11"/>
      <c r="J235" s="11"/>
      <c r="K235" s="11"/>
      <c r="L235" s="26"/>
      <c r="M235" s="26"/>
      <c r="N235" s="26"/>
      <c r="O235" s="253"/>
      <c r="P235" s="253"/>
    </row>
    <row r="236" spans="2:16" ht="14">
      <c r="B236" s="92" t="str">
        <f>B74</f>
        <v>Lane Speed</v>
      </c>
      <c r="C236" s="156" t="str">
        <f>C74</f>
        <v>Agg. Speed</v>
      </c>
      <c r="D236" s="156" t="str">
        <f>D74</f>
        <v>Type</v>
      </c>
      <c r="E236" s="156" t="str">
        <f>E74</f>
        <v>Lanes</v>
      </c>
      <c r="F236" s="157" t="str">
        <f>F74</f>
        <v>Form Factor</v>
      </c>
      <c r="G236" s="91">
        <v>2016</v>
      </c>
      <c r="H236" s="91">
        <v>2017</v>
      </c>
      <c r="I236" s="91">
        <v>2018</v>
      </c>
      <c r="J236" s="91">
        <v>2019</v>
      </c>
      <c r="K236" s="91">
        <v>2020</v>
      </c>
      <c r="L236" s="37">
        <v>2021</v>
      </c>
      <c r="M236" s="37">
        <v>2022</v>
      </c>
      <c r="N236" s="37">
        <v>2023</v>
      </c>
      <c r="O236" s="37">
        <v>2024</v>
      </c>
      <c r="P236" s="37">
        <v>2025</v>
      </c>
    </row>
    <row r="237" spans="2:16" ht="14">
      <c r="B237" s="158" t="str">
        <f t="shared" ref="B237:F246" si="88">B196</f>
        <v>≤10G</v>
      </c>
      <c r="C237" s="159" t="str">
        <f t="shared" si="88"/>
        <v>10G</v>
      </c>
      <c r="D237" s="159" t="str">
        <f t="shared" si="88"/>
        <v>AOC</v>
      </c>
      <c r="E237" s="159">
        <f t="shared" si="88"/>
        <v>1</v>
      </c>
      <c r="F237" s="160" t="str">
        <f t="shared" si="88"/>
        <v>SFP+</v>
      </c>
      <c r="G237" s="135">
        <f>IF(G196=0,"",(G196*'Combined forecast'!G48)/10^6)</f>
        <v>40.21456932280806</v>
      </c>
      <c r="H237" s="135">
        <f>IF(H196=0,"",(H196*'Combined forecast'!H48)/10^6)</f>
        <v>60.527746000000008</v>
      </c>
      <c r="I237" s="135">
        <f>IF(I196=0,"",(I196*'Combined forecast'!I48)/10^6)</f>
        <v>66.906791699999971</v>
      </c>
      <c r="J237" s="135"/>
      <c r="K237" s="135"/>
      <c r="L237" s="135"/>
      <c r="M237" s="135"/>
      <c r="N237" s="135"/>
      <c r="O237" s="135"/>
      <c r="P237" s="135"/>
    </row>
    <row r="238" spans="2:16" ht="14">
      <c r="B238" s="145" t="str">
        <f t="shared" si="88"/>
        <v>≤10G</v>
      </c>
      <c r="C238" s="142" t="str">
        <f t="shared" si="88"/>
        <v>40G</v>
      </c>
      <c r="D238" s="142" t="str">
        <f t="shared" si="88"/>
        <v>AOC</v>
      </c>
      <c r="E238" s="142">
        <f t="shared" si="88"/>
        <v>4</v>
      </c>
      <c r="F238" s="143" t="str">
        <f t="shared" si="88"/>
        <v>QSFP+</v>
      </c>
      <c r="G238" s="74">
        <f>IF(G197=0,"",(G197*'Combined forecast'!G49)/10^6)</f>
        <v>32.03227451163373</v>
      </c>
      <c r="H238" s="74">
        <f>IF(H197=0,"",(H197*'Combined forecast'!H49)/10^6)</f>
        <v>19.13333527999999</v>
      </c>
      <c r="I238" s="74">
        <f>IF(I197=0,"",(I197*'Combined forecast'!I49)/10^6)</f>
        <v>24.265313045999999</v>
      </c>
      <c r="J238" s="74"/>
      <c r="K238" s="74"/>
      <c r="L238" s="74"/>
      <c r="M238" s="74"/>
      <c r="N238" s="74"/>
      <c r="O238" s="74"/>
      <c r="P238" s="74"/>
    </row>
    <row r="239" spans="2:16" ht="14">
      <c r="B239" s="145" t="str">
        <f t="shared" si="88"/>
        <v>≤10G</v>
      </c>
      <c r="C239" s="142" t="str">
        <f t="shared" si="88"/>
        <v>40G</v>
      </c>
      <c r="D239" s="142" t="str">
        <f t="shared" si="88"/>
        <v>AOC</v>
      </c>
      <c r="E239" s="142" t="str">
        <f t="shared" si="88"/>
        <v>4:1</v>
      </c>
      <c r="F239" s="143" t="str">
        <f t="shared" si="88"/>
        <v>QSFP+/SFP+</v>
      </c>
      <c r="G239" s="74">
        <f>IF(G198=0,"",(G198*'Combined forecast'!G50)/10^6)</f>
        <v>6.7839999999999998</v>
      </c>
      <c r="H239" s="74">
        <f>IF(H198=0,"",(H198*'Combined forecast'!H50)/10^6)</f>
        <v>5.7350000000000003</v>
      </c>
      <c r="I239" s="74">
        <f>IF(I198=0,"",(I198*'Combined forecast'!I50)/10^6)</f>
        <v>8.5222055171435827</v>
      </c>
      <c r="J239" s="74"/>
      <c r="K239" s="74"/>
      <c r="L239" s="74"/>
      <c r="M239" s="74"/>
      <c r="N239" s="74"/>
      <c r="O239" s="74"/>
      <c r="P239" s="74"/>
    </row>
    <row r="240" spans="2:16" ht="14">
      <c r="B240" s="145" t="str">
        <f t="shared" si="88"/>
        <v>≤12.5G</v>
      </c>
      <c r="C240" s="142" t="str">
        <f t="shared" si="88"/>
        <v>150G</v>
      </c>
      <c r="D240" s="142" t="str">
        <f t="shared" si="88"/>
        <v>AOC</v>
      </c>
      <c r="E240" s="142">
        <f t="shared" si="88"/>
        <v>12</v>
      </c>
      <c r="F240" s="143" t="str">
        <f t="shared" si="88"/>
        <v>CXP</v>
      </c>
      <c r="G240" s="74" t="str">
        <f>IF(G199=0,"",(G199*'Combined forecast'!G51)/10^6)</f>
        <v/>
      </c>
      <c r="H240" s="74" t="str">
        <f>IF(H199=0,"",(H199*'Combined forecast'!H51)/10^6)</f>
        <v/>
      </c>
      <c r="I240" s="74" t="str">
        <f>IF(I199=0,"",(I199*'Combined forecast'!I51)/10^6)</f>
        <v/>
      </c>
      <c r="J240" s="74"/>
      <c r="K240" s="74"/>
      <c r="L240" s="74"/>
      <c r="M240" s="74"/>
      <c r="N240" s="74"/>
      <c r="O240" s="74"/>
      <c r="P240" s="74"/>
    </row>
    <row r="241" spans="1:16" ht="14">
      <c r="B241" s="145" t="str">
        <f t="shared" si="88"/>
        <v>≤12.5G</v>
      </c>
      <c r="C241" s="142" t="str">
        <f t="shared" si="88"/>
        <v>150G</v>
      </c>
      <c r="D241" s="142" t="str">
        <f t="shared" si="88"/>
        <v>XCVR</v>
      </c>
      <c r="E241" s="142">
        <f t="shared" si="88"/>
        <v>12</v>
      </c>
      <c r="F241" s="143" t="str">
        <f t="shared" si="88"/>
        <v>CXP</v>
      </c>
      <c r="G241" s="74" t="str">
        <f>IF(G200=0,"",(G200*'Combined forecast'!G52)/10^6)</f>
        <v/>
      </c>
      <c r="H241" s="74" t="str">
        <f>IF(H200=0,"",(H200*'Combined forecast'!H52)/10^6)</f>
        <v/>
      </c>
      <c r="I241" s="74" t="str">
        <f>IF(I200=0,"",(I200*'Combined forecast'!I52)/10^6)</f>
        <v/>
      </c>
      <c r="J241" s="74"/>
      <c r="K241" s="74"/>
      <c r="L241" s="74"/>
      <c r="M241" s="74"/>
      <c r="N241" s="74"/>
      <c r="O241" s="74"/>
      <c r="P241" s="74"/>
    </row>
    <row r="242" spans="1:16" ht="14">
      <c r="B242" s="145" t="str">
        <f t="shared" si="88"/>
        <v>12-14G</v>
      </c>
      <c r="C242" s="142" t="str">
        <f t="shared" si="88"/>
        <v>56G</v>
      </c>
      <c r="D242" s="142" t="str">
        <f t="shared" si="88"/>
        <v>AOC</v>
      </c>
      <c r="E242" s="142">
        <f t="shared" si="88"/>
        <v>4</v>
      </c>
      <c r="F242" s="143" t="str">
        <f t="shared" si="88"/>
        <v>QSFP+</v>
      </c>
      <c r="G242" s="74" t="str">
        <f>IF(G201=0,"",(G201*'Combined forecast'!G53)/10^6)</f>
        <v/>
      </c>
      <c r="H242" s="74" t="str">
        <f>IF(H201=0,"",(H201*'Combined forecast'!H53)/10^6)</f>
        <v/>
      </c>
      <c r="I242" s="74" t="str">
        <f>IF(I201=0,"",(I201*'Combined forecast'!I53)/10^6)</f>
        <v/>
      </c>
      <c r="J242" s="74"/>
      <c r="K242" s="74"/>
      <c r="L242" s="74"/>
      <c r="M242" s="74"/>
      <c r="N242" s="74"/>
      <c r="O242" s="74"/>
      <c r="P242" s="74"/>
    </row>
    <row r="243" spans="1:16" ht="14">
      <c r="B243" s="145" t="str">
        <f t="shared" si="88"/>
        <v>12G</v>
      </c>
      <c r="C243" s="142" t="str">
        <f t="shared" si="88"/>
        <v>48G</v>
      </c>
      <c r="D243" s="142" t="str">
        <f t="shared" si="88"/>
        <v>AOC</v>
      </c>
      <c r="E243" s="142">
        <f t="shared" si="88"/>
        <v>4</v>
      </c>
      <c r="F243" s="143" t="str">
        <f t="shared" si="88"/>
        <v>Mini-SAS HD</v>
      </c>
      <c r="G243" s="74">
        <f>IF(G202=0,"",(G202*'Combined forecast'!G54)/10^6)</f>
        <v>3.9167999999999998</v>
      </c>
      <c r="H243" s="74">
        <f>IF(H202=0,"",(H202*'Combined forecast'!H54)/10^6)</f>
        <v>4.3700454545454539</v>
      </c>
      <c r="I243" s="74">
        <f>IF(I202=0,"",(I202*'Combined forecast'!I54)/10^6)</f>
        <v>5.0285454545454549</v>
      </c>
      <c r="J243" s="74"/>
      <c r="K243" s="74"/>
      <c r="L243" s="74"/>
      <c r="M243" s="74"/>
      <c r="N243" s="74"/>
      <c r="O243" s="74"/>
      <c r="P243" s="74"/>
    </row>
    <row r="244" spans="1:16" ht="14">
      <c r="B244" s="145" t="str">
        <f t="shared" si="88"/>
        <v>25-28G</v>
      </c>
      <c r="C244" s="142" t="str">
        <f t="shared" si="88"/>
        <v>25G</v>
      </c>
      <c r="D244" s="142" t="str">
        <f t="shared" si="88"/>
        <v>AOC</v>
      </c>
      <c r="E244" s="142">
        <f t="shared" si="88"/>
        <v>1</v>
      </c>
      <c r="F244" s="143" t="str">
        <f t="shared" si="88"/>
        <v>SFP28</v>
      </c>
      <c r="G244" s="74">
        <f>IF(G203=0,"",(G203*'Combined forecast'!G55)/10^6)</f>
        <v>1.1000000000000001</v>
      </c>
      <c r="H244" s="74">
        <f>IF(H203=0,"",(H203*'Combined forecast'!H55)/10^6)</f>
        <v>13.144417999999996</v>
      </c>
      <c r="I244" s="74">
        <f>IF(I203=0,"",(I203*'Combined forecast'!I55)/10^6)</f>
        <v>52.011518000000002</v>
      </c>
      <c r="J244" s="74"/>
      <c r="K244" s="74"/>
      <c r="L244" s="74"/>
      <c r="M244" s="74"/>
      <c r="N244" s="74"/>
      <c r="O244" s="74"/>
      <c r="P244" s="74"/>
    </row>
    <row r="245" spans="1:16" ht="14">
      <c r="B245" s="145" t="str">
        <f t="shared" si="88"/>
        <v>25-28G, 50G, 100G</v>
      </c>
      <c r="C245" s="142" t="str">
        <f t="shared" si="88"/>
        <v>100G</v>
      </c>
      <c r="D245" s="142" t="str">
        <f t="shared" si="88"/>
        <v>AOC</v>
      </c>
      <c r="E245" s="142" t="str">
        <f t="shared" si="88"/>
        <v>1, 2, or 4</v>
      </c>
      <c r="F245" s="143" t="str">
        <f t="shared" si="88"/>
        <v>QSFP28, SFP-DD, SFP112</v>
      </c>
      <c r="G245" s="74">
        <f>IF(G204=0,"",(G204*'Combined forecast'!G56)/10^6)</f>
        <v>23.52</v>
      </c>
      <c r="H245" s="74">
        <f>IF(H204=0,"",(H204*'Combined forecast'!H56)/10^6)</f>
        <v>24.077181600000003</v>
      </c>
      <c r="I245" s="74">
        <f>IF(I204=0,"",(I204*'Combined forecast'!I56)/10^6)</f>
        <v>22.133274262322608</v>
      </c>
      <c r="J245" s="74"/>
      <c r="K245" s="74"/>
      <c r="L245" s="74"/>
      <c r="M245" s="74"/>
      <c r="N245" s="74"/>
      <c r="O245" s="74"/>
      <c r="P245" s="74"/>
    </row>
    <row r="246" spans="1:16" ht="14">
      <c r="B246" s="145" t="str">
        <f t="shared" si="88"/>
        <v>25-28G</v>
      </c>
      <c r="C246" s="142" t="str">
        <f t="shared" si="88"/>
        <v>100G</v>
      </c>
      <c r="D246" s="142" t="str">
        <f t="shared" si="88"/>
        <v>AOC</v>
      </c>
      <c r="E246" s="142" t="str">
        <f t="shared" si="88"/>
        <v>4:1</v>
      </c>
      <c r="F246" s="143" t="str">
        <f t="shared" si="88"/>
        <v>QSFP28/SFP28</v>
      </c>
      <c r="G246" s="74" t="str">
        <f>IF(G205=0,"",(G205*'Combined forecast'!G57)/10^6)</f>
        <v/>
      </c>
      <c r="H246" s="74">
        <f>IF(H205=0,"",(H205*'Combined forecast'!H57)/10^6)</f>
        <v>1.2250000000000001</v>
      </c>
      <c r="I246" s="74">
        <f>IF(I205=0,"",(I205*'Combined forecast'!I57)/10^6)</f>
        <v>0.78329000000000004</v>
      </c>
      <c r="J246" s="74"/>
      <c r="K246" s="74"/>
      <c r="L246" s="74"/>
      <c r="M246" s="74"/>
      <c r="N246" s="74"/>
      <c r="O246" s="74"/>
      <c r="P246" s="74"/>
    </row>
    <row r="247" spans="1:16" ht="14">
      <c r="B247" s="145" t="str">
        <f t="shared" ref="B247:F256" si="89">B206</f>
        <v>24G</v>
      </c>
      <c r="C247" s="142" t="str">
        <f t="shared" si="89"/>
        <v>96G</v>
      </c>
      <c r="D247" s="142" t="str">
        <f t="shared" si="89"/>
        <v>AOC</v>
      </c>
      <c r="E247" s="142">
        <f t="shared" si="89"/>
        <v>4</v>
      </c>
      <c r="F247" s="143" t="str">
        <f t="shared" si="89"/>
        <v>Mini-SAS HD</v>
      </c>
      <c r="G247" s="74" t="str">
        <f>IF(G206=0,"",(G206*'Combined forecast'!G58)/10^6)</f>
        <v/>
      </c>
      <c r="H247" s="74" t="str">
        <f>IF(H206=0,"",(H206*'Combined forecast'!H58)/10^6)</f>
        <v/>
      </c>
      <c r="I247" s="74" t="str">
        <f>IF(I206=0,"",(I206*'Combined forecast'!I58)/10^6)</f>
        <v/>
      </c>
      <c r="J247" s="74"/>
      <c r="K247" s="74"/>
      <c r="L247" s="74"/>
      <c r="M247" s="74"/>
      <c r="N247" s="74"/>
      <c r="O247" s="74"/>
      <c r="P247" s="74"/>
    </row>
    <row r="248" spans="1:16" ht="14">
      <c r="B248" s="145" t="str">
        <f t="shared" si="89"/>
        <v>25-28G</v>
      </c>
      <c r="C248" s="142" t="str">
        <f t="shared" si="89"/>
        <v>300G</v>
      </c>
      <c r="D248" s="142" t="str">
        <f t="shared" si="89"/>
        <v>AOC</v>
      </c>
      <c r="E248" s="142">
        <f t="shared" si="89"/>
        <v>12</v>
      </c>
      <c r="F248" s="143" t="str">
        <f t="shared" si="89"/>
        <v>CXP28</v>
      </c>
      <c r="G248" s="74" t="str">
        <f>IF(G207=0,"",(G207*'Combined forecast'!G59)/10^6)</f>
        <v/>
      </c>
      <c r="H248" s="74" t="str">
        <f>IF(H207=0,"",(H207*'Combined forecast'!H59)/10^6)</f>
        <v/>
      </c>
      <c r="I248" s="74" t="str">
        <f>IF(I207=0,"",(I207*'Combined forecast'!I59)/10^6)</f>
        <v/>
      </c>
      <c r="J248" s="74"/>
      <c r="K248" s="74"/>
      <c r="L248" s="74"/>
      <c r="M248" s="74"/>
      <c r="N248" s="74"/>
      <c r="O248" s="74"/>
      <c r="P248" s="74"/>
    </row>
    <row r="249" spans="1:16" ht="14">
      <c r="B249" s="145" t="str">
        <f t="shared" si="89"/>
        <v>25-28G</v>
      </c>
      <c r="C249" s="142" t="str">
        <f t="shared" si="89"/>
        <v>100G-600G</v>
      </c>
      <c r="D249" s="142" t="str">
        <f t="shared" si="89"/>
        <v>EOM</v>
      </c>
      <c r="E249" s="142" t="str">
        <f t="shared" si="89"/>
        <v>4,8,12,16,24</v>
      </c>
      <c r="F249" s="143" t="str">
        <f t="shared" si="89"/>
        <v>XCVR</v>
      </c>
      <c r="G249" s="74">
        <f>IF(G208=0,"",(G208*'Combined forecast'!G60)/10^6)</f>
        <v>9.7155998471150689</v>
      </c>
      <c r="H249" s="74">
        <f>IF(H208=0,"",(H208*'Combined forecast'!H60)/10^6)</f>
        <v>24.740064499999992</v>
      </c>
      <c r="I249" s="74">
        <f>IF(I208=0,"",(I208*'Combined forecast'!I60)/10^6)</f>
        <v>36.356598200000001</v>
      </c>
      <c r="J249" s="74"/>
      <c r="K249" s="74"/>
      <c r="L249" s="74"/>
      <c r="M249" s="74"/>
      <c r="N249" s="74"/>
      <c r="O249" s="74"/>
      <c r="P249" s="74"/>
    </row>
    <row r="250" spans="1:16" ht="14">
      <c r="B250" s="145" t="str">
        <f t="shared" si="89"/>
        <v>25-28G</v>
      </c>
      <c r="C250" s="142" t="str">
        <f t="shared" si="89"/>
        <v>300G</v>
      </c>
      <c r="D250" s="142" t="str">
        <f t="shared" si="89"/>
        <v>XCVR</v>
      </c>
      <c r="E250" s="142">
        <f t="shared" si="89"/>
        <v>12</v>
      </c>
      <c r="F250" s="143" t="str">
        <f t="shared" si="89"/>
        <v>CXP28</v>
      </c>
      <c r="G250" s="74" t="str">
        <f>IF(G209=0,"",(G209*'Combined forecast'!G61)/10^6)</f>
        <v/>
      </c>
      <c r="H250" s="74" t="str">
        <f>IF(H209=0,"",(H209*'Combined forecast'!H61)/10^6)</f>
        <v/>
      </c>
      <c r="I250" s="74" t="str">
        <f>IF(I209=0,"",(I209*'Combined forecast'!I61)/10^6)</f>
        <v/>
      </c>
      <c r="J250" s="74"/>
      <c r="K250" s="74"/>
      <c r="L250" s="74"/>
      <c r="M250" s="74"/>
      <c r="N250" s="74"/>
      <c r="O250" s="74"/>
      <c r="P250" s="74"/>
    </row>
    <row r="251" spans="1:16" ht="14">
      <c r="A251" s="55"/>
      <c r="B251" s="145" t="str">
        <f t="shared" si="89"/>
        <v>50-56G</v>
      </c>
      <c r="C251" s="142" t="str">
        <f t="shared" si="89"/>
        <v>50G</v>
      </c>
      <c r="D251" s="142" t="str">
        <f t="shared" si="89"/>
        <v>AOC</v>
      </c>
      <c r="E251" s="142">
        <f t="shared" si="89"/>
        <v>1</v>
      </c>
      <c r="F251" s="143" t="str">
        <f t="shared" si="89"/>
        <v>SFP56</v>
      </c>
      <c r="G251" s="74" t="str">
        <f>IF(G210=0,"",(G210*'Combined forecast'!G62)/10^6)</f>
        <v/>
      </c>
      <c r="H251" s="74" t="str">
        <f>IF(H210=0,"",(H210*'Combined forecast'!H62)/10^6)</f>
        <v/>
      </c>
      <c r="I251" s="74" t="str">
        <f>IF(I210=0,"",(I210*'Combined forecast'!I62)/10^6)</f>
        <v/>
      </c>
      <c r="J251" s="74"/>
      <c r="K251" s="74"/>
      <c r="L251" s="74"/>
      <c r="M251" s="74"/>
      <c r="N251" s="74"/>
      <c r="O251" s="74"/>
      <c r="P251" s="74"/>
    </row>
    <row r="252" spans="1:16" ht="14">
      <c r="A252" s="55"/>
      <c r="B252" s="145" t="str">
        <f t="shared" si="89"/>
        <v>50-56G</v>
      </c>
      <c r="C252" s="142" t="str">
        <f t="shared" si="89"/>
        <v>200G</v>
      </c>
      <c r="D252" s="142" t="str">
        <f t="shared" si="89"/>
        <v>AOC</v>
      </c>
      <c r="E252" s="142">
        <f t="shared" si="89"/>
        <v>4</v>
      </c>
      <c r="F252" s="143" t="str">
        <f t="shared" si="89"/>
        <v>QSFP56</v>
      </c>
      <c r="G252" s="74" t="str">
        <f>IF(G211=0,"",(G211*'Combined forecast'!G63)/10^6)</f>
        <v/>
      </c>
      <c r="H252" s="74" t="str">
        <f>IF(H211=0,"",(H211*'Combined forecast'!H63)/10^6)</f>
        <v/>
      </c>
      <c r="I252" s="74" t="str">
        <f>IF(I211=0,"",(I211*'Combined forecast'!I63)/10^6)</f>
        <v/>
      </c>
      <c r="J252" s="74"/>
      <c r="K252" s="74"/>
      <c r="L252" s="74"/>
      <c r="M252" s="74"/>
      <c r="N252" s="74"/>
      <c r="O252" s="74"/>
      <c r="P252" s="74"/>
    </row>
    <row r="253" spans="1:16" ht="14">
      <c r="A253" s="55"/>
      <c r="B253" s="145" t="str">
        <f t="shared" si="89"/>
        <v>50-56G</v>
      </c>
      <c r="C253" s="142" t="str">
        <f t="shared" si="89"/>
        <v>200G - 1.3T</v>
      </c>
      <c r="D253" s="142" t="str">
        <f t="shared" si="89"/>
        <v>EOM</v>
      </c>
      <c r="E253" s="142" t="str">
        <f t="shared" si="89"/>
        <v>8,12,16,24</v>
      </c>
      <c r="F253" s="143" t="str">
        <f t="shared" si="89"/>
        <v>TBD</v>
      </c>
      <c r="G253" s="74" t="str">
        <f>IF(G212=0,"",(G212*'Combined forecast'!G64)/10^6)</f>
        <v/>
      </c>
      <c r="H253" s="74" t="str">
        <f>IF(H212=0,"",(H212*'Combined forecast'!H64)/10^6)</f>
        <v/>
      </c>
      <c r="I253" s="74" t="str">
        <f>IF(I212=0,"",(I212*'Combined forecast'!I64)/10^6)</f>
        <v/>
      </c>
      <c r="J253" s="74"/>
      <c r="K253" s="74"/>
      <c r="L253" s="74"/>
      <c r="M253" s="74"/>
      <c r="N253" s="74"/>
      <c r="O253" s="74"/>
      <c r="P253" s="74"/>
    </row>
    <row r="254" spans="1:16" ht="14">
      <c r="B254" s="145" t="str">
        <f t="shared" si="89"/>
        <v>50-56G, 100G</v>
      </c>
      <c r="C254" s="142" t="str">
        <f t="shared" si="89"/>
        <v>400G, 2x200G</v>
      </c>
      <c r="D254" s="142" t="str">
        <f t="shared" si="89"/>
        <v>AOC</v>
      </c>
      <c r="E254" s="142" t="str">
        <f t="shared" si="89"/>
        <v>4 or 8</v>
      </c>
      <c r="F254" s="143" t="str">
        <f t="shared" si="89"/>
        <v>QSFP-DD, OSFP, QSFP112</v>
      </c>
      <c r="G254" s="74" t="str">
        <f>IF(G213=0,"",(G213*'Combined forecast'!G65)/10^6)</f>
        <v/>
      </c>
      <c r="H254" s="74" t="str">
        <f>IF(H213=0,"",(H213*'Combined forecast'!H65)/10^6)</f>
        <v/>
      </c>
      <c r="I254" s="74" t="str">
        <f>IF(I213=0,"",(I213*'Combined forecast'!I65)/10^6)</f>
        <v/>
      </c>
      <c r="J254" s="74"/>
      <c r="K254" s="74"/>
      <c r="L254" s="74"/>
      <c r="M254" s="74"/>
      <c r="N254" s="74"/>
      <c r="O254" s="74"/>
      <c r="P254" s="74"/>
    </row>
    <row r="255" spans="1:16" ht="14">
      <c r="B255" s="145" t="str">
        <f t="shared" si="89"/>
        <v>50-56G, 100G</v>
      </c>
      <c r="C255" s="142" t="str">
        <f t="shared" si="89"/>
        <v>400G, 2x200G</v>
      </c>
      <c r="D255" s="142" t="str">
        <f t="shared" si="89"/>
        <v>AOC</v>
      </c>
      <c r="E255" s="142" t="str">
        <f t="shared" si="89"/>
        <v>4:1 or 8:1</v>
      </c>
      <c r="F255" s="143" t="str">
        <f t="shared" si="89"/>
        <v>QSFP-DD, OSFP, QSFP112</v>
      </c>
      <c r="G255" s="74" t="str">
        <f>IF(G214=0,"",(G214*'Combined forecast'!G66)/10^6)</f>
        <v/>
      </c>
      <c r="H255" s="74" t="str">
        <f>IF(H214=0,"",(H214*'Combined forecast'!H66)/10^6)</f>
        <v/>
      </c>
      <c r="I255" s="74" t="str">
        <f>IF(I214=0,"",(I214*'Combined forecast'!I66)/10^6)</f>
        <v/>
      </c>
      <c r="J255" s="74"/>
      <c r="K255" s="74"/>
      <c r="L255" s="74"/>
      <c r="M255" s="74"/>
      <c r="N255" s="74"/>
      <c r="O255" s="74"/>
      <c r="P255" s="74"/>
    </row>
    <row r="256" spans="1:16" ht="14">
      <c r="B256" s="365" t="str">
        <f t="shared" si="89"/>
        <v>100G</v>
      </c>
      <c r="C256" s="366" t="str">
        <f t="shared" si="89"/>
        <v>800G</v>
      </c>
      <c r="D256" s="366" t="str">
        <f t="shared" si="89"/>
        <v>AOC</v>
      </c>
      <c r="E256" s="366">
        <f t="shared" si="89"/>
        <v>8</v>
      </c>
      <c r="F256" s="367" t="str">
        <f t="shared" si="89"/>
        <v xml:space="preserve">QSFP-DD800, OSFP </v>
      </c>
      <c r="G256" s="368" t="str">
        <f>IF(G218=0,"",(G218*'Combined forecast'!G70)/10^6)</f>
        <v/>
      </c>
      <c r="H256" s="368" t="str">
        <f>IF(H218=0,"",(H218*'Combined forecast'!H70)/10^6)</f>
        <v/>
      </c>
      <c r="I256" s="368" t="str">
        <f>IF(I218=0,"",(I218*'Combined forecast'!I70)/10^6)</f>
        <v/>
      </c>
      <c r="J256" s="368"/>
      <c r="K256" s="368"/>
      <c r="L256" s="368"/>
      <c r="M256" s="368"/>
      <c r="N256" s="368"/>
      <c r="O256" s="368"/>
      <c r="P256" s="368"/>
    </row>
    <row r="257" spans="1:16" ht="14">
      <c r="A257" s="55"/>
      <c r="B257" s="145" t="str">
        <f t="shared" ref="B257:F265" si="90">B216</f>
        <v>400 Gbps</v>
      </c>
      <c r="C257" s="142"/>
      <c r="D257" s="142" t="str">
        <f t="shared" si="90"/>
        <v>CPO</v>
      </c>
      <c r="E257" s="142" t="str">
        <f t="shared" si="90"/>
        <v>30m</v>
      </c>
      <c r="F257" s="143" t="str">
        <f t="shared" si="90"/>
        <v>TBD</v>
      </c>
      <c r="G257" s="74"/>
      <c r="H257" s="74"/>
      <c r="I257" s="74"/>
      <c r="J257" s="74"/>
      <c r="K257" s="74"/>
      <c r="L257" s="74"/>
      <c r="M257" s="74"/>
      <c r="N257" s="74"/>
      <c r="O257" s="74"/>
      <c r="P257" s="74"/>
    </row>
    <row r="258" spans="1:16" ht="14">
      <c r="A258" s="55"/>
      <c r="B258" s="145" t="str">
        <f t="shared" si="90"/>
        <v>400 Gbps</v>
      </c>
      <c r="C258" s="142"/>
      <c r="D258" s="142" t="str">
        <f t="shared" si="90"/>
        <v>CPO</v>
      </c>
      <c r="E258" s="142" t="str">
        <f t="shared" si="90"/>
        <v>100 m</v>
      </c>
      <c r="F258" s="143" t="str">
        <f t="shared" si="90"/>
        <v>TBD</v>
      </c>
      <c r="G258" s="74"/>
      <c r="H258" s="74"/>
      <c r="I258" s="74"/>
      <c r="J258" s="74"/>
      <c r="K258" s="74"/>
      <c r="L258" s="74"/>
      <c r="M258" s="74"/>
      <c r="N258" s="74"/>
      <c r="O258" s="74"/>
      <c r="P258" s="74"/>
    </row>
    <row r="259" spans="1:16" ht="14">
      <c r="A259" s="55"/>
      <c r="B259" s="145" t="str">
        <f t="shared" si="90"/>
        <v>400 Gbps</v>
      </c>
      <c r="C259" s="142"/>
      <c r="D259" s="142" t="str">
        <f t="shared" si="90"/>
        <v>CPO</v>
      </c>
      <c r="E259" s="142" t="str">
        <f t="shared" si="90"/>
        <v>500 m</v>
      </c>
      <c r="F259" s="143" t="str">
        <f t="shared" si="90"/>
        <v>TBD</v>
      </c>
      <c r="G259" s="74"/>
      <c r="H259" s="74"/>
      <c r="I259" s="74"/>
      <c r="J259" s="74"/>
      <c r="K259" s="74"/>
      <c r="L259" s="74"/>
      <c r="M259" s="74"/>
      <c r="N259" s="74"/>
      <c r="O259" s="74"/>
      <c r="P259" s="74"/>
    </row>
    <row r="260" spans="1:16" ht="14">
      <c r="A260" s="55"/>
      <c r="B260" s="145" t="str">
        <f t="shared" si="90"/>
        <v>800 Gbps</v>
      </c>
      <c r="C260" s="142"/>
      <c r="D260" s="142" t="str">
        <f t="shared" si="90"/>
        <v>CPO</v>
      </c>
      <c r="E260" s="142" t="str">
        <f t="shared" si="90"/>
        <v>30m</v>
      </c>
      <c r="F260" s="143" t="str">
        <f t="shared" si="90"/>
        <v>TBD</v>
      </c>
      <c r="G260" s="74"/>
      <c r="H260" s="74"/>
      <c r="I260" s="74"/>
      <c r="J260" s="74"/>
      <c r="K260" s="74"/>
      <c r="L260" s="74"/>
      <c r="M260" s="74"/>
      <c r="N260" s="74"/>
      <c r="O260" s="74"/>
      <c r="P260" s="74"/>
    </row>
    <row r="261" spans="1:16" ht="14">
      <c r="A261" s="55"/>
      <c r="B261" s="145" t="str">
        <f t="shared" si="90"/>
        <v>800 Gbps</v>
      </c>
      <c r="C261" s="142"/>
      <c r="D261" s="142" t="str">
        <f t="shared" si="90"/>
        <v>CPO</v>
      </c>
      <c r="E261" s="142" t="str">
        <f t="shared" si="90"/>
        <v>100 m</v>
      </c>
      <c r="F261" s="143" t="str">
        <f t="shared" si="90"/>
        <v>TBD</v>
      </c>
      <c r="G261" s="74"/>
      <c r="H261" s="74"/>
      <c r="I261" s="74"/>
      <c r="J261" s="74"/>
      <c r="K261" s="74"/>
      <c r="L261" s="74"/>
      <c r="M261" s="74"/>
      <c r="N261" s="74"/>
      <c r="O261" s="74"/>
      <c r="P261" s="74"/>
    </row>
    <row r="262" spans="1:16" ht="14">
      <c r="A262" s="55"/>
      <c r="B262" s="145" t="str">
        <f t="shared" si="90"/>
        <v>800 Gbps</v>
      </c>
      <c r="C262" s="142"/>
      <c r="D262" s="142" t="str">
        <f t="shared" si="90"/>
        <v>CPO</v>
      </c>
      <c r="E262" s="142" t="str">
        <f t="shared" si="90"/>
        <v>500 m</v>
      </c>
      <c r="F262" s="143" t="str">
        <f t="shared" si="90"/>
        <v>TBD</v>
      </c>
      <c r="G262" s="74"/>
      <c r="H262" s="74"/>
      <c r="I262" s="74"/>
      <c r="J262" s="74"/>
      <c r="K262" s="74"/>
      <c r="L262" s="74"/>
      <c r="M262" s="74"/>
      <c r="N262" s="74"/>
      <c r="O262" s="74"/>
      <c r="P262" s="74"/>
    </row>
    <row r="263" spans="1:16" ht="14">
      <c r="A263" s="55"/>
      <c r="B263" s="145" t="str">
        <f t="shared" si="90"/>
        <v>1.6 Tbps</v>
      </c>
      <c r="C263" s="142"/>
      <c r="D263" s="142" t="str">
        <f t="shared" si="90"/>
        <v>CPO</v>
      </c>
      <c r="E263" s="142" t="str">
        <f t="shared" si="90"/>
        <v>30m</v>
      </c>
      <c r="F263" s="143" t="str">
        <f t="shared" si="90"/>
        <v>TBD</v>
      </c>
      <c r="G263" s="74"/>
      <c r="H263" s="74"/>
      <c r="I263" s="74"/>
      <c r="J263" s="74"/>
      <c r="K263" s="74"/>
      <c r="L263" s="74"/>
      <c r="M263" s="74"/>
      <c r="N263" s="74"/>
      <c r="O263" s="74"/>
      <c r="P263" s="74"/>
    </row>
    <row r="264" spans="1:16" ht="14">
      <c r="A264" s="55"/>
      <c r="B264" s="145" t="str">
        <f t="shared" si="90"/>
        <v>1.6 Tbps</v>
      </c>
      <c r="C264" s="142"/>
      <c r="D264" s="142" t="str">
        <f t="shared" si="90"/>
        <v>CPO</v>
      </c>
      <c r="E264" s="142" t="str">
        <f t="shared" si="90"/>
        <v>100 m</v>
      </c>
      <c r="F264" s="143" t="str">
        <f t="shared" si="90"/>
        <v>TBD</v>
      </c>
      <c r="G264" s="74"/>
      <c r="H264" s="74"/>
      <c r="I264" s="74"/>
      <c r="J264" s="74"/>
      <c r="K264" s="74"/>
      <c r="L264" s="74"/>
      <c r="M264" s="74"/>
      <c r="N264" s="74"/>
      <c r="O264" s="74"/>
      <c r="P264" s="74"/>
    </row>
    <row r="265" spans="1:16" ht="14">
      <c r="A265" s="55"/>
      <c r="B265" s="145" t="str">
        <f t="shared" si="90"/>
        <v>1.6 Tbps</v>
      </c>
      <c r="C265" s="142"/>
      <c r="D265" s="142" t="str">
        <f t="shared" si="90"/>
        <v>CPO</v>
      </c>
      <c r="E265" s="142" t="str">
        <f t="shared" si="90"/>
        <v>500 m</v>
      </c>
      <c r="F265" s="143" t="str">
        <f t="shared" si="90"/>
        <v>TBD</v>
      </c>
      <c r="G265" s="74"/>
      <c r="H265" s="74"/>
      <c r="I265" s="74"/>
      <c r="J265" s="74"/>
      <c r="K265" s="74"/>
      <c r="L265" s="74"/>
      <c r="M265" s="74"/>
      <c r="N265" s="74"/>
      <c r="O265" s="74"/>
      <c r="P265" s="74"/>
    </row>
    <row r="266" spans="1:16" ht="14">
      <c r="B266" s="161" t="s">
        <v>25</v>
      </c>
      <c r="C266" s="301" t="s">
        <v>59</v>
      </c>
      <c r="D266" s="301" t="s">
        <v>59</v>
      </c>
      <c r="E266" s="300" t="s">
        <v>59</v>
      </c>
      <c r="F266" s="302" t="s">
        <v>59</v>
      </c>
      <c r="G266" s="198">
        <f t="shared" ref="G266:I266" si="91">SUM(G237:G265)</f>
        <v>117.28324368155685</v>
      </c>
      <c r="H266" s="198">
        <f t="shared" si="91"/>
        <v>152.95279083454543</v>
      </c>
      <c r="I266" s="198">
        <f t="shared" si="91"/>
        <v>216.00753618001161</v>
      </c>
      <c r="J266" s="198"/>
      <c r="K266" s="198"/>
      <c r="L266" s="198"/>
      <c r="M266" s="198"/>
      <c r="N266" s="198"/>
      <c r="O266" s="198"/>
      <c r="P266" s="198"/>
    </row>
    <row r="267" spans="1:16">
      <c r="C267" s="20"/>
      <c r="D267" s="20"/>
      <c r="E267" s="20"/>
      <c r="F267" s="20"/>
    </row>
  </sheetData>
  <mergeCells count="54">
    <mergeCell ref="B13:F13"/>
    <mergeCell ref="B8:F8"/>
    <mergeCell ref="B9:F9"/>
    <mergeCell ref="B10:F10"/>
    <mergeCell ref="B11:F11"/>
    <mergeCell ref="B12:F12"/>
    <mergeCell ref="B22:F22"/>
    <mergeCell ref="B15:F15"/>
    <mergeCell ref="B16:F16"/>
    <mergeCell ref="B17:F17"/>
    <mergeCell ref="B18:F18"/>
    <mergeCell ref="B19:F19"/>
    <mergeCell ref="B20:F20"/>
    <mergeCell ref="B23:F23"/>
    <mergeCell ref="B27:F27"/>
    <mergeCell ref="B26:F26"/>
    <mergeCell ref="B25:F25"/>
    <mergeCell ref="B24:F24"/>
    <mergeCell ref="B30:F30"/>
    <mergeCell ref="B31:F31"/>
    <mergeCell ref="B32:F32"/>
    <mergeCell ref="B33:F33"/>
    <mergeCell ref="B34:F34"/>
    <mergeCell ref="B35:F35"/>
    <mergeCell ref="B37:F37"/>
    <mergeCell ref="B38:F38"/>
    <mergeCell ref="B39:F39"/>
    <mergeCell ref="B40:F40"/>
    <mergeCell ref="B41:F41"/>
    <mergeCell ref="B42:F42"/>
    <mergeCell ref="B44:F44"/>
    <mergeCell ref="B49:F49"/>
    <mergeCell ref="B45:F45"/>
    <mergeCell ref="B46:F46"/>
    <mergeCell ref="B47:F47"/>
    <mergeCell ref="B48:F48"/>
    <mergeCell ref="B52:F52"/>
    <mergeCell ref="B53:F53"/>
    <mergeCell ref="B54:F54"/>
    <mergeCell ref="B55:F55"/>
    <mergeCell ref="B56:F56"/>
    <mergeCell ref="B57:F57"/>
    <mergeCell ref="B59:F59"/>
    <mergeCell ref="B60:F60"/>
    <mergeCell ref="B61:F61"/>
    <mergeCell ref="B62:F62"/>
    <mergeCell ref="B63:F63"/>
    <mergeCell ref="B64:F64"/>
    <mergeCell ref="B66:F66"/>
    <mergeCell ref="B71:F71"/>
    <mergeCell ref="B67:F67"/>
    <mergeCell ref="B68:F68"/>
    <mergeCell ref="B69:F69"/>
    <mergeCell ref="B70:F70"/>
  </mergeCells>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sheetPr>
  <dimension ref="A1:M74"/>
  <sheetViews>
    <sheetView showGridLines="0" zoomScale="80" zoomScaleNormal="80" zoomScalePageLayoutView="80" workbookViewId="0"/>
  </sheetViews>
  <sheetFormatPr baseColWidth="10" defaultColWidth="9.1640625" defaultRowHeight="14"/>
  <cols>
    <col min="1" max="1" width="4.5" style="72" customWidth="1"/>
    <col min="2" max="3" width="15" style="72" customWidth="1"/>
    <col min="4" max="4" width="14.1640625" style="72" customWidth="1"/>
    <col min="5" max="5" width="13.5" style="72" customWidth="1"/>
    <col min="6" max="6" width="24.5" style="72" customWidth="1"/>
    <col min="7" max="7" width="27.5" style="72" customWidth="1"/>
    <col min="8" max="8" width="25.1640625" style="72" customWidth="1"/>
    <col min="9" max="9" width="28.1640625" style="72" customWidth="1"/>
    <col min="10" max="10" width="18.5" style="72" customWidth="1"/>
    <col min="11" max="14" width="11.5" style="72" customWidth="1"/>
    <col min="15" max="16384" width="9.1640625" style="72"/>
  </cols>
  <sheetData>
    <row r="1" spans="1:10">
      <c r="A1" s="116"/>
      <c r="B1" s="116"/>
      <c r="C1" s="116"/>
      <c r="D1" s="116"/>
      <c r="E1" s="116"/>
      <c r="F1" s="116"/>
      <c r="G1" s="116"/>
      <c r="H1" s="116"/>
      <c r="I1" s="116"/>
    </row>
    <row r="2" spans="1:10" ht="19">
      <c r="A2" s="116"/>
      <c r="B2" s="5" t="str">
        <f>Introduction!$B$2</f>
        <v>LightCounting High-Speed Cables Forecast</v>
      </c>
      <c r="C2" s="117"/>
      <c r="D2" s="116"/>
      <c r="E2" s="116"/>
      <c r="F2" s="116"/>
      <c r="G2" s="116"/>
      <c r="H2" s="116"/>
      <c r="I2" s="116"/>
    </row>
    <row r="3" spans="1:10" ht="16">
      <c r="A3" s="116"/>
      <c r="B3" s="215" t="str">
        <f>Introduction!$B$3</f>
        <v>Sample template for illustrative purposes only (December 2020)</v>
      </c>
      <c r="C3" s="215"/>
      <c r="D3" s="116"/>
      <c r="E3" s="116"/>
      <c r="F3" s="116"/>
      <c r="G3" s="116"/>
      <c r="H3" s="116"/>
      <c r="I3" s="116"/>
    </row>
    <row r="4" spans="1:10">
      <c r="A4" s="116"/>
      <c r="D4" s="116"/>
      <c r="E4" s="116"/>
      <c r="F4" s="116"/>
      <c r="G4" s="116"/>
      <c r="H4" s="116"/>
      <c r="I4" s="116"/>
    </row>
    <row r="5" spans="1:10" ht="22" customHeight="1">
      <c r="B5" s="433" t="s">
        <v>276</v>
      </c>
      <c r="C5" s="434"/>
      <c r="D5" s="434"/>
      <c r="E5" s="435"/>
    </row>
    <row r="6" spans="1:10" ht="19">
      <c r="B6" s="420" t="s">
        <v>270</v>
      </c>
      <c r="C6" s="419"/>
      <c r="D6" s="419"/>
      <c r="E6" s="421"/>
    </row>
    <row r="7" spans="1:10" ht="19">
      <c r="B7" s="422" t="s">
        <v>273</v>
      </c>
      <c r="C7" s="419"/>
      <c r="D7" s="419"/>
      <c r="E7" s="421"/>
    </row>
    <row r="8" spans="1:10" ht="19">
      <c r="B8" s="420" t="s">
        <v>274</v>
      </c>
      <c r="C8" s="419"/>
      <c r="D8" s="419"/>
      <c r="E8" s="421"/>
    </row>
    <row r="9" spans="1:10" ht="19">
      <c r="B9" s="420" t="s">
        <v>275</v>
      </c>
      <c r="C9" s="419"/>
      <c r="D9" s="419"/>
      <c r="E9" s="421"/>
      <c r="I9" s="73"/>
    </row>
    <row r="10" spans="1:10" ht="19">
      <c r="B10" s="420" t="s">
        <v>271</v>
      </c>
      <c r="C10" s="419"/>
      <c r="D10" s="419"/>
      <c r="E10" s="421"/>
    </row>
    <row r="11" spans="1:10" ht="19">
      <c r="B11" s="420" t="s">
        <v>272</v>
      </c>
      <c r="C11" s="419"/>
      <c r="D11" s="419"/>
      <c r="E11" s="421"/>
    </row>
    <row r="12" spans="1:10" ht="19">
      <c r="B12" s="420" t="s">
        <v>293</v>
      </c>
      <c r="C12" s="419"/>
      <c r="D12" s="419"/>
      <c r="E12" s="421"/>
    </row>
    <row r="13" spans="1:10">
      <c r="B13" s="423"/>
      <c r="C13" s="424"/>
      <c r="D13" s="424"/>
      <c r="E13" s="425"/>
    </row>
    <row r="15" spans="1:10" ht="21">
      <c r="A15" s="116"/>
      <c r="B15" s="168" t="s">
        <v>103</v>
      </c>
      <c r="C15" s="168"/>
      <c r="D15" s="116"/>
      <c r="E15" s="116"/>
      <c r="F15" s="116"/>
      <c r="G15" s="116"/>
      <c r="H15" s="116"/>
      <c r="I15" s="116"/>
    </row>
    <row r="16" spans="1:10" ht="15">
      <c r="A16" s="116"/>
      <c r="B16" s="130" t="s">
        <v>37</v>
      </c>
      <c r="C16" s="130"/>
      <c r="D16" s="115"/>
      <c r="E16" s="115"/>
      <c r="F16" s="115"/>
      <c r="G16" s="115"/>
      <c r="H16" s="115"/>
      <c r="I16" s="115"/>
      <c r="J16" s="110"/>
    </row>
    <row r="17" spans="1:10" ht="15">
      <c r="A17" s="116"/>
      <c r="B17" s="130" t="s">
        <v>71</v>
      </c>
      <c r="C17" s="130"/>
      <c r="D17" s="115"/>
      <c r="E17" s="115"/>
      <c r="F17" s="115"/>
      <c r="G17" s="115"/>
      <c r="H17" s="115"/>
      <c r="I17" s="115"/>
      <c r="J17" s="110"/>
    </row>
    <row r="18" spans="1:10" ht="15" customHeight="1">
      <c r="A18" s="116"/>
      <c r="B18" s="53"/>
      <c r="C18" s="53"/>
      <c r="D18" s="116"/>
      <c r="E18" s="116"/>
      <c r="F18" s="116"/>
      <c r="G18" s="116"/>
      <c r="H18" s="116"/>
      <c r="I18" s="116"/>
    </row>
    <row r="19" spans="1:10" ht="26.25" customHeight="1">
      <c r="B19" s="125" t="s">
        <v>58</v>
      </c>
      <c r="C19" s="125" t="s">
        <v>166</v>
      </c>
      <c r="D19" s="125" t="s">
        <v>57</v>
      </c>
      <c r="E19" s="125" t="s">
        <v>54</v>
      </c>
      <c r="F19" s="125" t="s">
        <v>55</v>
      </c>
      <c r="G19" s="126" t="s">
        <v>61</v>
      </c>
      <c r="H19" s="126" t="s">
        <v>60</v>
      </c>
    </row>
    <row r="20" spans="1:10" ht="15">
      <c r="B20" s="136" t="s">
        <v>76</v>
      </c>
      <c r="C20" s="294" t="s">
        <v>72</v>
      </c>
      <c r="D20" s="127" t="s">
        <v>49</v>
      </c>
      <c r="E20" s="127">
        <v>1</v>
      </c>
      <c r="F20" s="185" t="s">
        <v>101</v>
      </c>
      <c r="G20" s="128" t="s">
        <v>45</v>
      </c>
      <c r="H20" s="231" t="str">
        <f t="shared" ref="H20:H36" si="0">D20&amp;" "&amp;E20&amp;"x"&amp;B20&amp;" "&amp;F20</f>
        <v>AOC 1x≤10G SFP+</v>
      </c>
    </row>
    <row r="21" spans="1:10" ht="15">
      <c r="B21" s="137" t="s">
        <v>76</v>
      </c>
      <c r="C21" s="286" t="s">
        <v>79</v>
      </c>
      <c r="D21" s="129" t="s">
        <v>49</v>
      </c>
      <c r="E21" s="129">
        <v>4</v>
      </c>
      <c r="F21" s="219" t="s">
        <v>44</v>
      </c>
      <c r="G21" s="231" t="s">
        <v>120</v>
      </c>
      <c r="H21" s="231" t="str">
        <f t="shared" si="0"/>
        <v>AOC 4x≤10G QSFP+</v>
      </c>
      <c r="I21" s="82"/>
    </row>
    <row r="22" spans="1:10" ht="15">
      <c r="A22" s="73"/>
      <c r="B22" s="137" t="s">
        <v>76</v>
      </c>
      <c r="C22" s="137" t="s">
        <v>79</v>
      </c>
      <c r="D22" s="129" t="s">
        <v>49</v>
      </c>
      <c r="E22" s="245" t="s">
        <v>123</v>
      </c>
      <c r="F22" s="219" t="s">
        <v>129</v>
      </c>
      <c r="G22" s="246" t="s">
        <v>126</v>
      </c>
      <c r="H22" s="82" t="s">
        <v>125</v>
      </c>
      <c r="I22" s="82" t="s">
        <v>124</v>
      </c>
    </row>
    <row r="23" spans="1:10" ht="15">
      <c r="B23" s="233" t="s">
        <v>86</v>
      </c>
      <c r="C23" s="233" t="s">
        <v>167</v>
      </c>
      <c r="D23" s="129" t="s">
        <v>49</v>
      </c>
      <c r="E23" s="129">
        <v>12</v>
      </c>
      <c r="F23" s="129" t="s">
        <v>19</v>
      </c>
      <c r="G23" s="231" t="s">
        <v>50</v>
      </c>
      <c r="H23" s="231" t="str">
        <f t="shared" si="0"/>
        <v>AOC 12x≤12.5G CXP</v>
      </c>
      <c r="I23" s="27" t="s">
        <v>62</v>
      </c>
    </row>
    <row r="24" spans="1:10" ht="15">
      <c r="B24" s="165" t="s">
        <v>87</v>
      </c>
      <c r="C24" s="165" t="s">
        <v>167</v>
      </c>
      <c r="D24" s="129" t="s">
        <v>48</v>
      </c>
      <c r="E24" s="129">
        <v>12</v>
      </c>
      <c r="F24" s="129" t="s">
        <v>19</v>
      </c>
      <c r="G24" s="231"/>
      <c r="H24" s="231" t="str">
        <f t="shared" si="0"/>
        <v>XCVR 12x≤12.5G CXP</v>
      </c>
      <c r="I24" s="247" t="s">
        <v>89</v>
      </c>
    </row>
    <row r="25" spans="1:10" ht="15">
      <c r="B25" s="248" t="s">
        <v>73</v>
      </c>
      <c r="C25" s="248" t="s">
        <v>168</v>
      </c>
      <c r="D25" s="129" t="s">
        <v>49</v>
      </c>
      <c r="E25" s="129">
        <v>4</v>
      </c>
      <c r="F25" s="129" t="s">
        <v>44</v>
      </c>
      <c r="G25" s="231" t="s">
        <v>121</v>
      </c>
      <c r="H25" s="231" t="str">
        <f t="shared" si="0"/>
        <v>AOC 4x12-14G QSFP+</v>
      </c>
      <c r="I25" s="247" t="s">
        <v>115</v>
      </c>
    </row>
    <row r="26" spans="1:10" ht="15">
      <c r="B26" s="250" t="s">
        <v>141</v>
      </c>
      <c r="C26" s="250" t="s">
        <v>80</v>
      </c>
      <c r="D26" s="129" t="s">
        <v>49</v>
      </c>
      <c r="E26" s="129">
        <v>4</v>
      </c>
      <c r="F26" s="129" t="s">
        <v>56</v>
      </c>
      <c r="G26" s="246" t="s">
        <v>130</v>
      </c>
      <c r="H26" s="231" t="str">
        <f t="shared" si="0"/>
        <v>AOC 4x12G Mini-SAS HD</v>
      </c>
      <c r="I26" s="82"/>
    </row>
    <row r="27" spans="1:10" ht="15">
      <c r="B27" s="137" t="s">
        <v>74</v>
      </c>
      <c r="C27" s="137" t="s">
        <v>78</v>
      </c>
      <c r="D27" s="129" t="s">
        <v>49</v>
      </c>
      <c r="E27" s="129">
        <v>1</v>
      </c>
      <c r="F27" s="249" t="s">
        <v>100</v>
      </c>
      <c r="G27" s="231"/>
      <c r="H27" s="231" t="str">
        <f t="shared" si="0"/>
        <v>AOC 1x25-28G SFP28</v>
      </c>
      <c r="I27" s="82"/>
    </row>
    <row r="28" spans="1:10" ht="15">
      <c r="B28" s="325" t="s">
        <v>195</v>
      </c>
      <c r="C28" s="137" t="s">
        <v>82</v>
      </c>
      <c r="D28" s="129" t="s">
        <v>49</v>
      </c>
      <c r="E28" s="325" t="s">
        <v>196</v>
      </c>
      <c r="F28" s="325" t="s">
        <v>197</v>
      </c>
      <c r="G28" s="328" t="s">
        <v>200</v>
      </c>
      <c r="H28" s="328" t="s">
        <v>202</v>
      </c>
      <c r="I28" s="81" t="s">
        <v>201</v>
      </c>
    </row>
    <row r="29" spans="1:10" ht="15">
      <c r="A29" s="73"/>
      <c r="B29" s="137" t="s">
        <v>74</v>
      </c>
      <c r="C29" s="137" t="s">
        <v>82</v>
      </c>
      <c r="D29" s="129" t="s">
        <v>49</v>
      </c>
      <c r="E29" s="245" t="s">
        <v>123</v>
      </c>
      <c r="F29" s="219" t="s">
        <v>128</v>
      </c>
      <c r="G29" s="246" t="s">
        <v>127</v>
      </c>
      <c r="H29" s="82" t="s">
        <v>207</v>
      </c>
      <c r="I29" s="82" t="s">
        <v>124</v>
      </c>
    </row>
    <row r="30" spans="1:10" ht="15">
      <c r="B30" s="251" t="s">
        <v>142</v>
      </c>
      <c r="C30" s="251" t="s">
        <v>171</v>
      </c>
      <c r="D30" s="127" t="s">
        <v>49</v>
      </c>
      <c r="E30" s="127">
        <v>4</v>
      </c>
      <c r="F30" s="127" t="s">
        <v>56</v>
      </c>
      <c r="G30" s="235" t="s">
        <v>131</v>
      </c>
      <c r="H30" s="128" t="str">
        <f t="shared" si="0"/>
        <v>AOC 4x24G Mini-SAS HD</v>
      </c>
      <c r="I30" s="81" t="s">
        <v>117</v>
      </c>
    </row>
    <row r="31" spans="1:10" ht="15">
      <c r="B31" s="136" t="s">
        <v>74</v>
      </c>
      <c r="C31" s="136" t="s">
        <v>85</v>
      </c>
      <c r="D31" s="127" t="s">
        <v>49</v>
      </c>
      <c r="E31" s="127">
        <v>12</v>
      </c>
      <c r="F31" s="203" t="s">
        <v>106</v>
      </c>
      <c r="G31" s="128"/>
      <c r="H31" s="128" t="str">
        <f t="shared" si="0"/>
        <v>AOC 12x25-28G CXP28</v>
      </c>
    </row>
    <row r="32" spans="1:10" ht="15">
      <c r="B32" s="137" t="s">
        <v>74</v>
      </c>
      <c r="C32" s="137" t="s">
        <v>172</v>
      </c>
      <c r="D32" s="129" t="s">
        <v>47</v>
      </c>
      <c r="E32" s="286" t="s">
        <v>165</v>
      </c>
      <c r="F32" s="129" t="s">
        <v>48</v>
      </c>
      <c r="G32" s="230" t="s">
        <v>99</v>
      </c>
      <c r="H32" s="231" t="str">
        <f t="shared" si="0"/>
        <v>EOM 4,8,12,16,24x25-28G XCVR</v>
      </c>
      <c r="I32" s="72" t="s">
        <v>132</v>
      </c>
    </row>
    <row r="33" spans="1:13" ht="15">
      <c r="B33" s="137" t="s">
        <v>74</v>
      </c>
      <c r="C33" s="137" t="s">
        <v>85</v>
      </c>
      <c r="D33" s="129" t="s">
        <v>48</v>
      </c>
      <c r="E33" s="129">
        <v>12</v>
      </c>
      <c r="F33" s="232" t="s">
        <v>106</v>
      </c>
      <c r="G33" s="231"/>
      <c r="H33" s="231" t="str">
        <f t="shared" si="0"/>
        <v>XCVR 12x25-28G CXP28</v>
      </c>
      <c r="M33" s="81"/>
    </row>
    <row r="34" spans="1:13" ht="15">
      <c r="B34" s="137" t="s">
        <v>75</v>
      </c>
      <c r="C34" s="137" t="s">
        <v>81</v>
      </c>
      <c r="D34" s="129" t="s">
        <v>49</v>
      </c>
      <c r="E34" s="129">
        <v>1</v>
      </c>
      <c r="F34" s="129" t="s">
        <v>63</v>
      </c>
      <c r="G34" s="231"/>
      <c r="H34" s="231" t="str">
        <f t="shared" si="0"/>
        <v>AOC 1x50-56G SFP56</v>
      </c>
      <c r="I34" s="72" t="s">
        <v>70</v>
      </c>
    </row>
    <row r="35" spans="1:13" ht="15">
      <c r="B35" s="137" t="s">
        <v>75</v>
      </c>
      <c r="C35" s="137" t="s">
        <v>84</v>
      </c>
      <c r="D35" s="127" t="s">
        <v>49</v>
      </c>
      <c r="E35" s="127">
        <v>4</v>
      </c>
      <c r="F35" s="127" t="s">
        <v>65</v>
      </c>
      <c r="G35" s="218" t="s">
        <v>122</v>
      </c>
      <c r="H35" s="128" t="str">
        <f t="shared" si="0"/>
        <v>AOC 4x50-56G QSFP56</v>
      </c>
    </row>
    <row r="36" spans="1:13" ht="15">
      <c r="B36" s="137" t="s">
        <v>75</v>
      </c>
      <c r="C36" s="137" t="s">
        <v>174</v>
      </c>
      <c r="D36" s="127" t="s">
        <v>47</v>
      </c>
      <c r="E36" s="219" t="s">
        <v>133</v>
      </c>
      <c r="F36" s="127" t="s">
        <v>46</v>
      </c>
      <c r="G36" s="128"/>
      <c r="H36" s="128" t="str">
        <f t="shared" si="0"/>
        <v>EOM 8,12,16,24x50-56G TBD</v>
      </c>
      <c r="I36" s="82"/>
    </row>
    <row r="37" spans="1:13" ht="15">
      <c r="A37" s="82"/>
      <c r="B37" s="325" t="s">
        <v>192</v>
      </c>
      <c r="C37" s="325" t="s">
        <v>185</v>
      </c>
      <c r="D37" s="129" t="s">
        <v>49</v>
      </c>
      <c r="E37" s="327" t="s">
        <v>193</v>
      </c>
      <c r="F37" s="325" t="s">
        <v>191</v>
      </c>
      <c r="G37" s="328" t="s">
        <v>194</v>
      </c>
      <c r="H37" s="328" t="s">
        <v>203</v>
      </c>
      <c r="I37" s="82" t="s">
        <v>204</v>
      </c>
      <c r="J37" s="247"/>
      <c r="K37" s="82"/>
      <c r="L37" s="82"/>
      <c r="M37" s="82"/>
    </row>
    <row r="38" spans="1:13" ht="15">
      <c r="B38" s="325" t="s">
        <v>192</v>
      </c>
      <c r="C38" s="325" t="s">
        <v>185</v>
      </c>
      <c r="D38" s="129" t="s">
        <v>49</v>
      </c>
      <c r="E38" s="327" t="s">
        <v>198</v>
      </c>
      <c r="F38" s="325" t="s">
        <v>191</v>
      </c>
      <c r="G38" s="328" t="s">
        <v>199</v>
      </c>
      <c r="H38" s="328" t="s">
        <v>206</v>
      </c>
      <c r="I38" s="247" t="s">
        <v>208</v>
      </c>
      <c r="J38" s="81"/>
    </row>
    <row r="39" spans="1:13" ht="15">
      <c r="B39" s="429" t="s">
        <v>82</v>
      </c>
      <c r="C39" s="429" t="s">
        <v>150</v>
      </c>
      <c r="D39" s="429" t="s">
        <v>49</v>
      </c>
      <c r="E39" s="430">
        <v>8</v>
      </c>
      <c r="F39" s="431" t="s">
        <v>190</v>
      </c>
      <c r="G39" s="398" t="s">
        <v>152</v>
      </c>
      <c r="H39" s="432" t="s">
        <v>205</v>
      </c>
      <c r="I39" s="133" t="s">
        <v>151</v>
      </c>
      <c r="J39" s="81"/>
    </row>
    <row r="40" spans="1:13" s="82" customFormat="1" ht="15">
      <c r="B40" s="426" t="s">
        <v>134</v>
      </c>
      <c r="C40" s="426"/>
      <c r="D40" s="325" t="s">
        <v>266</v>
      </c>
      <c r="E40" s="285" t="s">
        <v>156</v>
      </c>
      <c r="F40" s="286" t="s">
        <v>46</v>
      </c>
      <c r="G40" s="287"/>
      <c r="H40" s="427" t="str">
        <f>D40&amp;" "&amp;B40&amp;" "&amp;E40&amp;" "&amp;F40</f>
        <v>CPO 400 Gbps 30m TBD</v>
      </c>
      <c r="I40" s="82" t="s">
        <v>151</v>
      </c>
      <c r="J40" s="247"/>
    </row>
    <row r="41" spans="1:13" s="82" customFormat="1" ht="15">
      <c r="B41" s="426" t="s">
        <v>134</v>
      </c>
      <c r="C41" s="426"/>
      <c r="D41" s="426" t="s">
        <v>266</v>
      </c>
      <c r="E41" s="426" t="s">
        <v>135</v>
      </c>
      <c r="F41" s="426" t="s">
        <v>46</v>
      </c>
      <c r="G41" s="428"/>
      <c r="H41" s="427" t="str">
        <f>D41&amp;" "&amp;B41&amp;" "&amp;E41&amp;" "&amp;F41</f>
        <v>CPO 400 Gbps 100 m TBD</v>
      </c>
      <c r="I41" s="82" t="s">
        <v>151</v>
      </c>
    </row>
    <row r="42" spans="1:13" s="82" customFormat="1" ht="15">
      <c r="B42" s="426" t="s">
        <v>134</v>
      </c>
      <c r="C42" s="426"/>
      <c r="D42" s="426" t="s">
        <v>266</v>
      </c>
      <c r="E42" s="426" t="s">
        <v>136</v>
      </c>
      <c r="F42" s="426" t="s">
        <v>46</v>
      </c>
      <c r="G42" s="428"/>
      <c r="H42" s="427" t="str">
        <f t="shared" ref="H42:H48" si="1">D42&amp;" "&amp;B42&amp;" "&amp;E42&amp;" "&amp;F42</f>
        <v>CPO 400 Gbps 500 m TBD</v>
      </c>
      <c r="I42" s="82" t="s">
        <v>151</v>
      </c>
    </row>
    <row r="43" spans="1:13" s="82" customFormat="1" ht="15">
      <c r="B43" s="426" t="s">
        <v>143</v>
      </c>
      <c r="C43" s="426"/>
      <c r="D43" s="286" t="s">
        <v>266</v>
      </c>
      <c r="E43" s="285" t="s">
        <v>156</v>
      </c>
      <c r="F43" s="286" t="s">
        <v>46</v>
      </c>
      <c r="G43" s="287"/>
      <c r="H43" s="427" t="str">
        <f>D43&amp;" "&amp;B43&amp;" "&amp;E43&amp;" "&amp;F43</f>
        <v>CPO 800 Gbps 30m TBD</v>
      </c>
      <c r="I43" s="82" t="s">
        <v>151</v>
      </c>
      <c r="J43" s="247"/>
    </row>
    <row r="44" spans="1:13" s="82" customFormat="1" ht="15">
      <c r="B44" s="426" t="s">
        <v>143</v>
      </c>
      <c r="C44" s="426"/>
      <c r="D44" s="426" t="s">
        <v>266</v>
      </c>
      <c r="E44" s="426" t="s">
        <v>135</v>
      </c>
      <c r="F44" s="426" t="s">
        <v>46</v>
      </c>
      <c r="G44" s="428"/>
      <c r="H44" s="427" t="str">
        <f t="shared" si="1"/>
        <v>CPO 800 Gbps 100 m TBD</v>
      </c>
      <c r="I44" s="82" t="s">
        <v>151</v>
      </c>
    </row>
    <row r="45" spans="1:13" s="82" customFormat="1" ht="15">
      <c r="B45" s="426" t="s">
        <v>143</v>
      </c>
      <c r="C45" s="426"/>
      <c r="D45" s="426" t="s">
        <v>266</v>
      </c>
      <c r="E45" s="426" t="s">
        <v>136</v>
      </c>
      <c r="F45" s="426" t="s">
        <v>46</v>
      </c>
      <c r="G45" s="428"/>
      <c r="H45" s="427" t="str">
        <f t="shared" si="1"/>
        <v>CPO 800 Gbps 500 m TBD</v>
      </c>
      <c r="I45" s="82" t="s">
        <v>151</v>
      </c>
    </row>
    <row r="46" spans="1:13" s="82" customFormat="1" ht="15">
      <c r="B46" s="426" t="s">
        <v>144</v>
      </c>
      <c r="C46" s="426"/>
      <c r="D46" s="286" t="s">
        <v>266</v>
      </c>
      <c r="E46" s="285" t="s">
        <v>156</v>
      </c>
      <c r="F46" s="286" t="s">
        <v>46</v>
      </c>
      <c r="G46" s="287"/>
      <c r="H46" s="427" t="str">
        <f t="shared" ref="H46" si="2">D46&amp;" "&amp;B46&amp;" "&amp;E46&amp;" "&amp;F46</f>
        <v>CPO 1.6 Tbps 30m TBD</v>
      </c>
      <c r="I46" s="82" t="s">
        <v>151</v>
      </c>
      <c r="J46" s="247"/>
    </row>
    <row r="47" spans="1:13" s="82" customFormat="1" ht="15">
      <c r="B47" s="426" t="s">
        <v>144</v>
      </c>
      <c r="C47" s="426"/>
      <c r="D47" s="426" t="s">
        <v>266</v>
      </c>
      <c r="E47" s="426" t="s">
        <v>135</v>
      </c>
      <c r="F47" s="426" t="s">
        <v>46</v>
      </c>
      <c r="G47" s="428"/>
      <c r="H47" s="427" t="str">
        <f t="shared" si="1"/>
        <v>CPO 1.6 Tbps 100 m TBD</v>
      </c>
      <c r="I47" s="82" t="s">
        <v>151</v>
      </c>
    </row>
    <row r="48" spans="1:13" s="82" customFormat="1" ht="15">
      <c r="B48" s="426" t="s">
        <v>144</v>
      </c>
      <c r="C48" s="426"/>
      <c r="D48" s="426" t="s">
        <v>266</v>
      </c>
      <c r="E48" s="426" t="s">
        <v>136</v>
      </c>
      <c r="F48" s="426" t="s">
        <v>46</v>
      </c>
      <c r="G48" s="428"/>
      <c r="H48" s="427" t="str">
        <f t="shared" si="1"/>
        <v>CPO 1.6 Tbps 500 m TBD</v>
      </c>
      <c r="I48" s="82" t="s">
        <v>151</v>
      </c>
    </row>
    <row r="49" spans="2:12" ht="15" customHeight="1"/>
    <row r="50" spans="2:12" ht="15" customHeight="1">
      <c r="B50" s="72" t="s">
        <v>186</v>
      </c>
    </row>
    <row r="51" spans="2:12" ht="15" customHeight="1">
      <c r="B51" s="72" t="s">
        <v>91</v>
      </c>
      <c r="C51" s="72" t="s">
        <v>169</v>
      </c>
      <c r="D51" s="84" t="s">
        <v>47</v>
      </c>
      <c r="E51" s="72" t="s">
        <v>119</v>
      </c>
      <c r="F51" s="72" t="s">
        <v>48</v>
      </c>
      <c r="H51" s="72" t="s">
        <v>187</v>
      </c>
      <c r="I51" s="72" t="s">
        <v>92</v>
      </c>
    </row>
    <row r="52" spans="2:12" ht="15" customHeight="1">
      <c r="B52" s="72" t="s">
        <v>91</v>
      </c>
      <c r="C52" s="72" t="s">
        <v>170</v>
      </c>
      <c r="D52" s="84" t="s">
        <v>47</v>
      </c>
      <c r="E52" s="72">
        <v>12</v>
      </c>
      <c r="F52" s="72" t="s">
        <v>93</v>
      </c>
      <c r="H52" s="72" t="s">
        <v>188</v>
      </c>
      <c r="I52" s="72" t="s">
        <v>92</v>
      </c>
    </row>
    <row r="53" spans="2:12" ht="15" customHeight="1">
      <c r="B53" s="72" t="s">
        <v>74</v>
      </c>
      <c r="C53" s="72" t="s">
        <v>173</v>
      </c>
      <c r="D53" s="84" t="s">
        <v>47</v>
      </c>
      <c r="E53" s="72" t="s">
        <v>116</v>
      </c>
      <c r="F53" s="72" t="s">
        <v>93</v>
      </c>
      <c r="H53" s="72" t="s">
        <v>189</v>
      </c>
    </row>
    <row r="54" spans="2:12" ht="15" customHeight="1">
      <c r="B54" s="72" t="s">
        <v>75</v>
      </c>
      <c r="C54" s="72" t="s">
        <v>139</v>
      </c>
      <c r="D54" s="84" t="s">
        <v>47</v>
      </c>
      <c r="E54" s="72">
        <v>8</v>
      </c>
      <c r="F54" s="72" t="s">
        <v>137</v>
      </c>
      <c r="H54" s="72" t="s">
        <v>148</v>
      </c>
      <c r="L54" s="72" t="s">
        <v>162</v>
      </c>
    </row>
    <row r="55" spans="2:12" ht="15" customHeight="1">
      <c r="B55" s="72" t="s">
        <v>139</v>
      </c>
      <c r="C55" s="72" t="s">
        <v>139</v>
      </c>
      <c r="D55" s="84" t="s">
        <v>47</v>
      </c>
      <c r="E55" s="72" t="s">
        <v>140</v>
      </c>
      <c r="F55" s="72" t="s">
        <v>137</v>
      </c>
      <c r="H55" s="72" t="s">
        <v>149</v>
      </c>
      <c r="L55" s="72" t="s">
        <v>162</v>
      </c>
    </row>
    <row r="56" spans="2:12" ht="15" customHeight="1"/>
    <row r="57" spans="2:12">
      <c r="B57" s="72" t="s">
        <v>98</v>
      </c>
      <c r="E57" s="84"/>
      <c r="G57" s="84"/>
    </row>
    <row r="58" spans="2:12" ht="15">
      <c r="B58" s="137" t="s">
        <v>76</v>
      </c>
      <c r="C58" s="286" t="s">
        <v>83</v>
      </c>
      <c r="D58" s="129" t="s">
        <v>47</v>
      </c>
      <c r="E58" s="129">
        <v>12</v>
      </c>
      <c r="F58" s="137" t="s">
        <v>93</v>
      </c>
      <c r="G58" s="129">
        <f>E58*10</f>
        <v>120</v>
      </c>
      <c r="H58" s="231"/>
      <c r="I58" s="231" t="str">
        <f>D58&amp;" "&amp;E58&amp;"x"&amp;B58&amp;" "&amp;F58</f>
        <v>EOM 12x≤10G TxRx prs</v>
      </c>
      <c r="J58" s="81"/>
    </row>
    <row r="59" spans="2:12" ht="15">
      <c r="B59" s="248" t="s">
        <v>73</v>
      </c>
      <c r="C59" s="285" t="s">
        <v>175</v>
      </c>
      <c r="D59" s="129" t="s">
        <v>47</v>
      </c>
      <c r="E59" s="129">
        <v>12</v>
      </c>
      <c r="F59" s="137" t="s">
        <v>93</v>
      </c>
      <c r="G59" s="129">
        <f>E59*12</f>
        <v>144</v>
      </c>
      <c r="H59" s="231"/>
      <c r="I59" s="231" t="str">
        <f>D59&amp;" "&amp;E59&amp;"x"&amp;B59&amp;" "&amp;F59</f>
        <v>EOM 12x12-14G TxRx prs</v>
      </c>
      <c r="J59" s="81"/>
    </row>
    <row r="60" spans="2:12">
      <c r="G60" s="84"/>
    </row>
    <row r="61" spans="2:12">
      <c r="B61" s="72" t="s">
        <v>97</v>
      </c>
      <c r="G61" s="84"/>
    </row>
    <row r="62" spans="2:12" ht="15">
      <c r="B62" s="165" t="s">
        <v>73</v>
      </c>
      <c r="C62" s="165" t="s">
        <v>175</v>
      </c>
      <c r="D62" s="165" t="s">
        <v>48</v>
      </c>
      <c r="E62" s="165">
        <v>12</v>
      </c>
      <c r="F62" s="165" t="s">
        <v>19</v>
      </c>
      <c r="G62" s="165">
        <v>144</v>
      </c>
      <c r="H62" s="165"/>
      <c r="I62" s="165" t="s">
        <v>88</v>
      </c>
      <c r="J62" s="72" t="s">
        <v>95</v>
      </c>
    </row>
    <row r="63" spans="2:12" ht="15">
      <c r="B63" s="165" t="s">
        <v>73</v>
      </c>
      <c r="C63" s="286" t="s">
        <v>176</v>
      </c>
      <c r="D63" s="165" t="s">
        <v>47</v>
      </c>
      <c r="E63" s="165">
        <v>4</v>
      </c>
      <c r="F63" s="165" t="s">
        <v>48</v>
      </c>
      <c r="G63" s="165">
        <v>48</v>
      </c>
      <c r="H63" s="165"/>
      <c r="I63" s="165" t="s">
        <v>90</v>
      </c>
      <c r="J63" s="72" t="s">
        <v>94</v>
      </c>
    </row>
    <row r="64" spans="2:12" ht="15">
      <c r="B64" s="137" t="s">
        <v>74</v>
      </c>
      <c r="C64" s="286" t="s">
        <v>177</v>
      </c>
      <c r="D64" s="129" t="s">
        <v>47</v>
      </c>
      <c r="E64" s="129">
        <v>4</v>
      </c>
      <c r="F64" s="129" t="s">
        <v>48</v>
      </c>
      <c r="G64" s="129">
        <f>E64*25</f>
        <v>100</v>
      </c>
      <c r="H64" s="231"/>
      <c r="I64" s="129" t="str">
        <f t="shared" ref="I64" si="3">D64&amp;" "&amp;E64&amp;"x"&amp;B64&amp;" "&amp;F64</f>
        <v>EOM 4x25-28G XCVR</v>
      </c>
      <c r="J64" s="72" t="s">
        <v>96</v>
      </c>
    </row>
    <row r="66" spans="2:11" ht="18.75" customHeight="1">
      <c r="B66" s="168" t="s">
        <v>102</v>
      </c>
      <c r="C66" s="168"/>
    </row>
    <row r="67" spans="2:11" ht="15">
      <c r="B67" s="279" t="s">
        <v>161</v>
      </c>
      <c r="C67" s="279"/>
      <c r="D67" s="130"/>
      <c r="E67" s="130"/>
      <c r="F67" s="130"/>
      <c r="G67" s="130"/>
      <c r="H67" s="130"/>
      <c r="I67" s="130"/>
      <c r="J67" s="128"/>
      <c r="K67" s="128"/>
    </row>
    <row r="68" spans="2:11" ht="15">
      <c r="B68" s="295" t="s">
        <v>14</v>
      </c>
      <c r="C68" s="296"/>
      <c r="D68" s="296"/>
      <c r="E68" s="297"/>
      <c r="F68" s="443" t="s">
        <v>18</v>
      </c>
      <c r="G68" s="444"/>
      <c r="H68" s="130"/>
      <c r="I68" s="130"/>
      <c r="J68" s="128"/>
      <c r="K68" s="128"/>
    </row>
    <row r="69" spans="2:11" ht="15" customHeight="1">
      <c r="B69" s="138" t="s">
        <v>234</v>
      </c>
      <c r="C69" s="292"/>
      <c r="D69" s="139"/>
      <c r="E69" s="140"/>
      <c r="F69" s="445" t="s">
        <v>235</v>
      </c>
      <c r="G69" s="442"/>
      <c r="H69" s="130"/>
      <c r="I69" s="130"/>
      <c r="J69" s="128"/>
      <c r="K69" s="128"/>
    </row>
    <row r="70" spans="2:11" ht="15" customHeight="1">
      <c r="B70" s="186" t="s">
        <v>153</v>
      </c>
      <c r="C70" s="293"/>
      <c r="D70" s="139"/>
      <c r="E70" s="140"/>
      <c r="F70" s="441" t="s">
        <v>17</v>
      </c>
      <c r="G70" s="442"/>
      <c r="H70" s="130"/>
      <c r="I70" s="130"/>
      <c r="J70" s="128"/>
      <c r="K70" s="128"/>
    </row>
    <row r="71" spans="2:11" ht="15" customHeight="1">
      <c r="B71" s="141" t="s">
        <v>154</v>
      </c>
      <c r="C71" s="236"/>
      <c r="D71" s="131"/>
      <c r="E71" s="132"/>
      <c r="F71" s="446" t="s">
        <v>179</v>
      </c>
      <c r="G71" s="442"/>
      <c r="H71" s="130"/>
      <c r="I71" s="130"/>
      <c r="J71" s="128"/>
      <c r="K71" s="128"/>
    </row>
    <row r="72" spans="2:11" ht="15.75" customHeight="1">
      <c r="B72" s="141" t="s">
        <v>232</v>
      </c>
      <c r="C72" s="236"/>
      <c r="D72" s="131"/>
      <c r="E72" s="132"/>
      <c r="F72" s="447" t="s">
        <v>236</v>
      </c>
      <c r="G72" s="442"/>
      <c r="H72" s="130"/>
      <c r="I72" s="130"/>
      <c r="J72" s="128"/>
      <c r="K72" s="128"/>
    </row>
    <row r="74" spans="2:11" ht="15.75" customHeight="1"/>
  </sheetData>
  <mergeCells count="5">
    <mergeCell ref="F70:G70"/>
    <mergeCell ref="F68:G68"/>
    <mergeCell ref="F69:G69"/>
    <mergeCell ref="F71:G71"/>
    <mergeCell ref="F72:G72"/>
  </mergeCells>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A2:O61"/>
  <sheetViews>
    <sheetView showGridLines="0" zoomScale="80" zoomScaleNormal="80" zoomScalePageLayoutView="80" workbookViewId="0">
      <selection activeCell="E31" sqref="E31"/>
    </sheetView>
  </sheetViews>
  <sheetFormatPr baseColWidth="10" defaultColWidth="9.1640625" defaultRowHeight="13"/>
  <cols>
    <col min="1" max="1" width="4.5" style="2" customWidth="1"/>
    <col min="2" max="2" width="16.5" style="2" customWidth="1"/>
    <col min="3" max="13" width="9" style="2" customWidth="1"/>
    <col min="14" max="14" width="11.5" style="2" bestFit="1" customWidth="1"/>
    <col min="15" max="16384" width="9.1640625" style="2"/>
  </cols>
  <sheetData>
    <row r="2" spans="1:15" ht="18">
      <c r="B2" s="5" t="str">
        <f>Introduction!$B$2</f>
        <v>LightCounting High-Speed Cables Forecast</v>
      </c>
    </row>
    <row r="3" spans="1:15" ht="16">
      <c r="B3" s="215" t="str">
        <f>Introduction!$B$3</f>
        <v>Sample template for illustrative purposes only (December 2020)</v>
      </c>
    </row>
    <row r="5" spans="1:15" ht="18">
      <c r="B5" s="6" t="s">
        <v>0</v>
      </c>
    </row>
    <row r="6" spans="1:15">
      <c r="B6" s="50" t="s">
        <v>28</v>
      </c>
      <c r="C6" s="49"/>
      <c r="D6" s="49"/>
      <c r="E6" s="49"/>
      <c r="F6" s="49"/>
      <c r="G6" s="49"/>
      <c r="H6" s="49"/>
      <c r="I6" s="49"/>
      <c r="J6" s="8"/>
      <c r="K6" s="8"/>
      <c r="L6" s="8"/>
      <c r="M6" s="8"/>
      <c r="N6" s="8"/>
      <c r="O6" s="8"/>
    </row>
    <row r="7" spans="1:15">
      <c r="B7" s="50" t="s">
        <v>31</v>
      </c>
      <c r="C7" s="49"/>
      <c r="D7" s="49"/>
      <c r="E7" s="49"/>
      <c r="F7" s="49"/>
      <c r="G7" s="49"/>
      <c r="H7" s="49"/>
      <c r="I7" s="49"/>
      <c r="J7" s="8"/>
      <c r="K7" s="8"/>
      <c r="L7" s="8"/>
      <c r="M7" s="8"/>
      <c r="N7" s="8"/>
      <c r="O7" s="8"/>
    </row>
    <row r="8" spans="1:15">
      <c r="B8" s="50" t="s">
        <v>29</v>
      </c>
      <c r="C8" s="9"/>
      <c r="D8" s="9"/>
      <c r="E8" s="9"/>
      <c r="F8" s="9"/>
      <c r="G8" s="9"/>
      <c r="H8" s="9"/>
      <c r="I8" s="9"/>
      <c r="J8" s="8"/>
      <c r="K8" s="8"/>
      <c r="L8" s="8"/>
      <c r="M8" s="8"/>
      <c r="N8" s="8"/>
      <c r="O8" s="8"/>
    </row>
    <row r="9" spans="1:15">
      <c r="A9" s="47"/>
      <c r="B9" s="2" t="s">
        <v>30</v>
      </c>
      <c r="C9" s="49"/>
      <c r="D9" s="49"/>
      <c r="E9" s="49"/>
      <c r="F9" s="49"/>
      <c r="G9" s="49"/>
      <c r="H9" s="49"/>
      <c r="I9" s="49"/>
      <c r="J9" s="8"/>
      <c r="K9" s="8"/>
      <c r="L9" s="8"/>
      <c r="M9" s="8"/>
      <c r="N9" s="8"/>
      <c r="O9" s="8"/>
    </row>
    <row r="10" spans="1:15">
      <c r="B10" s="8"/>
      <c r="C10" s="8"/>
      <c r="D10" s="8"/>
      <c r="E10" s="8"/>
      <c r="F10" s="8"/>
      <c r="G10" s="8"/>
      <c r="H10" s="8"/>
      <c r="I10" s="8"/>
      <c r="J10" s="8"/>
      <c r="K10" s="8"/>
      <c r="L10" s="8"/>
      <c r="M10" s="8"/>
      <c r="N10" s="8"/>
      <c r="O10" s="8"/>
    </row>
    <row r="11" spans="1:15">
      <c r="B11" s="8"/>
      <c r="C11" s="8"/>
      <c r="D11" s="8"/>
      <c r="E11" s="8"/>
      <c r="F11" s="8"/>
      <c r="G11" s="8"/>
      <c r="H11" s="8"/>
      <c r="I11" s="8"/>
      <c r="J11" s="8"/>
      <c r="K11" s="8"/>
      <c r="L11" s="8"/>
      <c r="M11" s="8"/>
      <c r="N11" s="8"/>
      <c r="O11" s="8"/>
    </row>
    <row r="12" spans="1:15">
      <c r="B12" s="8"/>
      <c r="C12" s="8"/>
      <c r="D12" s="8"/>
      <c r="E12" s="8"/>
      <c r="F12" s="8"/>
      <c r="G12" s="8"/>
      <c r="H12" s="8"/>
      <c r="I12" s="8"/>
      <c r="J12" s="8"/>
      <c r="K12" s="8"/>
      <c r="L12" s="8"/>
      <c r="M12" s="8"/>
      <c r="N12" s="8"/>
      <c r="O12" s="8"/>
    </row>
    <row r="13" spans="1:15">
      <c r="B13" s="8"/>
      <c r="C13" s="8"/>
      <c r="D13" s="8"/>
      <c r="E13" s="8"/>
      <c r="F13" s="8"/>
      <c r="G13" s="8"/>
      <c r="H13" s="8"/>
      <c r="I13" s="8"/>
      <c r="J13" s="8"/>
      <c r="K13" s="8"/>
      <c r="L13" s="8"/>
      <c r="M13" s="8"/>
      <c r="N13" s="8"/>
      <c r="O13" s="8"/>
    </row>
    <row r="14" spans="1:15">
      <c r="B14" s="8"/>
      <c r="C14" s="8"/>
      <c r="D14" s="8"/>
      <c r="E14" s="8"/>
      <c r="F14" s="8"/>
      <c r="G14" s="8"/>
      <c r="H14" s="8"/>
      <c r="I14" s="8"/>
      <c r="J14" s="8"/>
      <c r="K14" s="8"/>
      <c r="L14" s="8"/>
      <c r="M14" s="8"/>
      <c r="N14" s="8"/>
      <c r="O14" s="8"/>
    </row>
    <row r="15" spans="1:15">
      <c r="B15" s="8"/>
      <c r="C15" s="8"/>
      <c r="D15" s="8"/>
      <c r="E15" s="8"/>
      <c r="F15" s="8"/>
      <c r="G15" s="8"/>
      <c r="H15" s="8"/>
      <c r="I15" s="8"/>
      <c r="J15" s="8"/>
      <c r="K15" s="8"/>
      <c r="L15" s="8"/>
      <c r="M15" s="8"/>
      <c r="N15" s="8"/>
      <c r="O15" s="8"/>
    </row>
    <row r="16" spans="1:15">
      <c r="B16" s="8"/>
      <c r="C16" s="8"/>
      <c r="D16" s="8"/>
      <c r="E16" s="8"/>
      <c r="F16" s="8"/>
      <c r="G16" s="8"/>
      <c r="H16" s="8"/>
      <c r="I16" s="8"/>
      <c r="J16" s="8"/>
      <c r="K16" s="8"/>
      <c r="L16" s="8"/>
      <c r="M16" s="8"/>
      <c r="N16" s="8"/>
      <c r="O16" s="8"/>
    </row>
    <row r="17" spans="2:15">
      <c r="B17" s="8"/>
      <c r="C17" s="8"/>
      <c r="D17" s="8"/>
      <c r="E17" s="8"/>
      <c r="F17" s="8"/>
      <c r="G17" s="8"/>
      <c r="H17" s="8"/>
      <c r="I17" s="8"/>
      <c r="J17" s="8"/>
      <c r="K17" s="8"/>
      <c r="L17" s="8"/>
      <c r="M17" s="8"/>
      <c r="N17" s="8"/>
      <c r="O17" s="8"/>
    </row>
    <row r="18" spans="2:15">
      <c r="B18" s="8"/>
      <c r="C18" s="8"/>
      <c r="D18" s="8"/>
      <c r="E18" s="8"/>
      <c r="F18" s="8"/>
      <c r="G18" s="8"/>
      <c r="H18" s="8"/>
      <c r="I18" s="8"/>
      <c r="J18" s="8"/>
      <c r="K18" s="8"/>
      <c r="L18" s="8"/>
      <c r="M18" s="8"/>
      <c r="N18" s="8"/>
      <c r="O18" s="8"/>
    </row>
    <row r="19" spans="2:15">
      <c r="B19" s="8"/>
      <c r="C19" s="8"/>
      <c r="D19" s="8"/>
      <c r="E19" s="8"/>
      <c r="F19" s="8"/>
      <c r="G19" s="8"/>
      <c r="H19" s="8"/>
      <c r="I19" s="8"/>
      <c r="J19" s="8"/>
      <c r="K19" s="8"/>
      <c r="L19" s="8"/>
      <c r="M19" s="8"/>
      <c r="N19" s="8"/>
      <c r="O19" s="8"/>
    </row>
    <row r="20" spans="2:15">
      <c r="B20" s="8"/>
      <c r="C20" s="8"/>
      <c r="D20" s="8"/>
      <c r="E20" s="8"/>
      <c r="F20" s="8"/>
      <c r="G20" s="8"/>
      <c r="H20" s="8"/>
      <c r="I20" s="8"/>
      <c r="J20" s="8"/>
      <c r="K20" s="8"/>
      <c r="L20" s="8"/>
      <c r="M20" s="8"/>
      <c r="N20" s="8"/>
      <c r="O20" s="8"/>
    </row>
    <row r="21" spans="2:15">
      <c r="B21" s="8"/>
      <c r="C21" s="8"/>
      <c r="D21" s="8"/>
      <c r="E21" s="8"/>
      <c r="F21" s="8"/>
      <c r="G21" s="8"/>
      <c r="H21" s="8"/>
      <c r="I21" s="8"/>
      <c r="J21" s="8"/>
      <c r="K21" s="8"/>
      <c r="L21" s="8"/>
      <c r="M21" s="8"/>
      <c r="N21" s="8"/>
      <c r="O21" s="8"/>
    </row>
    <row r="22" spans="2:15">
      <c r="B22" s="51" t="s">
        <v>38</v>
      </c>
      <c r="C22" s="8"/>
      <c r="D22" s="8"/>
      <c r="E22" s="8"/>
      <c r="F22" s="8"/>
      <c r="G22" s="8"/>
      <c r="H22" s="8"/>
      <c r="I22" s="8"/>
      <c r="J22" s="8"/>
      <c r="K22" s="8"/>
      <c r="L22" s="8"/>
      <c r="M22" s="8"/>
      <c r="N22" s="8"/>
      <c r="O22" s="8"/>
    </row>
    <row r="23" spans="2:15">
      <c r="B23" s="51" t="s">
        <v>32</v>
      </c>
      <c r="C23" s="8"/>
      <c r="D23" s="8"/>
      <c r="E23" s="8"/>
      <c r="F23" s="8"/>
      <c r="G23" s="8"/>
      <c r="H23" s="8"/>
      <c r="I23" s="8"/>
      <c r="J23" s="8"/>
      <c r="K23" s="8"/>
      <c r="L23" s="8"/>
      <c r="M23" s="8"/>
      <c r="N23" s="8"/>
      <c r="O23" s="8"/>
    </row>
    <row r="24" spans="2:15">
      <c r="B24" s="51" t="s">
        <v>33</v>
      </c>
      <c r="C24" s="8"/>
      <c r="D24" s="8"/>
      <c r="E24" s="8"/>
      <c r="F24" s="8"/>
      <c r="G24" s="8"/>
      <c r="H24" s="8"/>
      <c r="I24" s="8"/>
      <c r="J24" s="8"/>
      <c r="K24" s="8"/>
      <c r="L24" s="8"/>
      <c r="M24" s="8"/>
      <c r="N24" s="8"/>
      <c r="O24" s="8"/>
    </row>
    <row r="25" spans="2:15">
      <c r="B25" s="10"/>
      <c r="C25" s="8"/>
      <c r="D25" s="8"/>
      <c r="E25" s="8"/>
      <c r="F25" s="8"/>
      <c r="G25" s="8"/>
      <c r="H25" s="8"/>
      <c r="I25" s="8"/>
      <c r="J25" s="8"/>
      <c r="K25" s="8"/>
      <c r="L25" s="8"/>
      <c r="M25" s="8"/>
      <c r="N25" s="8"/>
      <c r="O25" s="8"/>
    </row>
    <row r="26" spans="2:15">
      <c r="B26" s="10"/>
      <c r="C26" s="8"/>
      <c r="D26" s="8"/>
      <c r="E26" s="8"/>
      <c r="F26" s="8"/>
      <c r="G26" s="8"/>
      <c r="H26" s="8"/>
      <c r="I26" s="8"/>
      <c r="J26" s="8"/>
      <c r="K26" s="8"/>
      <c r="L26" s="8"/>
      <c r="M26" s="8"/>
      <c r="N26" s="8"/>
      <c r="O26" s="8"/>
    </row>
    <row r="27" spans="2:15">
      <c r="B27" s="52" t="s">
        <v>1</v>
      </c>
      <c r="C27" s="8"/>
      <c r="D27" s="8"/>
      <c r="E27" s="8"/>
      <c r="F27" s="8"/>
      <c r="G27" s="8"/>
      <c r="H27" s="8"/>
      <c r="I27" s="8"/>
      <c r="J27" s="8"/>
      <c r="K27" s="8"/>
      <c r="L27" s="8"/>
      <c r="M27" s="8"/>
      <c r="N27" s="8"/>
      <c r="O27" s="8"/>
    </row>
    <row r="28" spans="2:15">
      <c r="B28" s="8"/>
      <c r="C28" s="8"/>
      <c r="D28" s="8"/>
      <c r="E28" s="8"/>
      <c r="F28" s="8"/>
      <c r="G28" s="8"/>
      <c r="H28" s="8"/>
      <c r="I28" s="8"/>
      <c r="J28" s="8"/>
      <c r="K28" s="8"/>
      <c r="L28" s="8"/>
      <c r="M28" s="8"/>
      <c r="N28" s="8"/>
      <c r="O28" s="8"/>
    </row>
    <row r="29" spans="2:15">
      <c r="B29" s="47" t="s">
        <v>2</v>
      </c>
      <c r="C29" s="47"/>
      <c r="D29" s="47"/>
      <c r="E29" s="47"/>
      <c r="F29" s="47"/>
      <c r="G29" s="47"/>
      <c r="H29" s="47"/>
      <c r="I29" s="47"/>
      <c r="J29" s="8"/>
      <c r="K29" s="8"/>
      <c r="L29" s="8"/>
      <c r="M29" s="8"/>
      <c r="N29" s="8"/>
      <c r="O29" s="8"/>
    </row>
    <row r="30" spans="2:15">
      <c r="B30" s="47"/>
      <c r="C30" s="47"/>
      <c r="D30" s="47"/>
      <c r="E30" s="47"/>
      <c r="F30" s="47"/>
      <c r="G30" s="47"/>
      <c r="H30" s="47"/>
      <c r="I30" s="47"/>
      <c r="J30" s="8"/>
      <c r="K30" s="8"/>
      <c r="L30" s="8"/>
      <c r="M30" s="8"/>
      <c r="N30" s="8"/>
      <c r="O30" s="8"/>
    </row>
    <row r="31" spans="2:15">
      <c r="B31" s="48" t="s">
        <v>3</v>
      </c>
      <c r="C31" s="47"/>
      <c r="D31" s="47"/>
      <c r="E31" s="47"/>
      <c r="F31" s="47"/>
      <c r="G31" s="47"/>
      <c r="H31" s="47"/>
      <c r="I31" s="47"/>
      <c r="J31" s="8"/>
      <c r="K31" s="8"/>
      <c r="L31" s="8"/>
      <c r="M31" s="8"/>
      <c r="N31" s="8"/>
      <c r="O31" s="8"/>
    </row>
    <row r="32" spans="2:15">
      <c r="B32" s="48"/>
      <c r="C32" s="47"/>
      <c r="D32" s="47"/>
      <c r="E32" s="47"/>
      <c r="F32" s="47"/>
      <c r="G32" s="47"/>
      <c r="H32" s="47"/>
      <c r="I32" s="47"/>
      <c r="J32" s="8"/>
      <c r="K32" s="8"/>
      <c r="L32" s="8"/>
      <c r="M32" s="8"/>
      <c r="N32" s="8"/>
      <c r="O32" s="8"/>
    </row>
    <row r="33" spans="2:15" ht="13.5" customHeight="1">
      <c r="B33" s="448" t="s">
        <v>4</v>
      </c>
      <c r="C33" s="448"/>
      <c r="D33" s="448"/>
      <c r="E33" s="448"/>
      <c r="F33" s="448"/>
      <c r="G33" s="448"/>
      <c r="H33" s="448"/>
      <c r="I33" s="448"/>
      <c r="J33" s="8"/>
      <c r="K33" s="8"/>
      <c r="L33" s="8"/>
      <c r="M33" s="8"/>
      <c r="N33" s="8"/>
      <c r="O33" s="8"/>
    </row>
    <row r="34" spans="2:15">
      <c r="B34" s="448"/>
      <c r="C34" s="448"/>
      <c r="D34" s="448"/>
      <c r="E34" s="448"/>
      <c r="F34" s="448"/>
      <c r="G34" s="448"/>
      <c r="H34" s="448"/>
      <c r="I34" s="448"/>
      <c r="J34" s="8"/>
      <c r="K34" s="8"/>
      <c r="L34" s="8"/>
      <c r="M34" s="8"/>
      <c r="N34" s="8"/>
      <c r="O34" s="8"/>
    </row>
    <row r="35" spans="2:15">
      <c r="B35" s="448"/>
      <c r="C35" s="448"/>
      <c r="D35" s="448"/>
      <c r="E35" s="448"/>
      <c r="F35" s="448"/>
      <c r="G35" s="448"/>
      <c r="H35" s="448"/>
      <c r="I35" s="448"/>
      <c r="J35" s="8"/>
      <c r="K35" s="8"/>
      <c r="L35" s="8"/>
      <c r="M35" s="8"/>
      <c r="N35" s="8"/>
      <c r="O35" s="8"/>
    </row>
    <row r="36" spans="2:15">
      <c r="B36" s="448"/>
      <c r="C36" s="448"/>
      <c r="D36" s="448"/>
      <c r="E36" s="448"/>
      <c r="F36" s="448"/>
      <c r="G36" s="448"/>
      <c r="H36" s="448"/>
      <c r="I36" s="448"/>
      <c r="J36" s="8"/>
      <c r="K36" s="8"/>
      <c r="L36" s="8"/>
      <c r="M36" s="8"/>
      <c r="N36" s="8"/>
      <c r="O36" s="8"/>
    </row>
    <row r="37" spans="2:15">
      <c r="B37" s="47"/>
      <c r="C37" s="47"/>
      <c r="D37" s="47"/>
      <c r="E37" s="47"/>
      <c r="F37" s="47"/>
      <c r="G37" s="47"/>
      <c r="H37" s="47"/>
      <c r="I37" s="47"/>
      <c r="J37" s="8"/>
      <c r="K37" s="8"/>
      <c r="L37" s="8"/>
      <c r="M37" s="8"/>
      <c r="N37" s="8"/>
      <c r="O37" s="8"/>
    </row>
    <row r="38" spans="2:15">
      <c r="B38" s="48" t="s">
        <v>5</v>
      </c>
      <c r="C38" s="47"/>
      <c r="D38" s="47"/>
      <c r="E38" s="47"/>
      <c r="F38" s="47"/>
      <c r="G38" s="47"/>
      <c r="H38" s="47"/>
      <c r="I38" s="47"/>
      <c r="J38" s="8"/>
      <c r="K38" s="8"/>
      <c r="L38" s="8"/>
      <c r="M38" s="8"/>
      <c r="N38" s="8"/>
      <c r="O38" s="8"/>
    </row>
    <row r="39" spans="2:15">
      <c r="B39" s="448" t="s">
        <v>6</v>
      </c>
      <c r="C39" s="448"/>
      <c r="D39" s="448"/>
      <c r="E39" s="448"/>
      <c r="F39" s="448"/>
      <c r="G39" s="448"/>
      <c r="H39" s="448"/>
      <c r="I39" s="448"/>
      <c r="J39" s="8"/>
      <c r="K39" s="8"/>
      <c r="L39" s="8"/>
      <c r="M39" s="8"/>
      <c r="N39" s="8"/>
      <c r="O39" s="8"/>
    </row>
    <row r="40" spans="2:15">
      <c r="B40" s="448"/>
      <c r="C40" s="448"/>
      <c r="D40" s="448"/>
      <c r="E40" s="448"/>
      <c r="F40" s="448"/>
      <c r="G40" s="448"/>
      <c r="H40" s="448"/>
      <c r="I40" s="448"/>
      <c r="J40" s="8"/>
      <c r="K40" s="8"/>
      <c r="L40" s="8"/>
      <c r="M40" s="8"/>
      <c r="N40" s="8"/>
      <c r="O40" s="8"/>
    </row>
    <row r="41" spans="2:15">
      <c r="B41" s="449"/>
      <c r="C41" s="449"/>
      <c r="D41" s="449"/>
      <c r="E41" s="449"/>
      <c r="F41" s="449"/>
      <c r="G41" s="449"/>
      <c r="H41" s="449"/>
      <c r="I41" s="449"/>
      <c r="J41" s="8"/>
      <c r="K41" s="8"/>
      <c r="L41" s="8"/>
      <c r="M41" s="8"/>
      <c r="N41" s="8"/>
      <c r="O41" s="8"/>
    </row>
    <row r="42" spans="2:15">
      <c r="B42" s="449"/>
      <c r="C42" s="449"/>
      <c r="D42" s="449"/>
      <c r="E42" s="449"/>
      <c r="F42" s="449"/>
      <c r="G42" s="449"/>
      <c r="H42" s="449"/>
      <c r="I42" s="449"/>
      <c r="J42" s="8"/>
      <c r="K42" s="8"/>
      <c r="L42" s="8"/>
      <c r="M42" s="8"/>
      <c r="N42" s="8"/>
      <c r="O42" s="8"/>
    </row>
    <row r="43" spans="2:15">
      <c r="B43" s="47"/>
      <c r="C43" s="47"/>
      <c r="D43" s="47"/>
      <c r="E43" s="47"/>
      <c r="F43" s="47"/>
      <c r="G43" s="47"/>
      <c r="H43" s="47"/>
      <c r="I43" s="47"/>
      <c r="J43" s="8"/>
      <c r="K43" s="8"/>
      <c r="L43" s="8"/>
      <c r="M43" s="8"/>
      <c r="N43" s="8"/>
      <c r="O43" s="8"/>
    </row>
    <row r="44" spans="2:15">
      <c r="B44" s="48" t="s">
        <v>7</v>
      </c>
      <c r="C44" s="47"/>
      <c r="D44" s="47"/>
      <c r="E44" s="47"/>
      <c r="F44" s="47"/>
      <c r="G44" s="47"/>
      <c r="H44" s="47"/>
      <c r="I44" s="47"/>
      <c r="J44" s="8"/>
      <c r="K44" s="8"/>
      <c r="L44" s="8"/>
      <c r="M44" s="8"/>
      <c r="N44" s="8"/>
      <c r="O44" s="8"/>
    </row>
    <row r="45" spans="2:15">
      <c r="B45" s="448" t="s">
        <v>8</v>
      </c>
      <c r="C45" s="448"/>
      <c r="D45" s="448"/>
      <c r="E45" s="448"/>
      <c r="F45" s="448"/>
      <c r="G45" s="448"/>
      <c r="H45" s="448"/>
      <c r="I45" s="448"/>
      <c r="J45" s="8"/>
      <c r="K45" s="8"/>
      <c r="L45" s="8"/>
      <c r="M45" s="8"/>
      <c r="N45" s="8"/>
      <c r="O45" s="8"/>
    </row>
    <row r="46" spans="2:15">
      <c r="B46" s="448"/>
      <c r="C46" s="448"/>
      <c r="D46" s="448"/>
      <c r="E46" s="448"/>
      <c r="F46" s="448"/>
      <c r="G46" s="448"/>
      <c r="H46" s="448"/>
      <c r="I46" s="448"/>
      <c r="J46" s="8"/>
      <c r="K46" s="8"/>
      <c r="L46" s="8"/>
      <c r="M46" s="8"/>
      <c r="N46" s="8"/>
      <c r="O46" s="8"/>
    </row>
    <row r="47" spans="2:15">
      <c r="B47" s="448"/>
      <c r="C47" s="448"/>
      <c r="D47" s="448"/>
      <c r="E47" s="448"/>
      <c r="F47" s="448"/>
      <c r="G47" s="448"/>
      <c r="H47" s="448"/>
      <c r="I47" s="448"/>
      <c r="J47" s="8"/>
      <c r="K47" s="8"/>
      <c r="L47" s="8"/>
      <c r="M47" s="8"/>
      <c r="N47" s="8"/>
      <c r="O47" s="8"/>
    </row>
    <row r="48" spans="2:15">
      <c r="B48" s="449"/>
      <c r="C48" s="449"/>
      <c r="D48" s="449"/>
      <c r="E48" s="449"/>
      <c r="F48" s="449"/>
      <c r="G48" s="449"/>
      <c r="H48" s="449"/>
      <c r="I48" s="449"/>
      <c r="J48" s="8"/>
      <c r="K48" s="8"/>
      <c r="L48" s="8"/>
      <c r="M48" s="8"/>
      <c r="N48" s="8"/>
      <c r="O48" s="8"/>
    </row>
    <row r="49" spans="2:15">
      <c r="B49" s="449"/>
      <c r="C49" s="449"/>
      <c r="D49" s="449"/>
      <c r="E49" s="449"/>
      <c r="F49" s="449"/>
      <c r="G49" s="449"/>
      <c r="H49" s="449"/>
      <c r="I49" s="449"/>
      <c r="J49" s="8"/>
      <c r="K49" s="8"/>
      <c r="L49" s="8"/>
      <c r="M49" s="8"/>
      <c r="N49" s="8"/>
      <c r="O49" s="8"/>
    </row>
    <row r="50" spans="2:15">
      <c r="B50" s="47"/>
      <c r="C50" s="47"/>
      <c r="D50" s="47"/>
      <c r="E50" s="47"/>
      <c r="F50" s="47"/>
      <c r="G50" s="47"/>
      <c r="H50" s="47"/>
      <c r="I50" s="47"/>
      <c r="J50" s="8"/>
      <c r="K50" s="8"/>
      <c r="L50" s="8"/>
      <c r="M50" s="8"/>
      <c r="N50" s="8"/>
      <c r="O50" s="8"/>
    </row>
    <row r="51" spans="2:15">
      <c r="B51" s="48" t="s">
        <v>9</v>
      </c>
      <c r="C51" s="47"/>
      <c r="D51" s="47"/>
      <c r="E51" s="47"/>
      <c r="F51" s="47"/>
      <c r="G51" s="47"/>
      <c r="H51" s="47"/>
      <c r="I51" s="47"/>
      <c r="J51" s="8"/>
      <c r="K51" s="8"/>
      <c r="L51" s="8"/>
      <c r="M51" s="8"/>
      <c r="N51" s="8"/>
      <c r="O51" s="8"/>
    </row>
    <row r="52" spans="2:15">
      <c r="B52" s="448" t="s">
        <v>10</v>
      </c>
      <c r="C52" s="448"/>
      <c r="D52" s="448"/>
      <c r="E52" s="448"/>
      <c r="F52" s="448"/>
      <c r="G52" s="448"/>
      <c r="H52" s="448"/>
      <c r="I52" s="448"/>
      <c r="J52" s="8"/>
      <c r="K52" s="8"/>
      <c r="L52" s="8"/>
      <c r="M52" s="8"/>
      <c r="N52" s="8"/>
      <c r="O52" s="8"/>
    </row>
    <row r="53" spans="2:15">
      <c r="B53" s="448"/>
      <c r="C53" s="448"/>
      <c r="D53" s="448"/>
      <c r="E53" s="448"/>
      <c r="F53" s="448"/>
      <c r="G53" s="448"/>
      <c r="H53" s="448"/>
      <c r="I53" s="448"/>
      <c r="J53" s="8"/>
      <c r="K53" s="8"/>
      <c r="L53" s="8"/>
      <c r="M53" s="8"/>
      <c r="N53" s="8"/>
      <c r="O53" s="8"/>
    </row>
    <row r="54" spans="2:15">
      <c r="B54" s="449"/>
      <c r="C54" s="449"/>
      <c r="D54" s="449"/>
      <c r="E54" s="449"/>
      <c r="F54" s="449"/>
      <c r="G54" s="449"/>
      <c r="H54" s="449"/>
      <c r="I54" s="449"/>
      <c r="J54" s="8"/>
      <c r="K54" s="8"/>
      <c r="L54" s="8"/>
      <c r="M54" s="8"/>
      <c r="N54" s="8"/>
      <c r="O54" s="8"/>
    </row>
    <row r="55" spans="2:15">
      <c r="B55" s="449"/>
      <c r="C55" s="449"/>
      <c r="D55" s="449"/>
      <c r="E55" s="449"/>
      <c r="F55" s="449"/>
      <c r="G55" s="449"/>
      <c r="H55" s="449"/>
      <c r="I55" s="449"/>
      <c r="J55" s="8"/>
      <c r="K55" s="8"/>
      <c r="L55" s="8"/>
      <c r="M55" s="8"/>
      <c r="N55" s="8"/>
      <c r="O55" s="8"/>
    </row>
    <row r="56" spans="2:15">
      <c r="B56" s="47"/>
      <c r="C56" s="47"/>
      <c r="D56" s="47"/>
      <c r="E56" s="47"/>
      <c r="F56" s="47"/>
      <c r="G56" s="47"/>
      <c r="H56" s="47"/>
      <c r="I56" s="47"/>
      <c r="J56" s="8"/>
      <c r="K56" s="8"/>
      <c r="L56" s="8"/>
      <c r="M56" s="8"/>
      <c r="N56" s="8"/>
      <c r="O56" s="8"/>
    </row>
    <row r="57" spans="2:15">
      <c r="B57" s="48" t="s">
        <v>11</v>
      </c>
      <c r="C57" s="47"/>
      <c r="D57" s="47"/>
      <c r="E57" s="47"/>
      <c r="F57" s="47"/>
      <c r="G57" s="47"/>
      <c r="H57" s="47"/>
      <c r="I57" s="47"/>
      <c r="J57" s="8"/>
      <c r="K57" s="8"/>
      <c r="L57" s="8"/>
      <c r="M57" s="8"/>
      <c r="N57" s="8"/>
      <c r="O57" s="8"/>
    </row>
    <row r="58" spans="2:15">
      <c r="B58" s="448" t="s">
        <v>12</v>
      </c>
      <c r="C58" s="448"/>
      <c r="D58" s="448"/>
      <c r="E58" s="448"/>
      <c r="F58" s="448"/>
      <c r="G58" s="448"/>
      <c r="H58" s="448"/>
      <c r="I58" s="448"/>
      <c r="J58" s="8"/>
      <c r="K58" s="8"/>
      <c r="L58" s="8"/>
      <c r="M58" s="8"/>
      <c r="N58" s="8"/>
      <c r="O58" s="8"/>
    </row>
    <row r="59" spans="2:15">
      <c r="B59" s="448"/>
      <c r="C59" s="448"/>
      <c r="D59" s="448"/>
      <c r="E59" s="448"/>
      <c r="F59" s="448"/>
      <c r="G59" s="448"/>
      <c r="H59" s="448"/>
      <c r="I59" s="448"/>
      <c r="J59" s="8"/>
      <c r="K59" s="8"/>
      <c r="L59" s="8"/>
      <c r="M59" s="8"/>
      <c r="N59" s="8"/>
      <c r="O59" s="8"/>
    </row>
    <row r="60" spans="2:15">
      <c r="B60" s="449"/>
      <c r="C60" s="449"/>
      <c r="D60" s="449"/>
      <c r="E60" s="449"/>
      <c r="F60" s="449"/>
      <c r="G60" s="449"/>
      <c r="H60" s="449"/>
      <c r="I60" s="449"/>
      <c r="J60" s="8"/>
      <c r="K60" s="8"/>
      <c r="L60" s="8"/>
      <c r="M60" s="8"/>
      <c r="N60" s="8"/>
      <c r="O60" s="8"/>
    </row>
    <row r="61" spans="2:15">
      <c r="B61" s="449"/>
      <c r="C61" s="449"/>
      <c r="D61" s="449"/>
      <c r="E61" s="449"/>
      <c r="F61" s="449"/>
      <c r="G61" s="449"/>
      <c r="H61" s="449"/>
      <c r="I61" s="449"/>
      <c r="J61" s="8"/>
      <c r="K61" s="8"/>
      <c r="L61" s="8"/>
      <c r="M61" s="8"/>
      <c r="N61" s="8"/>
      <c r="O61" s="8"/>
    </row>
  </sheetData>
  <mergeCells count="5">
    <mergeCell ref="B33:I36"/>
    <mergeCell ref="B52:I55"/>
    <mergeCell ref="B58:I61"/>
    <mergeCell ref="B45:I49"/>
    <mergeCell ref="B39:I42"/>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B1:S65"/>
  <sheetViews>
    <sheetView showGridLines="0" zoomScale="70" zoomScaleNormal="70" zoomScalePageLayoutView="70" workbookViewId="0">
      <selection activeCell="H38" sqref="H38"/>
    </sheetView>
  </sheetViews>
  <sheetFormatPr baseColWidth="10" defaultColWidth="8.83203125" defaultRowHeight="14"/>
  <cols>
    <col min="1" max="1" width="4.5" style="60" customWidth="1"/>
    <col min="2" max="2" width="19.1640625" style="60" customWidth="1"/>
    <col min="3" max="4" width="11.5" style="60" customWidth="1"/>
    <col min="5" max="5" width="13.5" style="60" customWidth="1"/>
    <col min="6" max="13" width="14.5" style="60" customWidth="1"/>
    <col min="14" max="18" width="13.5" style="60" customWidth="1"/>
    <col min="19" max="19" width="13.1640625" style="60" customWidth="1"/>
    <col min="20" max="16384" width="8.83203125" style="60"/>
  </cols>
  <sheetData>
    <row r="1" spans="2:9" ht="13.5" customHeight="1"/>
    <row r="2" spans="2:9" ht="25">
      <c r="B2" s="5" t="str">
        <f>Introduction!B2</f>
        <v>LightCounting High-Speed Cables Forecast</v>
      </c>
      <c r="I2" s="216" t="s">
        <v>39</v>
      </c>
    </row>
    <row r="3" spans="2:9" ht="16">
      <c r="B3" s="215" t="str">
        <f>Introduction!$B$3</f>
        <v>Sample template for illustrative purposes only (December 2020)</v>
      </c>
    </row>
    <row r="24" spans="2:19">
      <c r="J24" s="61"/>
    </row>
    <row r="25" spans="2:19" ht="9" customHeight="1">
      <c r="B25" s="63"/>
      <c r="C25" s="63"/>
      <c r="J25" s="65"/>
      <c r="M25" s="62"/>
      <c r="N25" s="62"/>
      <c r="O25" s="62"/>
      <c r="P25" s="62"/>
    </row>
    <row r="26" spans="2:19" ht="26.5" customHeight="1">
      <c r="F26" s="62"/>
      <c r="G26" s="64" t="s">
        <v>77</v>
      </c>
      <c r="H26" s="450" t="s">
        <v>163</v>
      </c>
      <c r="I26" s="451"/>
      <c r="J26" s="451"/>
      <c r="K26" s="452"/>
    </row>
    <row r="27" spans="2:19" ht="5.25" customHeight="1">
      <c r="N27" s="166"/>
    </row>
    <row r="28" spans="2:19" ht="19">
      <c r="C28" s="69"/>
      <c r="D28" s="67"/>
      <c r="E28" s="67">
        <v>2016</v>
      </c>
      <c r="F28" s="67">
        <v>2017</v>
      </c>
      <c r="G28" s="67">
        <v>2018</v>
      </c>
      <c r="H28" s="67">
        <v>2019</v>
      </c>
      <c r="I28" s="67">
        <v>2020</v>
      </c>
      <c r="J28" s="67">
        <v>2021</v>
      </c>
      <c r="K28" s="67">
        <v>2022</v>
      </c>
      <c r="L28" s="67">
        <v>2023</v>
      </c>
      <c r="M28" s="67">
        <v>2024</v>
      </c>
      <c r="N28" s="67">
        <v>2025</v>
      </c>
      <c r="O28" s="67">
        <v>2026</v>
      </c>
      <c r="P28" s="67">
        <v>2027</v>
      </c>
      <c r="Q28" s="67">
        <v>2028</v>
      </c>
      <c r="R28" s="67">
        <v>2029</v>
      </c>
      <c r="S28" s="67">
        <v>2030</v>
      </c>
    </row>
    <row r="29" spans="2:19" ht="19">
      <c r="B29" s="192"/>
      <c r="C29" s="192"/>
      <c r="D29" s="193" t="s">
        <v>24</v>
      </c>
      <c r="E29" s="119">
        <f>INDEX((VolHPC),MATCH($H$26,'Combined forecast'!$R$8:$R$45,0)+1,MATCH(E$28,$E$28:$R$28,0))</f>
        <v>364356.26539750211</v>
      </c>
      <c r="F29" s="119">
        <f>INDEX((VolHPC),MATCH($H$26,'Combined forecast'!$R$8:$R$45,0)+1,MATCH(F$28,$E$28:$R$28,0))</f>
        <v>323077.45499512914</v>
      </c>
      <c r="G29" s="119">
        <f>INDEX((VolHPC),MATCH($H$26,'Combined forecast'!$R$8:$R$45,0)+1,MATCH(G$28,$E$28:$R$28,0))</f>
        <v>256438.47089959428</v>
      </c>
      <c r="H29" s="119"/>
      <c r="I29" s="119"/>
      <c r="J29" s="119"/>
      <c r="K29" s="119"/>
      <c r="L29" s="119"/>
      <c r="M29" s="119"/>
      <c r="N29" s="119"/>
      <c r="O29" s="281"/>
      <c r="P29" s="119"/>
      <c r="Q29" s="119"/>
      <c r="R29" s="119"/>
    </row>
    <row r="30" spans="2:19" ht="19">
      <c r="B30" s="191"/>
      <c r="C30" s="191"/>
      <c r="D30" s="194" t="str">
        <f>'Segment forecast'!B10</f>
        <v>Core Routing &amp; Optical Transport</v>
      </c>
      <c r="E30" s="119">
        <f>INDEX((VolCore),MATCH($H$26,'Combined forecast'!$R$8:$R$45,0)+1,MATCH(E$28,$E$28:$R$28,0))</f>
        <v>91680.119124785328</v>
      </c>
      <c r="F30" s="119">
        <f>INDEX((VolCore),MATCH($H$26,'Combined forecast'!$R$8:$R$45,0)+1,MATCH(F$28,$E$28:$R$28,0))</f>
        <v>101663.85500487093</v>
      </c>
      <c r="G30" s="119">
        <f>INDEX((VolCore),MATCH($H$26,'Combined forecast'!$R$8:$R$45,0)+1,MATCH(G$28,$E$28:$R$28,0))</f>
        <v>102950.65410040569</v>
      </c>
      <c r="H30" s="119"/>
      <c r="I30" s="119"/>
      <c r="J30" s="119"/>
      <c r="K30" s="119"/>
      <c r="L30" s="119"/>
      <c r="M30" s="119"/>
      <c r="N30" s="119"/>
      <c r="O30" s="281"/>
      <c r="P30" s="119"/>
      <c r="Q30" s="119"/>
      <c r="R30" s="119"/>
    </row>
    <row r="31" spans="2:19" ht="19">
      <c r="B31" s="190"/>
      <c r="C31" s="190"/>
      <c r="D31" s="195" t="str">
        <f>'Segment forecast'!B11</f>
        <v>Cloud (Datacenter)</v>
      </c>
      <c r="E31" s="119">
        <f>INDEX((VolDCS),MATCH($H$26,'Combined forecast'!$R$8:$R$45,0)+1,MATCH(E$28,$E$28:$R$28,0))</f>
        <v>2114349.9726205696</v>
      </c>
      <c r="F31" s="119">
        <f>INDEX((VolDCS),MATCH($H$26,'Combined forecast'!$R$8:$R$45,0)+1,MATCH(F$28,$E$28:$R$28,0))</f>
        <v>3816843.87</v>
      </c>
      <c r="G31" s="119">
        <f>INDEX((VolDCS),MATCH($H$26,'Combined forecast'!$R$8:$R$45,0)+1,MATCH(G$28,$E$28:$R$28,0))</f>
        <v>5895340.375</v>
      </c>
      <c r="H31" s="119"/>
      <c r="I31" s="119"/>
      <c r="J31" s="119"/>
      <c r="K31" s="119"/>
      <c r="L31" s="119"/>
      <c r="M31" s="119"/>
      <c r="N31" s="119"/>
      <c r="O31" s="281"/>
      <c r="P31" s="119"/>
      <c r="Q31" s="119"/>
      <c r="R31" s="119"/>
    </row>
    <row r="32" spans="2:19" ht="19">
      <c r="B32" s="438"/>
      <c r="C32" s="438"/>
      <c r="D32" s="438" t="s">
        <v>232</v>
      </c>
      <c r="E32" s="119">
        <f>INDEX((VolOther),MATCH($H$26,'Combined forecast'!$R$8:$R$45,0)+1,MATCH(E$28,$E$28:$R$28,0))</f>
        <v>0</v>
      </c>
      <c r="F32" s="119">
        <f>INDEX((VolOther),MATCH($H$26,'Combined forecast'!$R$8:$R$45,0)+1,MATCH(F$28,$E$28:$R$28,0))</f>
        <v>2361.8200000000197</v>
      </c>
      <c r="G32" s="119">
        <f>INDEX((VolOther),MATCH($H$26,'Combined forecast'!$R$8:$R$45,0)+1,MATCH(G$28,$E$28:$R$28,0))</f>
        <v>8313.5000000000582</v>
      </c>
      <c r="H32" s="119"/>
      <c r="I32" s="119"/>
      <c r="J32" s="119"/>
      <c r="K32" s="119"/>
      <c r="L32" s="119"/>
      <c r="M32" s="119"/>
      <c r="N32" s="119"/>
      <c r="P32" s="189"/>
      <c r="Q32" s="189"/>
      <c r="R32" s="189"/>
      <c r="S32" s="189"/>
    </row>
    <row r="33" spans="3:19" ht="16">
      <c r="D33" s="436"/>
      <c r="E33" s="119"/>
      <c r="P33" s="437"/>
      <c r="Q33" s="437"/>
      <c r="R33" s="437"/>
      <c r="S33" s="437"/>
    </row>
    <row r="34" spans="3:19" ht="19">
      <c r="C34" s="66"/>
      <c r="D34" s="68" t="s">
        <v>104</v>
      </c>
      <c r="E34" s="119">
        <f>INDEX((LongVolNew),MATCH($H$26,'Combined forecast'!$R$8:$R$45,0)+1,MATCH(E$28,$E$28:$R$28,0))</f>
        <v>2570386.3571428573</v>
      </c>
      <c r="F34" s="119">
        <f>INDEX((LongVolNew),MATCH($H$26,'Combined forecast'!$R$8:$R$45,0)+1,MATCH(F$28,$E$28:$R$28,0))</f>
        <v>4243947</v>
      </c>
      <c r="G34" s="119">
        <f>INDEX((LongVolNew),MATCH($H$26,'Combined forecast'!$R$8:$R$45,0)+1,MATCH(G$28,$E$28:$R$28,0))</f>
        <v>6263043</v>
      </c>
      <c r="H34" s="119"/>
      <c r="I34" s="119"/>
      <c r="J34" s="119"/>
      <c r="K34" s="119"/>
      <c r="L34" s="119"/>
      <c r="M34" s="119"/>
      <c r="N34" s="119"/>
      <c r="O34" s="119"/>
      <c r="P34" s="119"/>
      <c r="Q34" s="119"/>
      <c r="R34" s="119"/>
    </row>
    <row r="35" spans="3:19" ht="19">
      <c r="C35" s="66"/>
      <c r="D35" s="68" t="s">
        <v>41</v>
      </c>
      <c r="E35" s="120">
        <f t="shared" ref="E35" si="0">IF(E34=0,0,(E36*10^6/E34))</f>
        <v>99.044357736149038</v>
      </c>
      <c r="F35" s="120">
        <f t="shared" ref="F35:G35" si="1">IF(F34=0,0,(F36*10^6/F34))</f>
        <v>61.683752962405102</v>
      </c>
      <c r="G35" s="120">
        <f t="shared" si="1"/>
        <v>47.014751380169997</v>
      </c>
      <c r="H35" s="120"/>
      <c r="I35" s="120"/>
      <c r="J35" s="120"/>
      <c r="K35" s="120"/>
      <c r="L35" s="120"/>
      <c r="M35" s="120"/>
      <c r="N35" s="120"/>
      <c r="O35" s="120"/>
      <c r="P35" s="120"/>
      <c r="Q35" s="120"/>
      <c r="R35" s="120"/>
    </row>
    <row r="36" spans="3:19" ht="19">
      <c r="C36" s="66"/>
      <c r="D36" s="68" t="s">
        <v>40</v>
      </c>
      <c r="E36" s="120">
        <f>INDEX((LongRevNew),MATCH($H$26,'Combined forecast'!$R$8:$R$45,0)+1,MATCH(E$28,$E$28:$R$28,0))</f>
        <v>254.58226587697411</v>
      </c>
      <c r="F36" s="120">
        <f>INDEX((LongRevNew),MATCH($H$26,'Combined forecast'!$R$8:$R$45,0)+1,MATCH(F$28,$E$28:$R$28,0))</f>
        <v>261.78257833354024</v>
      </c>
      <c r="G36" s="120">
        <f>INDEX((LongRevNew),MATCH($H$26,'Combined forecast'!$R$8:$R$45,0)+1,MATCH(G$28,$E$28:$R$28,0))</f>
        <v>294.45540952831408</v>
      </c>
      <c r="H36" s="120"/>
      <c r="I36" s="120"/>
      <c r="J36" s="120"/>
      <c r="K36" s="120"/>
      <c r="L36" s="120"/>
      <c r="M36" s="120"/>
      <c r="N36" s="120"/>
      <c r="O36" s="120"/>
      <c r="P36" s="120"/>
      <c r="Q36" s="120"/>
      <c r="R36" s="120"/>
    </row>
    <row r="37" spans="3:19">
      <c r="I37" s="210"/>
      <c r="J37" s="210"/>
      <c r="K37" s="210"/>
      <c r="L37" s="210"/>
      <c r="M37" s="210"/>
      <c r="N37" s="210"/>
      <c r="O37" s="210"/>
      <c r="P37" s="210"/>
      <c r="Q37" s="210"/>
      <c r="R37" s="210"/>
    </row>
    <row r="38" spans="3:19">
      <c r="I38" s="210"/>
      <c r="J38" s="210"/>
      <c r="K38" s="210"/>
      <c r="L38" s="210"/>
      <c r="M38" s="210"/>
      <c r="N38" s="210"/>
      <c r="O38" s="210"/>
    </row>
    <row r="54" spans="6:12">
      <c r="F54" s="204"/>
      <c r="G54" s="204"/>
      <c r="H54" s="204"/>
      <c r="I54" s="204"/>
      <c r="J54" s="204"/>
      <c r="K54" s="204"/>
      <c r="L54" s="204"/>
    </row>
    <row r="55" spans="6:12">
      <c r="F55" s="204"/>
      <c r="G55" s="204"/>
      <c r="H55" s="205"/>
      <c r="I55" s="205"/>
      <c r="J55" s="204"/>
      <c r="K55" s="204"/>
      <c r="L55" s="204"/>
    </row>
    <row r="56" spans="6:12">
      <c r="F56" s="204"/>
      <c r="G56" s="204"/>
      <c r="H56" s="206"/>
      <c r="I56" s="204"/>
      <c r="J56" s="204"/>
      <c r="K56" s="204"/>
      <c r="L56" s="204"/>
    </row>
    <row r="57" spans="6:12">
      <c r="F57" s="204"/>
      <c r="G57" s="204"/>
      <c r="H57" s="206"/>
      <c r="I57" s="204"/>
      <c r="J57" s="204"/>
      <c r="K57" s="204"/>
      <c r="L57" s="204"/>
    </row>
    <row r="58" spans="6:12">
      <c r="F58" s="204"/>
      <c r="G58" s="204"/>
      <c r="H58" s="206"/>
      <c r="I58" s="204"/>
      <c r="J58" s="204"/>
      <c r="K58" s="204"/>
      <c r="L58" s="204"/>
    </row>
    <row r="59" spans="6:12">
      <c r="F59" s="204"/>
      <c r="G59" s="204"/>
      <c r="H59" s="207"/>
      <c r="I59" s="204"/>
      <c r="J59" s="204"/>
      <c r="K59" s="204"/>
      <c r="L59" s="204"/>
    </row>
    <row r="60" spans="6:12">
      <c r="F60" s="204"/>
      <c r="G60" s="204"/>
      <c r="H60" s="205"/>
      <c r="I60" s="205"/>
      <c r="J60" s="204"/>
      <c r="K60" s="204"/>
      <c r="L60" s="204"/>
    </row>
    <row r="61" spans="6:12">
      <c r="F61" s="204"/>
      <c r="G61" s="204"/>
      <c r="H61" s="208"/>
      <c r="I61" s="205"/>
      <c r="J61" s="204"/>
      <c r="K61" s="204"/>
      <c r="L61" s="204"/>
    </row>
    <row r="62" spans="6:12">
      <c r="F62" s="204"/>
      <c r="G62" s="204"/>
      <c r="H62" s="204"/>
      <c r="I62" s="204"/>
      <c r="J62" s="204"/>
      <c r="K62" s="204"/>
      <c r="L62" s="204"/>
    </row>
    <row r="63" spans="6:12" ht="26">
      <c r="F63" s="209"/>
      <c r="G63" s="209"/>
      <c r="H63" s="209"/>
      <c r="I63" s="209"/>
      <c r="J63" s="209"/>
      <c r="K63" s="209"/>
      <c r="L63" s="204"/>
    </row>
    <row r="64" spans="6:12">
      <c r="F64" s="204"/>
      <c r="G64" s="204"/>
      <c r="H64" s="204"/>
      <c r="I64" s="204"/>
      <c r="J64" s="204"/>
      <c r="K64" s="204"/>
      <c r="L64" s="204"/>
    </row>
    <row r="65" spans="6:12">
      <c r="F65" s="204"/>
      <c r="G65" s="204"/>
      <c r="H65" s="204"/>
      <c r="I65" s="204"/>
      <c r="J65" s="204"/>
      <c r="K65" s="204"/>
      <c r="L65" s="204"/>
    </row>
  </sheetData>
  <mergeCells count="1">
    <mergeCell ref="H26:K26"/>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'Combined forecast'!$R$8:$R$45</xm:f>
          </x14:formula1>
          <xm:sqref>H26:K26</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B2:AB292"/>
  <sheetViews>
    <sheetView showGridLines="0" zoomScale="70" zoomScaleNormal="70" zoomScalePageLayoutView="80" workbookViewId="0">
      <selection activeCell="I297" sqref="I297"/>
    </sheetView>
  </sheetViews>
  <sheetFormatPr baseColWidth="10" defaultColWidth="8.83203125" defaultRowHeight="14"/>
  <cols>
    <col min="1" max="1" width="4.5" style="72" customWidth="1"/>
    <col min="2" max="2" width="60.33203125" style="72" customWidth="1"/>
    <col min="3" max="3" width="12.1640625" style="72" customWidth="1"/>
    <col min="4" max="12" width="10.6640625" style="72" customWidth="1"/>
    <col min="13" max="14" width="10.1640625" style="72" customWidth="1"/>
    <col min="15" max="15" width="47.33203125" style="72" customWidth="1"/>
    <col min="16" max="16" width="12.5" style="72" customWidth="1"/>
    <col min="17" max="17" width="10.5" style="72" customWidth="1"/>
    <col min="18" max="19" width="10.33203125" style="72" customWidth="1"/>
    <col min="20" max="20" width="11" style="72" customWidth="1"/>
    <col min="21" max="21" width="10.5" style="72" customWidth="1"/>
    <col min="22" max="24" width="8.83203125" style="72"/>
    <col min="25" max="25" width="8.1640625" style="72" customWidth="1"/>
    <col min="26" max="26" width="18" style="72" customWidth="1"/>
    <col min="27" max="27" width="16" style="72" customWidth="1"/>
    <col min="28" max="28" width="12.5" style="72" customWidth="1"/>
    <col min="29" max="16384" width="8.83203125" style="72"/>
  </cols>
  <sheetData>
    <row r="2" spans="2:22" ht="24">
      <c r="B2" s="5" t="str">
        <f>Introduction!B2</f>
        <v>LightCounting High-Speed Cables Forecast</v>
      </c>
      <c r="Q2" s="72" t="s">
        <v>16</v>
      </c>
      <c r="U2" s="19"/>
      <c r="V2" s="19"/>
    </row>
    <row r="3" spans="2:22" ht="16">
      <c r="B3" s="215" t="str">
        <f>Introduction!B3</f>
        <v>Sample template for illustrative purposes only (December 2020)</v>
      </c>
    </row>
    <row r="6" spans="2:22" ht="24">
      <c r="B6" s="59" t="s">
        <v>250</v>
      </c>
    </row>
    <row r="10" spans="2:22" ht="21" customHeight="1">
      <c r="B10" s="414" t="s">
        <v>276</v>
      </c>
    </row>
    <row r="11" spans="2:22" ht="19">
      <c r="B11" s="411" t="s">
        <v>270</v>
      </c>
    </row>
    <row r="12" spans="2:22" ht="19">
      <c r="B12" s="412" t="s">
        <v>273</v>
      </c>
    </row>
    <row r="13" spans="2:22" ht="19">
      <c r="B13" s="411" t="s">
        <v>274</v>
      </c>
    </row>
    <row r="14" spans="2:22" ht="19">
      <c r="B14" s="411" t="s">
        <v>275</v>
      </c>
    </row>
    <row r="15" spans="2:22" ht="19">
      <c r="B15" s="411" t="s">
        <v>271</v>
      </c>
    </row>
    <row r="16" spans="2:22" ht="19">
      <c r="B16" s="411" t="s">
        <v>272</v>
      </c>
    </row>
    <row r="17" spans="2:25">
      <c r="B17" s="413"/>
    </row>
    <row r="23" spans="2:25" ht="24">
      <c r="B23" s="59" t="s">
        <v>243</v>
      </c>
      <c r="C23" s="311"/>
      <c r="D23" s="311"/>
      <c r="E23" s="311"/>
      <c r="F23" s="311"/>
      <c r="G23" s="311"/>
      <c r="H23" s="311"/>
      <c r="I23" s="311"/>
      <c r="J23" s="311"/>
      <c r="K23" s="311"/>
      <c r="L23" s="303"/>
      <c r="O23" s="310"/>
      <c r="P23" s="308"/>
      <c r="Q23" s="308"/>
      <c r="R23" s="308"/>
      <c r="S23" s="308"/>
      <c r="T23" s="308"/>
      <c r="U23" s="308"/>
      <c r="V23" s="308"/>
      <c r="W23" s="308"/>
      <c r="X23" s="308"/>
      <c r="Y23" s="283"/>
    </row>
    <row r="24" spans="2:25" ht="15">
      <c r="L24" s="303"/>
      <c r="Y24" s="283" t="e">
        <f>SUM(#REF!)-SUM('Combined forecast'!G107:O107)</f>
        <v>#REF!</v>
      </c>
    </row>
    <row r="33" spans="2:28" ht="12.75" customHeight="1"/>
    <row r="47" spans="2:28" ht="16">
      <c r="B47" s="13" t="s">
        <v>27</v>
      </c>
      <c r="C47" s="316">
        <v>2016</v>
      </c>
      <c r="D47" s="316">
        <v>2017</v>
      </c>
      <c r="E47" s="316">
        <v>2018</v>
      </c>
      <c r="F47" s="316">
        <v>2019</v>
      </c>
      <c r="G47" s="316">
        <v>2020</v>
      </c>
      <c r="H47" s="316">
        <v>2021</v>
      </c>
      <c r="I47" s="316">
        <v>2022</v>
      </c>
      <c r="J47" s="316">
        <v>2023</v>
      </c>
      <c r="K47" s="316">
        <v>2024</v>
      </c>
      <c r="L47" s="316">
        <v>2025</v>
      </c>
      <c r="O47" s="13" t="s">
        <v>20</v>
      </c>
      <c r="P47" s="317">
        <v>2016</v>
      </c>
      <c r="Q47" s="317">
        <v>2017</v>
      </c>
      <c r="R47" s="317">
        <v>2018</v>
      </c>
      <c r="S47" s="317">
        <v>2019</v>
      </c>
      <c r="T47" s="317">
        <v>2020</v>
      </c>
      <c r="U47" s="317">
        <v>2021</v>
      </c>
      <c r="V47" s="317">
        <v>2022</v>
      </c>
      <c r="W47" s="317">
        <v>2023</v>
      </c>
      <c r="X47" s="317">
        <v>2024</v>
      </c>
      <c r="Y47" s="317">
        <v>2025</v>
      </c>
      <c r="AA47" s="255"/>
    </row>
    <row r="48" spans="2:28" ht="16">
      <c r="B48" s="373" t="s">
        <v>221</v>
      </c>
      <c r="C48" s="319">
        <f>'AOC forecast'!G8+'AOC forecast'!G15</f>
        <v>1664178</v>
      </c>
      <c r="D48" s="319">
        <f>'AOC forecast'!H8+'AOC forecast'!H15</f>
        <v>3402357</v>
      </c>
      <c r="E48" s="319">
        <f>'AOC forecast'!I8+'AOC forecast'!I15</f>
        <v>5281751</v>
      </c>
      <c r="F48" s="319"/>
      <c r="G48" s="319"/>
      <c r="H48" s="319"/>
      <c r="I48" s="319"/>
      <c r="J48" s="319"/>
      <c r="K48" s="319"/>
      <c r="L48" s="319"/>
      <c r="M48" s="18"/>
      <c r="O48" s="373" t="s">
        <v>221</v>
      </c>
      <c r="P48" s="318">
        <f>SUM(C113:C114)</f>
        <v>41.314569322808062</v>
      </c>
      <c r="Q48" s="318">
        <f>SUM(D113:D114)</f>
        <v>73.672164000000009</v>
      </c>
      <c r="R48" s="318">
        <f>SUM(E113:E114)</f>
        <v>118.91830969999998</v>
      </c>
      <c r="S48" s="318"/>
      <c r="T48" s="318"/>
      <c r="U48" s="318"/>
      <c r="V48" s="318"/>
      <c r="W48" s="318"/>
      <c r="X48" s="318"/>
      <c r="Y48" s="318"/>
      <c r="AA48" s="254"/>
      <c r="AB48" s="314"/>
    </row>
    <row r="49" spans="2:28" ht="16">
      <c r="B49" s="373" t="s">
        <v>222</v>
      </c>
      <c r="C49" s="319">
        <f>'AOC forecast'!G26-Summary!C48</f>
        <v>853208.35714285728</v>
      </c>
      <c r="D49" s="319">
        <f>'AOC forecast'!H26-Summary!D48</f>
        <v>723499</v>
      </c>
      <c r="E49" s="319">
        <f>'AOC forecast'!I26-Summary!E48</f>
        <v>815022</v>
      </c>
      <c r="F49" s="319"/>
      <c r="G49" s="319"/>
      <c r="H49" s="319"/>
      <c r="I49" s="319"/>
      <c r="J49" s="319"/>
      <c r="K49" s="319"/>
      <c r="L49" s="319"/>
      <c r="O49" s="373" t="s">
        <v>222</v>
      </c>
      <c r="P49" s="318">
        <f>'AOC forecast'!G84-Summary!P48</f>
        <v>188.97869693637838</v>
      </c>
      <c r="Q49" s="318">
        <f>'AOC forecast'!H84-Summary!Q48</f>
        <v>138.6302853335402</v>
      </c>
      <c r="R49" s="318">
        <f>'AOC forecast'!I84-Summary!R48</f>
        <v>112.85330982831405</v>
      </c>
      <c r="S49" s="318"/>
      <c r="T49" s="318"/>
      <c r="U49" s="318"/>
      <c r="V49" s="318"/>
      <c r="W49" s="318"/>
      <c r="X49" s="318"/>
      <c r="Y49" s="318"/>
      <c r="AA49" s="254"/>
      <c r="AB49" s="314"/>
    </row>
    <row r="50" spans="2:28" ht="16">
      <c r="AB50" s="314"/>
    </row>
    <row r="51" spans="2:28">
      <c r="O51" s="180"/>
      <c r="P51" s="180"/>
    </row>
    <row r="52" spans="2:28" ht="24">
      <c r="B52" s="59" t="s">
        <v>277</v>
      </c>
    </row>
    <row r="75" spans="2:28" ht="16">
      <c r="B75" s="305" t="s">
        <v>181</v>
      </c>
      <c r="C75" s="307">
        <v>2016</v>
      </c>
      <c r="D75" s="307">
        <v>2017</v>
      </c>
      <c r="E75" s="307">
        <v>2018</v>
      </c>
      <c r="F75" s="307">
        <v>2019</v>
      </c>
      <c r="G75" s="307">
        <v>2020</v>
      </c>
      <c r="H75" s="307">
        <v>2021</v>
      </c>
      <c r="I75" s="307">
        <v>2022</v>
      </c>
      <c r="J75" s="307">
        <v>2023</v>
      </c>
      <c r="K75" s="307">
        <v>2024</v>
      </c>
      <c r="L75" s="307">
        <v>2025</v>
      </c>
    </row>
    <row r="76" spans="2:28" ht="15">
      <c r="B76" s="393" t="s">
        <v>224</v>
      </c>
      <c r="C76" s="394">
        <f>'AOC forecast'!G8</f>
        <v>1654178</v>
      </c>
      <c r="D76" s="394">
        <f>'AOC forecast'!H8</f>
        <v>3231705</v>
      </c>
      <c r="E76" s="394">
        <f>'AOC forecast'!I8</f>
        <v>4256351</v>
      </c>
      <c r="F76" s="394"/>
      <c r="G76" s="394"/>
      <c r="H76" s="394"/>
      <c r="I76" s="394"/>
      <c r="J76" s="394"/>
      <c r="K76" s="394"/>
      <c r="L76" s="394"/>
    </row>
    <row r="77" spans="2:28" ht="15">
      <c r="B77" s="395" t="s">
        <v>225</v>
      </c>
      <c r="C77" s="396">
        <f>'AOC forecast'!G15</f>
        <v>10000</v>
      </c>
      <c r="D77" s="396">
        <f>'AOC forecast'!H15</f>
        <v>170652</v>
      </c>
      <c r="E77" s="396">
        <f>'AOC forecast'!I15</f>
        <v>1025400</v>
      </c>
      <c r="F77" s="396"/>
      <c r="G77" s="396"/>
      <c r="H77" s="396"/>
      <c r="I77" s="396"/>
      <c r="J77" s="396"/>
      <c r="K77" s="396"/>
      <c r="L77" s="396"/>
    </row>
    <row r="78" spans="2:28" ht="15">
      <c r="B78" s="393" t="s">
        <v>226</v>
      </c>
      <c r="C78" s="394">
        <f>'Copper cable forecast'!C8</f>
        <v>4845145.5</v>
      </c>
      <c r="D78" s="394">
        <f>'Copper cable forecast'!D8</f>
        <v>4589910</v>
      </c>
      <c r="E78" s="394">
        <f>'Copper cable forecast'!E8</f>
        <v>4549211.2050000001</v>
      </c>
      <c r="F78" s="394"/>
      <c r="G78" s="394"/>
      <c r="H78" s="394"/>
      <c r="I78" s="394"/>
      <c r="J78" s="394"/>
      <c r="K78" s="394"/>
      <c r="L78" s="394"/>
    </row>
    <row r="79" spans="2:28" ht="16">
      <c r="B79" s="395" t="s">
        <v>227</v>
      </c>
      <c r="C79" s="396">
        <f>'Copper cable forecast'!C9</f>
        <v>568611.75000000012</v>
      </c>
      <c r="D79" s="396">
        <f>'Copper cable forecast'!D9</f>
        <v>1246925.55</v>
      </c>
      <c r="E79" s="396">
        <f>'Copper cable forecast'!E9</f>
        <v>1890581.28</v>
      </c>
      <c r="F79" s="396"/>
      <c r="G79" s="396"/>
      <c r="H79" s="396"/>
      <c r="I79" s="396"/>
      <c r="J79" s="396"/>
      <c r="K79" s="396"/>
      <c r="L79" s="396"/>
      <c r="N79" s="311"/>
      <c r="AA79" s="306"/>
      <c r="AB79" s="315"/>
    </row>
    <row r="80" spans="2:28" ht="16">
      <c r="B80" s="393" t="s">
        <v>229</v>
      </c>
      <c r="C80" s="394">
        <f>'AOC forecast'!G9+'AOC forecast'!G10</f>
        <v>381394</v>
      </c>
      <c r="D80" s="394">
        <f>'AOC forecast'!H9+'AOC forecast'!H10</f>
        <v>242928</v>
      </c>
      <c r="E80" s="394">
        <f>'AOC forecast'!I9+'AOC forecast'!I10</f>
        <v>343161</v>
      </c>
      <c r="F80" s="394"/>
      <c r="G80" s="394"/>
      <c r="H80" s="394"/>
      <c r="I80" s="394"/>
      <c r="J80" s="394"/>
      <c r="K80" s="394"/>
      <c r="L80" s="394"/>
      <c r="N80" s="311"/>
      <c r="AA80" s="306"/>
      <c r="AB80" s="315"/>
    </row>
    <row r="81" spans="2:28" ht="16">
      <c r="B81" s="395" t="s">
        <v>228</v>
      </c>
      <c r="C81" s="396">
        <f>'AOC forecast'!G16+'AOC forecast'!G17</f>
        <v>140000</v>
      </c>
      <c r="D81" s="396">
        <f>'AOC forecast'!H16+'AOC forecast'!H17</f>
        <v>200209</v>
      </c>
      <c r="E81" s="396">
        <f>'AOC forecast'!I16+'AOC forecast'!I17</f>
        <v>273711</v>
      </c>
      <c r="F81" s="396"/>
      <c r="G81" s="396"/>
      <c r="H81" s="396"/>
      <c r="I81" s="396"/>
      <c r="J81" s="396"/>
      <c r="K81" s="396"/>
      <c r="L81" s="396"/>
      <c r="N81" s="311"/>
      <c r="AA81" s="306"/>
      <c r="AB81" s="315"/>
    </row>
    <row r="82" spans="2:28" ht="16">
      <c r="B82" s="393" t="s">
        <v>230</v>
      </c>
      <c r="C82" s="394">
        <f>C201</f>
        <v>1672205.7074885746</v>
      </c>
      <c r="D82" s="394">
        <f t="shared" ref="D82:E82" si="0">D201</f>
        <v>1222748.8825000001</v>
      </c>
      <c r="E82" s="394">
        <f t="shared" si="0"/>
        <v>1815514.6020258623</v>
      </c>
      <c r="F82" s="394"/>
      <c r="G82" s="394"/>
      <c r="H82" s="394"/>
      <c r="I82" s="394"/>
      <c r="J82" s="394"/>
      <c r="K82" s="394"/>
      <c r="L82" s="394"/>
      <c r="AA82" s="306"/>
      <c r="AB82" s="315"/>
    </row>
    <row r="83" spans="2:28" ht="16">
      <c r="B83" s="409" t="s">
        <v>267</v>
      </c>
      <c r="C83" s="396">
        <f>C203</f>
        <v>162811.34000000003</v>
      </c>
      <c r="D83" s="396">
        <f t="shared" ref="D83:E83" si="1">D203</f>
        <v>464323.94</v>
      </c>
      <c r="E83" s="396">
        <f t="shared" si="1"/>
        <v>641422.97215182055</v>
      </c>
      <c r="F83" s="396"/>
      <c r="G83" s="396"/>
      <c r="H83" s="396"/>
      <c r="I83" s="396"/>
      <c r="J83" s="396"/>
      <c r="K83" s="396"/>
      <c r="L83" s="396"/>
      <c r="AA83" s="306"/>
      <c r="AB83" s="315"/>
    </row>
    <row r="84" spans="2:28" ht="16">
      <c r="B84" s="393" t="s">
        <v>231</v>
      </c>
      <c r="C84" s="394">
        <f>'AOC forecast'!G22</f>
        <v>0</v>
      </c>
      <c r="D84" s="394">
        <f>'AOC forecast'!H22</f>
        <v>0</v>
      </c>
      <c r="E84" s="394">
        <f>'AOC forecast'!I22</f>
        <v>0</v>
      </c>
      <c r="F84" s="394"/>
      <c r="G84" s="394"/>
      <c r="H84" s="394"/>
      <c r="I84" s="394"/>
      <c r="J84" s="394"/>
      <c r="K84" s="394"/>
      <c r="L84" s="394"/>
      <c r="AA84" s="306"/>
      <c r="AB84" s="315"/>
    </row>
    <row r="85" spans="2:28" ht="15">
      <c r="B85" s="395" t="s">
        <v>223</v>
      </c>
      <c r="C85" s="396">
        <f>'AOC forecast'!G23</f>
        <v>0</v>
      </c>
      <c r="D85" s="396">
        <f>'AOC forecast'!H23</f>
        <v>0</v>
      </c>
      <c r="E85" s="396">
        <f>'AOC forecast'!I23</f>
        <v>0</v>
      </c>
      <c r="F85" s="396"/>
      <c r="G85" s="396"/>
      <c r="H85" s="396"/>
      <c r="I85" s="396"/>
      <c r="J85" s="396"/>
      <c r="K85" s="396"/>
      <c r="L85" s="396"/>
    </row>
    <row r="86" spans="2:28" ht="15">
      <c r="B86" s="410" t="s">
        <v>268</v>
      </c>
      <c r="C86" s="394">
        <f>C204</f>
        <v>0</v>
      </c>
      <c r="D86" s="394">
        <f t="shared" ref="D86:E87" si="2">D204</f>
        <v>0</v>
      </c>
      <c r="E86" s="394">
        <f t="shared" si="2"/>
        <v>0</v>
      </c>
      <c r="F86" s="394"/>
      <c r="G86" s="394"/>
      <c r="H86" s="394"/>
      <c r="I86" s="394"/>
      <c r="J86" s="394"/>
      <c r="K86" s="394"/>
      <c r="L86" s="394"/>
    </row>
    <row r="87" spans="2:28" ht="15">
      <c r="B87" s="409" t="s">
        <v>269</v>
      </c>
      <c r="C87" s="396">
        <f>C205</f>
        <v>0</v>
      </c>
      <c r="D87" s="396">
        <f t="shared" si="2"/>
        <v>0</v>
      </c>
      <c r="E87" s="396">
        <f t="shared" si="2"/>
        <v>0</v>
      </c>
      <c r="F87" s="396"/>
      <c r="G87" s="396"/>
      <c r="H87" s="396"/>
      <c r="I87" s="396"/>
      <c r="J87" s="396"/>
      <c r="K87" s="396"/>
      <c r="L87" s="396"/>
    </row>
    <row r="88" spans="2:28" ht="15">
      <c r="B88" s="374"/>
      <c r="C88" s="309"/>
      <c r="D88" s="309"/>
      <c r="E88" s="309"/>
      <c r="F88" s="309"/>
      <c r="G88" s="309"/>
      <c r="H88" s="309"/>
      <c r="I88" s="309"/>
      <c r="J88" s="309"/>
      <c r="K88" s="309"/>
      <c r="L88" s="309"/>
      <c r="O88" s="310"/>
      <c r="P88" s="309"/>
      <c r="Q88" s="309"/>
      <c r="R88" s="309"/>
      <c r="S88" s="309"/>
      <c r="T88" s="309"/>
      <c r="U88" s="309"/>
      <c r="V88" s="309"/>
      <c r="W88" s="309"/>
      <c r="X88" s="309"/>
      <c r="Y88" s="309"/>
    </row>
    <row r="89" spans="2:28" ht="24">
      <c r="B89" s="59" t="s">
        <v>278</v>
      </c>
    </row>
    <row r="112" spans="2:12" ht="16">
      <c r="B112" s="397" t="s">
        <v>180</v>
      </c>
      <c r="C112" s="398">
        <v>2016</v>
      </c>
      <c r="D112" s="398">
        <v>2017</v>
      </c>
      <c r="E112" s="398">
        <v>2018</v>
      </c>
      <c r="F112" s="398">
        <v>2019</v>
      </c>
      <c r="G112" s="398">
        <v>2020</v>
      </c>
      <c r="H112" s="398">
        <v>2021</v>
      </c>
      <c r="I112" s="398">
        <v>2022</v>
      </c>
      <c r="J112" s="398">
        <v>2023</v>
      </c>
      <c r="K112" s="398">
        <v>2024</v>
      </c>
      <c r="L112" s="398">
        <v>2025</v>
      </c>
    </row>
    <row r="113" spans="2:28" ht="16">
      <c r="B113" s="399" t="str">
        <f t="shared" ref="B113:B124" si="3">B76</f>
        <v>10G AOCs</v>
      </c>
      <c r="C113" s="400">
        <f>'AOC forecast'!G66</f>
        <v>40.21456932280806</v>
      </c>
      <c r="D113" s="400">
        <f>'AOC forecast'!H66</f>
        <v>60.527746000000008</v>
      </c>
      <c r="E113" s="400">
        <f>'AOC forecast'!I66</f>
        <v>66.906791699999971</v>
      </c>
      <c r="F113" s="400"/>
      <c r="G113" s="400"/>
      <c r="H113" s="400"/>
      <c r="I113" s="400"/>
      <c r="J113" s="400"/>
      <c r="K113" s="400"/>
      <c r="L113" s="400"/>
      <c r="AB113" s="314"/>
    </row>
    <row r="114" spans="2:28" ht="16">
      <c r="B114" s="401" t="str">
        <f t="shared" si="3"/>
        <v>25G AOCs</v>
      </c>
      <c r="C114" s="402">
        <f>'AOC forecast'!G73</f>
        <v>1.1000000000000001</v>
      </c>
      <c r="D114" s="402">
        <f>'AOC forecast'!H73</f>
        <v>13.144417999999996</v>
      </c>
      <c r="E114" s="402">
        <f>'AOC forecast'!I73</f>
        <v>52.011518000000002</v>
      </c>
      <c r="F114" s="402"/>
      <c r="G114" s="402"/>
      <c r="H114" s="402"/>
      <c r="I114" s="402"/>
      <c r="J114" s="402"/>
      <c r="K114" s="402"/>
      <c r="L114" s="402"/>
      <c r="AB114" s="315"/>
    </row>
    <row r="115" spans="2:28" ht="16">
      <c r="B115" s="399" t="str">
        <f t="shared" si="3"/>
        <v>10G DACs</v>
      </c>
      <c r="C115" s="400">
        <f>'Copper cable forecast'!C54</f>
        <v>70.673932160447592</v>
      </c>
      <c r="D115" s="400">
        <f>'Copper cable forecast'!D54</f>
        <v>51.579628705502515</v>
      </c>
      <c r="E115" s="400">
        <f>'Copper cable forecast'!E54</f>
        <v>42.906206723868529</v>
      </c>
      <c r="F115" s="400"/>
      <c r="G115" s="400"/>
      <c r="H115" s="400"/>
      <c r="I115" s="400"/>
      <c r="J115" s="400"/>
      <c r="K115" s="400"/>
      <c r="L115" s="400"/>
      <c r="AA115" s="306"/>
      <c r="AB115" s="315"/>
    </row>
    <row r="116" spans="2:28" ht="16">
      <c r="B116" s="401" t="str">
        <f t="shared" si="3"/>
        <v>25G DACs</v>
      </c>
      <c r="C116" s="402">
        <f>'Copper cable forecast'!C55</f>
        <v>37.52837550000001</v>
      </c>
      <c r="D116" s="402">
        <f>'Copper cable forecast'!D55</f>
        <v>57.626435004851608</v>
      </c>
      <c r="E116" s="402">
        <f>'Copper cable forecast'!E55</f>
        <v>57.537742700516695</v>
      </c>
      <c r="F116" s="402"/>
      <c r="G116" s="402"/>
      <c r="H116" s="402"/>
      <c r="I116" s="402"/>
      <c r="J116" s="402"/>
      <c r="K116" s="402"/>
      <c r="L116" s="402"/>
      <c r="M116" s="311"/>
      <c r="N116" s="311"/>
      <c r="O116" s="311"/>
      <c r="P116" s="311"/>
      <c r="Q116" s="311"/>
      <c r="R116" s="311"/>
      <c r="S116" s="311"/>
      <c r="T116" s="311"/>
      <c r="U116" s="311"/>
      <c r="V116" s="311"/>
      <c r="W116" s="311"/>
      <c r="X116" s="311"/>
      <c r="Y116" s="311"/>
      <c r="AA116" s="306"/>
      <c r="AB116" s="315"/>
    </row>
    <row r="117" spans="2:28" ht="16">
      <c r="B117" s="399" t="str">
        <f t="shared" si="3"/>
        <v>40G AOCs</v>
      </c>
      <c r="C117" s="400">
        <f>'AOC forecast'!G67</f>
        <v>34.523513699817194</v>
      </c>
      <c r="D117" s="400">
        <f>'AOC forecast'!H67</f>
        <v>20.354611999999992</v>
      </c>
      <c r="E117" s="400">
        <f>'AOC forecast'!I67</f>
        <v>24.887500560000007</v>
      </c>
      <c r="F117" s="400"/>
      <c r="G117" s="400"/>
      <c r="H117" s="400"/>
      <c r="I117" s="400"/>
      <c r="J117" s="400"/>
      <c r="K117" s="400"/>
      <c r="L117" s="400"/>
      <c r="M117" s="311"/>
      <c r="N117" s="311"/>
      <c r="O117" s="311"/>
      <c r="P117" s="311"/>
      <c r="Q117" s="311"/>
      <c r="R117" s="311"/>
      <c r="S117" s="311"/>
      <c r="T117" s="311"/>
      <c r="U117" s="311"/>
      <c r="V117" s="311"/>
      <c r="W117" s="311"/>
      <c r="X117" s="311"/>
      <c r="Y117" s="311"/>
      <c r="AA117" s="306"/>
      <c r="AB117" s="315"/>
    </row>
    <row r="118" spans="2:28" ht="16">
      <c r="B118" s="401" t="str">
        <f t="shared" si="3"/>
        <v>100G AOCs</v>
      </c>
      <c r="C118" s="402">
        <f>'AOC forecast'!G74</f>
        <v>67.2</v>
      </c>
      <c r="D118" s="402">
        <f>'AOC forecast'!H74</f>
        <v>53.504848000000003</v>
      </c>
      <c r="E118" s="402">
        <f>'AOC forecast'!I74</f>
        <v>44.266548524645216</v>
      </c>
      <c r="F118" s="402"/>
      <c r="G118" s="402"/>
      <c r="H118" s="402"/>
      <c r="I118" s="402"/>
      <c r="J118" s="402"/>
      <c r="K118" s="402"/>
      <c r="L118" s="402"/>
      <c r="M118" s="311"/>
      <c r="N118" s="311"/>
      <c r="O118" s="311"/>
      <c r="P118" s="311"/>
      <c r="Q118" s="311"/>
      <c r="R118" s="311"/>
      <c r="S118" s="311"/>
      <c r="T118" s="311"/>
      <c r="U118" s="311"/>
      <c r="V118" s="311"/>
      <c r="W118" s="311"/>
      <c r="X118" s="311"/>
      <c r="Y118" s="311"/>
      <c r="AA118" s="306"/>
      <c r="AB118" s="315"/>
    </row>
    <row r="119" spans="2:28" ht="16">
      <c r="B119" s="399" t="str">
        <f t="shared" si="3"/>
        <v>40G DACs</v>
      </c>
      <c r="C119" s="400">
        <f t="shared" ref="C119:E119" si="4">P201</f>
        <v>102.17953707392044</v>
      </c>
      <c r="D119" s="400">
        <f t="shared" si="4"/>
        <v>72.516352540852367</v>
      </c>
      <c r="E119" s="400">
        <f t="shared" si="4"/>
        <v>91.412697904245206</v>
      </c>
      <c r="F119" s="400"/>
      <c r="G119" s="400"/>
      <c r="H119" s="400"/>
      <c r="I119" s="400"/>
      <c r="J119" s="400"/>
      <c r="K119" s="400"/>
      <c r="L119" s="400"/>
      <c r="AA119" s="306"/>
      <c r="AB119" s="315"/>
    </row>
    <row r="120" spans="2:28" ht="16">
      <c r="B120" s="401" t="str">
        <f t="shared" si="3"/>
        <v>100G DAC/ACC/AECs</v>
      </c>
      <c r="C120" s="402">
        <f>Summary!P203</f>
        <v>32.822766144000006</v>
      </c>
      <c r="D120" s="402">
        <f>Summary!Q203</f>
        <v>53.044366905600008</v>
      </c>
      <c r="E120" s="402">
        <f>Summary!R203</f>
        <v>44.003188336459552</v>
      </c>
      <c r="F120" s="402"/>
      <c r="G120" s="402"/>
      <c r="H120" s="402"/>
      <c r="I120" s="402"/>
      <c r="J120" s="402"/>
      <c r="K120" s="402"/>
      <c r="L120" s="402"/>
      <c r="AA120" s="306"/>
      <c r="AB120" s="315"/>
    </row>
    <row r="121" spans="2:28" ht="16">
      <c r="B121" s="399" t="str">
        <f t="shared" si="3"/>
        <v>200G AOCs</v>
      </c>
      <c r="C121" s="400">
        <f>'AOC forecast'!G80</f>
        <v>0</v>
      </c>
      <c r="D121" s="400">
        <f>'AOC forecast'!H80</f>
        <v>0</v>
      </c>
      <c r="E121" s="400">
        <f>'AOC forecast'!I80</f>
        <v>0</v>
      </c>
      <c r="F121" s="400"/>
      <c r="G121" s="400"/>
      <c r="H121" s="400"/>
      <c r="I121" s="400"/>
      <c r="J121" s="400"/>
      <c r="K121" s="400"/>
      <c r="L121" s="400"/>
      <c r="AA121" s="306"/>
      <c r="AB121" s="315"/>
    </row>
    <row r="122" spans="2:28" ht="15">
      <c r="B122" s="401" t="str">
        <f t="shared" si="3"/>
        <v>400G AOCs</v>
      </c>
      <c r="C122" s="402">
        <f>'AOC forecast'!G81</f>
        <v>0</v>
      </c>
      <c r="D122" s="402">
        <f>'AOC forecast'!H81</f>
        <v>0</v>
      </c>
      <c r="E122" s="402">
        <f>'AOC forecast'!I81</f>
        <v>0</v>
      </c>
      <c r="F122" s="402"/>
      <c r="G122" s="402"/>
      <c r="H122" s="402"/>
      <c r="I122" s="402"/>
      <c r="J122" s="402"/>
      <c r="K122" s="402"/>
      <c r="L122" s="402"/>
    </row>
    <row r="123" spans="2:28" ht="15">
      <c r="B123" s="399" t="str">
        <f t="shared" si="3"/>
        <v>200G DAC/ACC/AECs</v>
      </c>
      <c r="C123" s="400">
        <f>'Copper cable forecast'!C60+'Copper cable forecast'!C61</f>
        <v>0</v>
      </c>
      <c r="D123" s="400">
        <f>'Copper cable forecast'!D60+'Copper cable forecast'!D61</f>
        <v>0</v>
      </c>
      <c r="E123" s="400">
        <f>'Copper cable forecast'!E60+'Copper cable forecast'!E61</f>
        <v>0</v>
      </c>
      <c r="F123" s="400"/>
      <c r="G123" s="400"/>
      <c r="H123" s="400"/>
      <c r="I123" s="400"/>
      <c r="J123" s="400"/>
      <c r="K123" s="400"/>
      <c r="L123" s="400"/>
    </row>
    <row r="124" spans="2:28" ht="15">
      <c r="B124" s="401" t="str">
        <f t="shared" si="3"/>
        <v>400G DAC/ACC/AECs</v>
      </c>
      <c r="C124" s="402">
        <f t="shared" ref="C124:E124" si="5">P205</f>
        <v>0</v>
      </c>
      <c r="D124" s="402">
        <f t="shared" si="5"/>
        <v>0</v>
      </c>
      <c r="E124" s="402">
        <f t="shared" si="5"/>
        <v>0</v>
      </c>
      <c r="F124" s="402"/>
      <c r="G124" s="402"/>
      <c r="H124" s="402"/>
      <c r="I124" s="402"/>
      <c r="J124" s="402"/>
      <c r="K124" s="402"/>
      <c r="L124" s="402"/>
    </row>
    <row r="125" spans="2:28" ht="15">
      <c r="B125" s="374" t="s">
        <v>238</v>
      </c>
      <c r="C125" s="309">
        <f>'AOC forecast'!G83</f>
        <v>0</v>
      </c>
      <c r="D125" s="309">
        <f>'AOC forecast'!H83</f>
        <v>0</v>
      </c>
      <c r="E125" s="309">
        <f>'AOC forecast'!I83</f>
        <v>0</v>
      </c>
      <c r="F125" s="309"/>
      <c r="G125" s="309"/>
      <c r="H125" s="309"/>
      <c r="I125" s="309"/>
      <c r="J125" s="309"/>
      <c r="K125" s="309"/>
      <c r="L125" s="309"/>
      <c r="O125" s="310"/>
      <c r="P125" s="309"/>
      <c r="Q125" s="309"/>
      <c r="R125" s="309"/>
      <c r="S125" s="309"/>
      <c r="T125" s="309"/>
      <c r="U125" s="309"/>
      <c r="V125" s="309"/>
      <c r="W125" s="309"/>
      <c r="X125" s="309"/>
      <c r="Y125" s="309"/>
    </row>
    <row r="126" spans="2:28" ht="15">
      <c r="B126" s="416" t="s">
        <v>283</v>
      </c>
      <c r="C126" s="402">
        <f>P206</f>
        <v>0</v>
      </c>
      <c r="D126" s="402">
        <f t="shared" ref="D126:E126" si="6">Q206</f>
        <v>0</v>
      </c>
      <c r="E126" s="402">
        <f t="shared" si="6"/>
        <v>0</v>
      </c>
      <c r="F126" s="402"/>
      <c r="G126" s="402"/>
      <c r="H126" s="402"/>
      <c r="I126" s="402"/>
      <c r="J126" s="402"/>
      <c r="K126" s="402"/>
      <c r="L126" s="402"/>
      <c r="O126" s="310"/>
      <c r="P126" s="309"/>
      <c r="Q126" s="309"/>
      <c r="R126" s="309"/>
      <c r="S126" s="309"/>
      <c r="T126" s="309"/>
      <c r="U126" s="309"/>
      <c r="V126" s="309"/>
      <c r="W126" s="309"/>
      <c r="X126" s="309"/>
      <c r="Y126" s="309"/>
    </row>
    <row r="127" spans="2:28">
      <c r="B127" s="73"/>
      <c r="C127" s="73"/>
      <c r="D127" s="73"/>
      <c r="E127" s="73"/>
      <c r="F127" s="73"/>
      <c r="G127" s="73"/>
      <c r="H127" s="73"/>
      <c r="I127" s="73"/>
      <c r="J127" s="73"/>
      <c r="K127" s="73"/>
    </row>
    <row r="128" spans="2:28" ht="24">
      <c r="B128" s="59" t="s">
        <v>183</v>
      </c>
    </row>
    <row r="169" spans="2:27" ht="21">
      <c r="H169" s="181"/>
      <c r="O169" s="320"/>
    </row>
    <row r="170" spans="2:27" ht="21">
      <c r="B170" s="312" t="s">
        <v>182</v>
      </c>
      <c r="C170" s="313"/>
      <c r="D170" s="30">
        <v>2016</v>
      </c>
      <c r="E170" s="30">
        <v>2017</v>
      </c>
      <c r="F170" s="30">
        <v>2018</v>
      </c>
      <c r="G170" s="30">
        <v>2019</v>
      </c>
      <c r="H170" s="30">
        <v>2020</v>
      </c>
      <c r="I170" s="30">
        <v>2021</v>
      </c>
      <c r="J170" s="30">
        <v>2022</v>
      </c>
      <c r="K170" s="30">
        <v>2023</v>
      </c>
      <c r="L170" s="30">
        <v>2024</v>
      </c>
      <c r="M170" s="31">
        <v>2025</v>
      </c>
      <c r="O170" s="320"/>
      <c r="AA170" s="377"/>
    </row>
    <row r="171" spans="2:27" ht="21">
      <c r="B171" s="238" t="str">
        <f>Segmentation!B69</f>
        <v>HPC &amp; AI Clusters</v>
      </c>
      <c r="C171" s="239"/>
      <c r="D171" s="211">
        <f>'Segment forecast'!G9</f>
        <v>337856.26539750211</v>
      </c>
      <c r="E171" s="211">
        <f>'Segment forecast'!H9</f>
        <v>275841.05499512912</v>
      </c>
      <c r="F171" s="211">
        <f>'Segment forecast'!I9</f>
        <v>214870.97089959428</v>
      </c>
      <c r="G171" s="211"/>
      <c r="H171" s="211"/>
      <c r="I171" s="211"/>
      <c r="J171" s="211"/>
      <c r="K171" s="211"/>
      <c r="L171" s="211"/>
      <c r="M171" s="212"/>
      <c r="O171" s="320"/>
      <c r="AA171" s="379"/>
    </row>
    <row r="172" spans="2:27" ht="21">
      <c r="B172" s="288" t="str">
        <f>Segmentation!B70</f>
        <v>Core Routing &amp; Optical Transport</v>
      </c>
      <c r="C172" s="240"/>
      <c r="D172" s="213">
        <f>'Segment forecast'!G10</f>
        <v>86380.119124785328</v>
      </c>
      <c r="E172" s="213">
        <f>'Segment forecast'!H10</f>
        <v>92216.575004870916</v>
      </c>
      <c r="F172" s="213">
        <f>'Segment forecast'!I10</f>
        <v>82998.254100405713</v>
      </c>
      <c r="G172" s="213"/>
      <c r="H172" s="213"/>
      <c r="I172" s="213"/>
      <c r="J172" s="213"/>
      <c r="K172" s="213"/>
      <c r="L172" s="213"/>
      <c r="M172" s="214"/>
      <c r="O172" s="320"/>
      <c r="AA172" s="379"/>
    </row>
    <row r="173" spans="2:27" ht="21">
      <c r="B173" s="252" t="str">
        <f>Segmentation!B71&amp;" (except 10/25G)"</f>
        <v>Cloud (Datacenter) (except 10/25G)</v>
      </c>
      <c r="C173" s="241"/>
      <c r="D173" s="242">
        <f>'Segment forecast'!G11-D174</f>
        <v>428971.97262056964</v>
      </c>
      <c r="E173" s="242">
        <f>'Segment forecast'!H11-E174</f>
        <v>355441.37000000011</v>
      </c>
      <c r="F173" s="242">
        <f>'Segment forecast'!I11-F174</f>
        <v>517152.77500000037</v>
      </c>
      <c r="G173" s="242"/>
      <c r="H173" s="242"/>
      <c r="I173" s="242"/>
      <c r="J173" s="242"/>
      <c r="K173" s="242"/>
      <c r="L173" s="242"/>
      <c r="M173" s="243"/>
      <c r="O173" s="320"/>
    </row>
    <row r="174" spans="2:27" ht="21">
      <c r="B174" s="97" t="s">
        <v>184</v>
      </c>
      <c r="C174" s="113"/>
      <c r="D174" s="321">
        <f>'Segment forecast'!G196+'Segment forecast'!G203+'Segment forecast'!G210</f>
        <v>1664178</v>
      </c>
      <c r="E174" s="322">
        <f>'Segment forecast'!H196+'Segment forecast'!H203+'Segment forecast'!H210</f>
        <v>3402357</v>
      </c>
      <c r="F174" s="322">
        <f>'Segment forecast'!I196+'Segment forecast'!I203+'Segment forecast'!I210</f>
        <v>5281751</v>
      </c>
      <c r="G174" s="322"/>
      <c r="H174" s="322"/>
      <c r="I174" s="322"/>
      <c r="J174" s="322"/>
      <c r="K174" s="322"/>
      <c r="L174" s="322"/>
      <c r="M174" s="323"/>
      <c r="O174" s="320"/>
    </row>
    <row r="175" spans="2:27" ht="21">
      <c r="B175" s="97" t="s">
        <v>232</v>
      </c>
      <c r="C175" s="113"/>
      <c r="D175" s="321">
        <f>'Segment forecast'!G12</f>
        <v>0</v>
      </c>
      <c r="E175" s="322">
        <f>'Segment forecast'!H12</f>
        <v>1.2732925824820995E-11</v>
      </c>
      <c r="F175" s="322">
        <f>'Segment forecast'!I12</f>
        <v>5.8207660913467407E-11</v>
      </c>
      <c r="G175" s="322"/>
      <c r="H175" s="322"/>
      <c r="I175" s="322"/>
      <c r="J175" s="322"/>
      <c r="K175" s="322"/>
      <c r="L175" s="322"/>
      <c r="M175" s="323"/>
      <c r="O175" s="320"/>
    </row>
    <row r="176" spans="2:27" ht="21">
      <c r="O176" s="320"/>
    </row>
    <row r="177" spans="2:2" ht="24">
      <c r="B177" s="59" t="s">
        <v>279</v>
      </c>
    </row>
    <row r="198" spans="2:27" ht="16">
      <c r="B198" s="305" t="s">
        <v>280</v>
      </c>
      <c r="C198" s="351">
        <v>2016</v>
      </c>
      <c r="D198" s="352">
        <v>2017</v>
      </c>
      <c r="E198" s="352">
        <v>2018</v>
      </c>
      <c r="F198" s="352">
        <v>2019</v>
      </c>
      <c r="G198" s="352">
        <v>2020</v>
      </c>
      <c r="H198" s="352">
        <v>2021</v>
      </c>
      <c r="I198" s="352">
        <v>2022</v>
      </c>
      <c r="J198" s="352">
        <v>2023</v>
      </c>
      <c r="K198" s="352">
        <v>2024</v>
      </c>
      <c r="L198" s="353">
        <v>2025</v>
      </c>
      <c r="O198" s="305" t="s">
        <v>281</v>
      </c>
      <c r="P198" s="389">
        <v>2016</v>
      </c>
      <c r="Q198" s="390">
        <v>2017</v>
      </c>
      <c r="R198" s="390">
        <v>2018</v>
      </c>
      <c r="S198" s="390">
        <v>2019</v>
      </c>
      <c r="T198" s="390">
        <v>2020</v>
      </c>
      <c r="U198" s="390">
        <v>2021</v>
      </c>
      <c r="V198" s="390">
        <v>2022</v>
      </c>
      <c r="W198" s="390">
        <v>2023</v>
      </c>
      <c r="X198" s="390">
        <v>2024</v>
      </c>
      <c r="Y198" s="391">
        <v>2025</v>
      </c>
      <c r="AA198" s="377"/>
    </row>
    <row r="199" spans="2:27" ht="16">
      <c r="B199" s="349" t="s">
        <v>72</v>
      </c>
      <c r="C199" s="354">
        <f>'Copper cable forecast'!C8</f>
        <v>4845145.5</v>
      </c>
      <c r="D199" s="355">
        <f>'Copper cable forecast'!D8</f>
        <v>4589910</v>
      </c>
      <c r="E199" s="355">
        <f>'Copper cable forecast'!E8</f>
        <v>4549211.2050000001</v>
      </c>
      <c r="F199" s="355"/>
      <c r="G199" s="355"/>
      <c r="H199" s="355"/>
      <c r="I199" s="355"/>
      <c r="J199" s="355"/>
      <c r="K199" s="355"/>
      <c r="L199" s="356"/>
      <c r="O199" s="386" t="s">
        <v>72</v>
      </c>
      <c r="P199" s="380">
        <f>'Copper cable forecast'!C54</f>
        <v>70.673932160447592</v>
      </c>
      <c r="Q199" s="381">
        <f>'Copper cable forecast'!D54</f>
        <v>51.579628705502515</v>
      </c>
      <c r="R199" s="381">
        <f>'Copper cable forecast'!E54</f>
        <v>42.906206723868529</v>
      </c>
      <c r="S199" s="381"/>
      <c r="T199" s="381"/>
      <c r="U199" s="381"/>
      <c r="V199" s="381"/>
      <c r="W199" s="381"/>
      <c r="X199" s="381"/>
      <c r="Y199" s="382"/>
      <c r="AA199" s="379"/>
    </row>
    <row r="200" spans="2:27" ht="16">
      <c r="B200" s="375" t="s">
        <v>78</v>
      </c>
      <c r="C200" s="357">
        <f>'Copper cable forecast'!C9</f>
        <v>568611.75000000012</v>
      </c>
      <c r="D200" s="358">
        <f>'Copper cable forecast'!D9</f>
        <v>1246925.55</v>
      </c>
      <c r="E200" s="358">
        <f>'Copper cable forecast'!E9</f>
        <v>1890581.28</v>
      </c>
      <c r="F200" s="358"/>
      <c r="G200" s="358"/>
      <c r="H200" s="358"/>
      <c r="I200" s="358"/>
      <c r="J200" s="358"/>
      <c r="K200" s="358"/>
      <c r="L200" s="359"/>
      <c r="O200" s="387" t="s">
        <v>78</v>
      </c>
      <c r="P200" s="383">
        <f>'Copper cable forecast'!C55</f>
        <v>37.52837550000001</v>
      </c>
      <c r="Q200" s="384">
        <f>'Copper cable forecast'!D55</f>
        <v>57.626435004851608</v>
      </c>
      <c r="R200" s="384">
        <f>'Copper cable forecast'!E55</f>
        <v>57.537742700516695</v>
      </c>
      <c r="S200" s="384"/>
      <c r="T200" s="384"/>
      <c r="U200" s="384"/>
      <c r="V200" s="384"/>
      <c r="W200" s="384"/>
      <c r="X200" s="384"/>
      <c r="Y200" s="385"/>
      <c r="AA200" s="379"/>
    </row>
    <row r="201" spans="2:27" ht="16">
      <c r="B201" s="375" t="s">
        <v>79</v>
      </c>
      <c r="C201" s="357">
        <f>'Copper cable forecast'!C10</f>
        <v>1672205.7074885746</v>
      </c>
      <c r="D201" s="358">
        <f>'Copper cable forecast'!D10</f>
        <v>1222748.8825000001</v>
      </c>
      <c r="E201" s="358">
        <f>'Copper cable forecast'!E10</f>
        <v>1815514.6020258623</v>
      </c>
      <c r="F201" s="358"/>
      <c r="G201" s="358"/>
      <c r="H201" s="358"/>
      <c r="I201" s="358"/>
      <c r="J201" s="358"/>
      <c r="K201" s="358"/>
      <c r="L201" s="359"/>
      <c r="O201" s="387" t="s">
        <v>79</v>
      </c>
      <c r="P201" s="383">
        <f>'Copper cable forecast'!C56</f>
        <v>102.17953707392044</v>
      </c>
      <c r="Q201" s="384">
        <f>'Copper cable forecast'!D56</f>
        <v>72.516352540852367</v>
      </c>
      <c r="R201" s="384">
        <f>'Copper cable forecast'!E56</f>
        <v>91.412697904245206</v>
      </c>
      <c r="S201" s="384"/>
      <c r="T201" s="384"/>
      <c r="U201" s="384"/>
      <c r="V201" s="384"/>
      <c r="W201" s="384"/>
      <c r="X201" s="384"/>
      <c r="Y201" s="385"/>
    </row>
    <row r="202" spans="2:27" ht="16">
      <c r="B202" s="375" t="s">
        <v>168</v>
      </c>
      <c r="C202" s="357">
        <f>'Copper cable forecast'!C11</f>
        <v>402361.84385246772</v>
      </c>
      <c r="D202" s="358">
        <f>'Copper cable forecast'!D11</f>
        <v>364851.71764485457</v>
      </c>
      <c r="E202" s="358">
        <f>'Copper cable forecast'!E11</f>
        <v>163770.15025505435</v>
      </c>
      <c r="F202" s="358"/>
      <c r="G202" s="358"/>
      <c r="H202" s="358"/>
      <c r="I202" s="358"/>
      <c r="J202" s="358"/>
      <c r="K202" s="358"/>
      <c r="L202" s="359"/>
      <c r="O202" s="387" t="s">
        <v>168</v>
      </c>
      <c r="P202" s="383">
        <f>'Copper cable forecast'!C57</f>
        <v>27.198075903832958</v>
      </c>
      <c r="Q202" s="384">
        <f>'Copper cable forecast'!D57</f>
        <v>24.775568635814039</v>
      </c>
      <c r="R202" s="384">
        <f>'Copper cable forecast'!E57</f>
        <v>9.2602208597830753</v>
      </c>
      <c r="S202" s="384"/>
      <c r="T202" s="384"/>
      <c r="U202" s="384"/>
      <c r="V202" s="384"/>
      <c r="W202" s="384"/>
      <c r="X202" s="384"/>
      <c r="Y202" s="385"/>
      <c r="AA202" s="377"/>
    </row>
    <row r="203" spans="2:27" ht="16">
      <c r="B203" s="350" t="s">
        <v>82</v>
      </c>
      <c r="C203" s="357">
        <f>'Copper cable forecast'!C12+'Copper cable forecast'!C13</f>
        <v>162811.34000000003</v>
      </c>
      <c r="D203" s="358">
        <f>'Copper cable forecast'!D12+'Copper cable forecast'!D13</f>
        <v>464323.94</v>
      </c>
      <c r="E203" s="358">
        <f>'Copper cable forecast'!E12+'Copper cable forecast'!E13</f>
        <v>641422.97215182055</v>
      </c>
      <c r="F203" s="358"/>
      <c r="G203" s="358"/>
      <c r="H203" s="358"/>
      <c r="I203" s="358"/>
      <c r="J203" s="358"/>
      <c r="K203" s="358"/>
      <c r="L203" s="359"/>
      <c r="O203" s="388" t="s">
        <v>82</v>
      </c>
      <c r="P203" s="383">
        <f>'Copper cable forecast'!C58+'Copper cable forecast'!C59</f>
        <v>32.822766144000006</v>
      </c>
      <c r="Q203" s="384">
        <f>'Copper cable forecast'!D58+'Copper cable forecast'!D59</f>
        <v>53.044366905600008</v>
      </c>
      <c r="R203" s="384">
        <f>'Copper cable forecast'!E58+'Copper cable forecast'!E59</f>
        <v>44.003188336459552</v>
      </c>
      <c r="S203" s="384"/>
      <c r="T203" s="384"/>
      <c r="U203" s="384"/>
      <c r="V203" s="384"/>
      <c r="W203" s="384"/>
      <c r="X203" s="384"/>
      <c r="Y203" s="385"/>
      <c r="AA203" s="314"/>
    </row>
    <row r="204" spans="2:27" ht="16">
      <c r="B204" s="350" t="s">
        <v>84</v>
      </c>
      <c r="C204" s="357">
        <f>'Copper cable forecast'!C14+'Copper cable forecast'!C15</f>
        <v>0</v>
      </c>
      <c r="D204" s="358">
        <f>'Copper cable forecast'!D14+'Copper cable forecast'!D15</f>
        <v>0</v>
      </c>
      <c r="E204" s="358">
        <f>'Copper cable forecast'!E14+'Copper cable forecast'!E15</f>
        <v>0</v>
      </c>
      <c r="F204" s="358"/>
      <c r="G204" s="358"/>
      <c r="H204" s="358"/>
      <c r="I204" s="358"/>
      <c r="J204" s="358"/>
      <c r="K204" s="358"/>
      <c r="L204" s="359"/>
      <c r="O204" s="388" t="s">
        <v>84</v>
      </c>
      <c r="P204" s="383">
        <f>'Copper cable forecast'!C61+'Copper cable forecast'!C60</f>
        <v>0</v>
      </c>
      <c r="Q204" s="384">
        <f>'Copper cable forecast'!D61+'Copper cable forecast'!D60</f>
        <v>0</v>
      </c>
      <c r="R204" s="384">
        <f>'Copper cable forecast'!E61+'Copper cable forecast'!E60</f>
        <v>0</v>
      </c>
      <c r="S204" s="384"/>
      <c r="T204" s="384"/>
      <c r="U204" s="384"/>
      <c r="V204" s="384"/>
      <c r="W204" s="384"/>
      <c r="X204" s="384"/>
      <c r="Y204" s="385"/>
      <c r="AA204" s="314"/>
    </row>
    <row r="205" spans="2:27" ht="16">
      <c r="B205" s="350" t="s">
        <v>139</v>
      </c>
      <c r="C205" s="357">
        <f>'Copper cable forecast'!C16+'Copper cable forecast'!C17</f>
        <v>0</v>
      </c>
      <c r="D205" s="358">
        <f>'Copper cable forecast'!D16+'Copper cable forecast'!D17</f>
        <v>0</v>
      </c>
      <c r="E205" s="358">
        <f>'Copper cable forecast'!E16+'Copper cable forecast'!E17</f>
        <v>0</v>
      </c>
      <c r="F205" s="358"/>
      <c r="G205" s="358"/>
      <c r="H205" s="358"/>
      <c r="I205" s="358"/>
      <c r="J205" s="358"/>
      <c r="K205" s="358"/>
      <c r="L205" s="359"/>
      <c r="O205" s="388" t="s">
        <v>139</v>
      </c>
      <c r="P205" s="383">
        <f>'Copper cable forecast'!C62+'Copper cable forecast'!C63</f>
        <v>0</v>
      </c>
      <c r="Q205" s="384">
        <f>'Copper cable forecast'!D62+'Copper cable forecast'!D63</f>
        <v>0</v>
      </c>
      <c r="R205" s="384">
        <f>'Copper cable forecast'!E62+'Copper cable forecast'!E63</f>
        <v>0</v>
      </c>
      <c r="S205" s="384"/>
      <c r="T205" s="384"/>
      <c r="U205" s="384"/>
      <c r="V205" s="384"/>
      <c r="W205" s="384"/>
      <c r="X205" s="384"/>
      <c r="Y205" s="385"/>
    </row>
    <row r="206" spans="2:27" ht="16">
      <c r="B206" s="350" t="s">
        <v>150</v>
      </c>
      <c r="C206" s="357">
        <f>'Copper cable forecast'!C18+'Copper cable forecast'!C19</f>
        <v>0</v>
      </c>
      <c r="D206" s="358">
        <f>'Copper cable forecast'!D18+'Copper cable forecast'!D19</f>
        <v>0</v>
      </c>
      <c r="E206" s="358">
        <f>'Copper cable forecast'!E18+'Copper cable forecast'!E19</f>
        <v>0</v>
      </c>
      <c r="F206" s="358"/>
      <c r="G206" s="358"/>
      <c r="H206" s="358"/>
      <c r="I206" s="358"/>
      <c r="J206" s="358"/>
      <c r="K206" s="358"/>
      <c r="L206" s="359"/>
      <c r="O206" s="388" t="s">
        <v>150</v>
      </c>
      <c r="P206" s="383">
        <f>'Copper cable forecast'!C65+'Copper cable forecast'!C64</f>
        <v>0</v>
      </c>
      <c r="Q206" s="384">
        <f>'Copper cable forecast'!D65+'Copper cable forecast'!D64</f>
        <v>0</v>
      </c>
      <c r="R206" s="384">
        <f>'Copper cable forecast'!E65+'Copper cable forecast'!E64</f>
        <v>0</v>
      </c>
      <c r="S206" s="384"/>
      <c r="T206" s="384"/>
      <c r="U206" s="384"/>
      <c r="V206" s="384"/>
      <c r="W206" s="384"/>
      <c r="X206" s="384"/>
      <c r="Y206" s="385"/>
    </row>
    <row r="207" spans="2:27" ht="16">
      <c r="B207" s="392" t="s">
        <v>13</v>
      </c>
      <c r="C207" s="220">
        <f>SUM(C199:C206)</f>
        <v>7651136.1413410418</v>
      </c>
      <c r="D207" s="221">
        <f t="shared" ref="D207:E207" si="7">SUM(D199:D206)</f>
        <v>7888760.090144855</v>
      </c>
      <c r="E207" s="221">
        <f t="shared" si="7"/>
        <v>9060500.209432736</v>
      </c>
      <c r="F207" s="221"/>
      <c r="G207" s="221"/>
      <c r="H207" s="221"/>
      <c r="I207" s="221"/>
      <c r="J207" s="221"/>
      <c r="K207" s="221"/>
      <c r="L207" s="222"/>
      <c r="O207" s="407" t="s">
        <v>13</v>
      </c>
      <c r="P207" s="224">
        <f>SUM(P199:P206)</f>
        <v>270.40268678220099</v>
      </c>
      <c r="Q207" s="225">
        <f t="shared" ref="Q207:R207" si="8">SUM(Q199:Q206)</f>
        <v>259.54235179262054</v>
      </c>
      <c r="R207" s="225">
        <f t="shared" si="8"/>
        <v>245.12005652487304</v>
      </c>
      <c r="S207" s="225"/>
      <c r="T207" s="225"/>
      <c r="U207" s="225"/>
      <c r="V207" s="225"/>
      <c r="W207" s="225"/>
      <c r="X207" s="225"/>
      <c r="Y207" s="226"/>
    </row>
    <row r="208" spans="2:27">
      <c r="O208" s="72" t="s">
        <v>282</v>
      </c>
      <c r="P208" s="184">
        <f>P207</f>
        <v>270.40268678220099</v>
      </c>
      <c r="Q208" s="184">
        <f t="shared" ref="Q208:R208" si="9">Q207</f>
        <v>259.54235179262054</v>
      </c>
      <c r="R208" s="184">
        <f t="shared" si="9"/>
        <v>245.12005652487304</v>
      </c>
      <c r="S208" s="184"/>
      <c r="T208" s="184"/>
      <c r="U208" s="184"/>
      <c r="V208" s="184"/>
      <c r="W208" s="184"/>
      <c r="X208" s="184"/>
      <c r="Y208" s="184"/>
    </row>
    <row r="209" spans="2:25" ht="19">
      <c r="C209" s="376"/>
      <c r="D209" s="82"/>
      <c r="E209" s="82"/>
      <c r="F209" s="82"/>
      <c r="O209" s="72" t="s">
        <v>51</v>
      </c>
      <c r="P209" s="78">
        <f>'AOC forecast'!G84</f>
        <v>230.29326625918645</v>
      </c>
      <c r="Q209" s="78">
        <f>'AOC forecast'!H84</f>
        <v>212.30244933354021</v>
      </c>
      <c r="R209" s="78">
        <f>'AOC forecast'!I84</f>
        <v>231.77161952831403</v>
      </c>
      <c r="S209" s="78"/>
      <c r="T209" s="78"/>
      <c r="U209" s="78"/>
      <c r="V209" s="78"/>
      <c r="W209" s="78"/>
      <c r="X209" s="78"/>
      <c r="Y209" s="78"/>
    </row>
    <row r="210" spans="2:25">
      <c r="C210" s="82"/>
      <c r="D210" s="82"/>
      <c r="E210" s="82"/>
      <c r="F210" s="82"/>
    </row>
    <row r="211" spans="2:25" ht="24">
      <c r="B211" s="59" t="s">
        <v>242</v>
      </c>
    </row>
    <row r="227" spans="2:27">
      <c r="AA227" s="270"/>
    </row>
    <row r="228" spans="2:27">
      <c r="AA228" s="304"/>
    </row>
    <row r="229" spans="2:27">
      <c r="B229" s="73"/>
      <c r="C229" s="170"/>
      <c r="D229" s="170"/>
      <c r="E229" s="170"/>
      <c r="F229" s="170"/>
      <c r="G229" s="170"/>
      <c r="H229" s="170"/>
      <c r="I229" s="170"/>
      <c r="J229" s="170"/>
      <c r="K229" s="170"/>
      <c r="L229" s="303"/>
      <c r="AA229" s="18"/>
    </row>
    <row r="230" spans="2:27">
      <c r="B230" s="73"/>
    </row>
    <row r="231" spans="2:27" ht="15">
      <c r="B231" s="348" t="s">
        <v>247</v>
      </c>
      <c r="C231" s="351">
        <v>2016</v>
      </c>
      <c r="D231" s="352">
        <v>2017</v>
      </c>
      <c r="E231" s="352">
        <v>2018</v>
      </c>
      <c r="F231" s="352">
        <v>2019</v>
      </c>
      <c r="G231" s="352">
        <v>2020</v>
      </c>
      <c r="H231" s="352">
        <v>2021</v>
      </c>
      <c r="I231" s="352">
        <v>2022</v>
      </c>
      <c r="J231" s="352">
        <v>2023</v>
      </c>
      <c r="K231" s="352">
        <v>2024</v>
      </c>
      <c r="L231" s="353">
        <v>2025</v>
      </c>
      <c r="O231" s="348" t="s">
        <v>248</v>
      </c>
      <c r="P231" s="389">
        <v>2016</v>
      </c>
      <c r="Q231" s="390">
        <v>2017</v>
      </c>
      <c r="R231" s="390">
        <v>2018</v>
      </c>
      <c r="S231" s="390">
        <v>2019</v>
      </c>
      <c r="T231" s="390">
        <v>2020</v>
      </c>
      <c r="U231" s="390">
        <v>2021</v>
      </c>
      <c r="V231" s="390">
        <v>2022</v>
      </c>
      <c r="W231" s="390">
        <v>2023</v>
      </c>
      <c r="X231" s="390">
        <v>2024</v>
      </c>
      <c r="Y231" s="391">
        <v>2025</v>
      </c>
    </row>
    <row r="232" spans="2:27" ht="16">
      <c r="B232" s="403" t="s">
        <v>241</v>
      </c>
      <c r="C232" s="354">
        <f>'EOM forecast'!G8</f>
        <v>53000</v>
      </c>
      <c r="D232" s="355">
        <f>'EOM forecast'!H8</f>
        <v>118091</v>
      </c>
      <c r="E232" s="355">
        <f>'EOM forecast'!I8</f>
        <v>166270</v>
      </c>
      <c r="F232" s="355"/>
      <c r="G232" s="355"/>
      <c r="H232" s="355"/>
      <c r="I232" s="355">
        <f>'EOM forecast'!M8</f>
        <v>0</v>
      </c>
      <c r="J232" s="355"/>
      <c r="K232" s="355"/>
      <c r="L232" s="356"/>
      <c r="O232" s="403" t="s">
        <v>241</v>
      </c>
      <c r="P232" s="380">
        <f>'EOM forecast'!G21</f>
        <v>24.28899961778767</v>
      </c>
      <c r="Q232" s="381">
        <f>'EOM forecast'!H21</f>
        <v>49.480128999999998</v>
      </c>
      <c r="R232" s="381">
        <f>'EOM forecast'!I21</f>
        <v>62.683790000000002</v>
      </c>
      <c r="S232" s="381"/>
      <c r="T232" s="381"/>
      <c r="U232" s="381"/>
      <c r="V232" s="381">
        <f>'EOM forecast'!M21</f>
        <v>0</v>
      </c>
      <c r="W232" s="381"/>
      <c r="X232" s="381"/>
      <c r="Y232" s="382"/>
      <c r="AA232" s="377"/>
    </row>
    <row r="233" spans="2:27" ht="16">
      <c r="B233" s="404" t="s">
        <v>239</v>
      </c>
      <c r="C233" s="357"/>
      <c r="D233" s="358"/>
      <c r="E233" s="358"/>
      <c r="F233" s="358"/>
      <c r="G233" s="358"/>
      <c r="H233" s="358"/>
      <c r="I233" s="358">
        <f>'CPO forecast'!G14</f>
        <v>30000</v>
      </c>
      <c r="J233" s="358"/>
      <c r="K233" s="358"/>
      <c r="L233" s="359"/>
      <c r="O233" s="404" t="str">
        <f t="shared" ref="O233:O234" si="10">B233</f>
        <v>800G CPO</v>
      </c>
      <c r="P233" s="383"/>
      <c r="Q233" s="384"/>
      <c r="R233" s="384"/>
      <c r="S233" s="384"/>
      <c r="T233" s="384"/>
      <c r="U233" s="384"/>
      <c r="V233" s="384">
        <f>'CPO forecast'!G46</f>
        <v>15.955351531349066</v>
      </c>
      <c r="W233" s="384"/>
      <c r="X233" s="384"/>
      <c r="Y233" s="385"/>
      <c r="AA233" s="314"/>
    </row>
    <row r="234" spans="2:27" ht="16">
      <c r="B234" s="405" t="s">
        <v>240</v>
      </c>
      <c r="C234" s="357"/>
      <c r="D234" s="358"/>
      <c r="E234" s="358"/>
      <c r="F234" s="358"/>
      <c r="G234" s="358"/>
      <c r="H234" s="358"/>
      <c r="I234" s="358"/>
      <c r="J234" s="358"/>
      <c r="K234" s="358"/>
      <c r="L234" s="359"/>
      <c r="O234" s="405" t="str">
        <f t="shared" si="10"/>
        <v>1.6T CPO</v>
      </c>
      <c r="P234" s="383"/>
      <c r="Q234" s="384"/>
      <c r="R234" s="384"/>
      <c r="S234" s="384"/>
      <c r="T234" s="384"/>
      <c r="U234" s="384"/>
      <c r="V234" s="384">
        <f>'CPO forecast'!G47</f>
        <v>0</v>
      </c>
      <c r="W234" s="384"/>
      <c r="X234" s="384"/>
      <c r="Y234" s="385"/>
      <c r="AA234" s="314"/>
    </row>
    <row r="235" spans="2:27" ht="16">
      <c r="B235" s="406" t="s">
        <v>246</v>
      </c>
      <c r="C235" s="221">
        <f t="shared" ref="C235:E235" si="11">SUM(C233:C234)</f>
        <v>0</v>
      </c>
      <c r="D235" s="221">
        <f t="shared" si="11"/>
        <v>0</v>
      </c>
      <c r="E235" s="221">
        <f t="shared" si="11"/>
        <v>0</v>
      </c>
      <c r="F235" s="221"/>
      <c r="G235" s="221"/>
      <c r="H235" s="221"/>
      <c r="I235" s="221">
        <f>SUM(I233:I234)</f>
        <v>30000</v>
      </c>
      <c r="J235" s="221"/>
      <c r="K235" s="221"/>
      <c r="L235" s="222"/>
      <c r="O235" s="335" t="s">
        <v>145</v>
      </c>
      <c r="P235" s="225">
        <f t="shared" ref="P235:U235" si="12">SUM(P233:P234)</f>
        <v>0</v>
      </c>
      <c r="Q235" s="225">
        <f t="shared" si="12"/>
        <v>0</v>
      </c>
      <c r="R235" s="225">
        <f t="shared" si="12"/>
        <v>0</v>
      </c>
      <c r="S235" s="225">
        <f t="shared" si="12"/>
        <v>0</v>
      </c>
      <c r="T235" s="225">
        <f t="shared" si="12"/>
        <v>0</v>
      </c>
      <c r="U235" s="225">
        <f t="shared" si="12"/>
        <v>0</v>
      </c>
      <c r="V235" s="225">
        <f>SUM(V233:V234)</f>
        <v>15.955351531349066</v>
      </c>
      <c r="W235" s="225"/>
      <c r="X235" s="225"/>
      <c r="Y235" s="226"/>
      <c r="AA235" s="378"/>
    </row>
    <row r="236" spans="2:27">
      <c r="B236" s="73"/>
    </row>
    <row r="238" spans="2:27" ht="19">
      <c r="B238" s="415" t="s">
        <v>249</v>
      </c>
    </row>
    <row r="277" spans="2:27" ht="16">
      <c r="AA277" s="377"/>
    </row>
    <row r="278" spans="2:27" ht="16">
      <c r="AA278" s="379"/>
    </row>
    <row r="280" spans="2:27" ht="21">
      <c r="G280" s="181" t="s">
        <v>107</v>
      </c>
      <c r="N280" s="408"/>
    </row>
    <row r="281" spans="2:27" ht="15">
      <c r="B281" s="312" t="s">
        <v>164</v>
      </c>
      <c r="C281" s="313"/>
      <c r="D281" s="340">
        <v>2016</v>
      </c>
      <c r="E281" s="183">
        <v>2017</v>
      </c>
      <c r="F281" s="183">
        <v>2018</v>
      </c>
      <c r="G281" s="183">
        <v>2019</v>
      </c>
      <c r="H281" s="183">
        <v>2020</v>
      </c>
      <c r="I281" s="183">
        <v>2021</v>
      </c>
      <c r="J281" s="183">
        <v>2022</v>
      </c>
      <c r="K281" s="183">
        <v>2023</v>
      </c>
      <c r="L281" s="183">
        <v>2024</v>
      </c>
      <c r="M281" s="289">
        <v>2025</v>
      </c>
      <c r="N281" s="417"/>
    </row>
    <row r="282" spans="2:27" ht="15">
      <c r="B282" s="290" t="str">
        <f>B171</f>
        <v>HPC &amp; AI Clusters</v>
      </c>
      <c r="C282" s="269"/>
      <c r="D282" s="341">
        <f>'Segment forecast'!G31</f>
        <v>26500</v>
      </c>
      <c r="E282" s="211">
        <f>'Segment forecast'!H31</f>
        <v>47236.4</v>
      </c>
      <c r="F282" s="211">
        <f>'Segment forecast'!I31</f>
        <v>41567.5</v>
      </c>
      <c r="G282" s="211"/>
      <c r="H282" s="211"/>
      <c r="I282" s="211"/>
      <c r="J282" s="211"/>
      <c r="K282" s="211"/>
      <c r="L282" s="211"/>
      <c r="M282" s="212"/>
      <c r="N282" s="418"/>
    </row>
    <row r="283" spans="2:27" ht="15">
      <c r="B283" s="288" t="str">
        <f>B172</f>
        <v>Core Routing &amp; Optical Transport</v>
      </c>
      <c r="C283" s="267"/>
      <c r="D283" s="342">
        <f>'Segment forecast'!G32</f>
        <v>5300</v>
      </c>
      <c r="E283" s="213">
        <f>'Segment forecast'!H32</f>
        <v>9447.2800000000097</v>
      </c>
      <c r="F283" s="213">
        <f>'Segment forecast'!I32</f>
        <v>19952.399999999987</v>
      </c>
      <c r="G283" s="213"/>
      <c r="H283" s="213"/>
      <c r="I283" s="213"/>
      <c r="J283" s="213"/>
      <c r="K283" s="213"/>
      <c r="L283" s="213"/>
      <c r="M283" s="214"/>
      <c r="N283" s="418"/>
    </row>
    <row r="284" spans="2:27">
      <c r="B284" s="288" t="s">
        <v>154</v>
      </c>
      <c r="C284" s="267"/>
      <c r="D284" s="342">
        <f>'Segment forecast'!G33</f>
        <v>21200</v>
      </c>
      <c r="E284" s="213">
        <f>'Segment forecast'!H33</f>
        <v>59045.499999999985</v>
      </c>
      <c r="F284" s="213">
        <f>'Segment forecast'!I33</f>
        <v>96436.6</v>
      </c>
      <c r="G284" s="213"/>
      <c r="H284" s="213"/>
      <c r="I284" s="213"/>
      <c r="J284" s="213"/>
      <c r="K284" s="213"/>
      <c r="L284" s="213"/>
      <c r="M284" s="214"/>
    </row>
    <row r="285" spans="2:27">
      <c r="B285" s="252" t="s">
        <v>232</v>
      </c>
      <c r="C285" s="268"/>
      <c r="D285" s="343">
        <f>'Segment forecast'!G34</f>
        <v>0</v>
      </c>
      <c r="E285" s="242">
        <f>'Segment forecast'!H34</f>
        <v>2361.820000000007</v>
      </c>
      <c r="F285" s="242">
        <f>'Segment forecast'!I34</f>
        <v>8313.5</v>
      </c>
      <c r="G285" s="242"/>
      <c r="H285" s="242"/>
      <c r="I285" s="242"/>
      <c r="J285" s="242"/>
      <c r="K285" s="242"/>
      <c r="L285" s="242"/>
      <c r="M285" s="243"/>
    </row>
    <row r="286" spans="2:27">
      <c r="H286" s="170">
        <f>SUM(H282:H285)</f>
        <v>0</v>
      </c>
    </row>
    <row r="287" spans="2:27" ht="21">
      <c r="G287" s="181" t="s">
        <v>244</v>
      </c>
    </row>
    <row r="288" spans="2:27">
      <c r="B288" s="312" t="s">
        <v>245</v>
      </c>
      <c r="C288" s="313"/>
      <c r="D288" s="340">
        <v>2016</v>
      </c>
      <c r="E288" s="183">
        <v>2017</v>
      </c>
      <c r="F288" s="183">
        <v>2018</v>
      </c>
      <c r="G288" s="183">
        <v>2019</v>
      </c>
      <c r="H288" s="183">
        <v>2020</v>
      </c>
      <c r="I288" s="183">
        <v>2021</v>
      </c>
      <c r="J288" s="183">
        <v>2022</v>
      </c>
      <c r="K288" s="183">
        <v>2023</v>
      </c>
      <c r="L288" s="183">
        <v>2024</v>
      </c>
      <c r="M288" s="289">
        <v>2025</v>
      </c>
    </row>
    <row r="289" spans="2:13">
      <c r="B289" s="290" t="str">
        <f>B282</f>
        <v>HPC &amp; AI Clusters</v>
      </c>
      <c r="C289" s="269"/>
      <c r="D289" s="341"/>
      <c r="E289" s="211"/>
      <c r="F289" s="211"/>
      <c r="G289" s="211"/>
      <c r="H289" s="211"/>
      <c r="I289" s="211"/>
      <c r="J289" s="211"/>
      <c r="K289" s="211"/>
      <c r="L289" s="211"/>
      <c r="M289" s="212"/>
    </row>
    <row r="290" spans="2:13">
      <c r="B290" s="288" t="str">
        <f>B283</f>
        <v>Core Routing &amp; Optical Transport</v>
      </c>
      <c r="C290" s="267"/>
      <c r="D290" s="342"/>
      <c r="E290" s="213"/>
      <c r="F290" s="213"/>
      <c r="G290" s="213"/>
      <c r="H290" s="213"/>
      <c r="I290" s="213"/>
      <c r="J290" s="213"/>
      <c r="K290" s="213"/>
      <c r="L290" s="213"/>
      <c r="M290" s="214"/>
    </row>
    <row r="291" spans="2:13">
      <c r="B291" s="288" t="s">
        <v>237</v>
      </c>
      <c r="C291" s="267"/>
      <c r="D291" s="342"/>
      <c r="E291" s="213"/>
      <c r="F291" s="213"/>
      <c r="G291" s="213"/>
      <c r="H291" s="213"/>
      <c r="I291" s="213"/>
      <c r="J291" s="213"/>
      <c r="K291" s="213"/>
      <c r="L291" s="213"/>
      <c r="M291" s="214"/>
    </row>
    <row r="292" spans="2:13">
      <c r="B292" s="252" t="str">
        <f>B285</f>
        <v>Other</v>
      </c>
      <c r="C292" s="268"/>
      <c r="D292" s="343"/>
      <c r="E292" s="242"/>
      <c r="F292" s="242"/>
      <c r="G292" s="242"/>
      <c r="H292" s="242"/>
      <c r="I292" s="242"/>
      <c r="J292" s="242"/>
      <c r="K292" s="242"/>
      <c r="L292" s="242"/>
      <c r="M292" s="243"/>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sheetPr>
  <dimension ref="A2:U124"/>
  <sheetViews>
    <sheetView showGridLines="0" showZeros="0" zoomScale="80" zoomScaleNormal="80" zoomScalePageLayoutView="80" workbookViewId="0">
      <selection activeCell="J48" sqref="J48:P76"/>
    </sheetView>
  </sheetViews>
  <sheetFormatPr baseColWidth="10" defaultColWidth="8.83203125" defaultRowHeight="14"/>
  <cols>
    <col min="1" max="1" width="4.5" style="11" customWidth="1"/>
    <col min="2" max="2" width="15" style="11" customWidth="1"/>
    <col min="3" max="3" width="10.83203125" style="11" customWidth="1"/>
    <col min="4" max="4" width="8.83203125" style="11"/>
    <col min="5" max="5" width="11" style="11" customWidth="1"/>
    <col min="6" max="6" width="20.33203125" style="11" customWidth="1"/>
    <col min="7" max="8" width="12" style="11" bestFit="1" customWidth="1"/>
    <col min="9" max="16" width="12" style="11" customWidth="1"/>
    <col min="17" max="17" width="4" customWidth="1"/>
    <col min="18" max="18" width="45.1640625" style="11" customWidth="1"/>
    <col min="19" max="19" width="11" style="11" bestFit="1" customWidth="1"/>
    <col min="20" max="23" width="8.83203125" style="11"/>
    <col min="24" max="31" width="10.5" style="11" customWidth="1"/>
    <col min="32" max="16384" width="8.83203125" style="11"/>
  </cols>
  <sheetData>
    <row r="2" spans="2:21" ht="24">
      <c r="B2" s="5" t="str">
        <f>Introduction!B2</f>
        <v>LightCounting High-Speed Cables Forecast</v>
      </c>
      <c r="C2" s="5"/>
      <c r="T2" s="19"/>
      <c r="U2" s="19"/>
    </row>
    <row r="3" spans="2:21" ht="16">
      <c r="B3" s="215" t="str">
        <f>Introduction!B3</f>
        <v>Sample template for illustrative purposes only (December 2020)</v>
      </c>
      <c r="C3" s="215"/>
    </row>
    <row r="5" spans="2:21" ht="18">
      <c r="B5" s="5" t="s">
        <v>292</v>
      </c>
      <c r="C5" s="5"/>
    </row>
    <row r="6" spans="2:21" ht="21">
      <c r="B6" s="23" t="s">
        <v>22</v>
      </c>
      <c r="C6" s="23"/>
      <c r="H6" s="22" t="s">
        <v>21</v>
      </c>
      <c r="K6" s="12"/>
    </row>
    <row r="7" spans="2:21">
      <c r="B7" s="97" t="s">
        <v>58</v>
      </c>
      <c r="C7" s="112" t="s">
        <v>178</v>
      </c>
      <c r="D7" s="112" t="s">
        <v>53</v>
      </c>
      <c r="E7" s="112" t="s">
        <v>54</v>
      </c>
      <c r="F7" s="113" t="s">
        <v>55</v>
      </c>
      <c r="G7" s="87">
        <v>2016</v>
      </c>
      <c r="H7" s="87">
        <v>2017</v>
      </c>
      <c r="I7" s="87">
        <v>2018</v>
      </c>
      <c r="J7" s="87">
        <v>2019</v>
      </c>
      <c r="K7" s="87">
        <v>2020</v>
      </c>
      <c r="L7" s="87">
        <v>2021</v>
      </c>
      <c r="M7" s="87">
        <v>2022</v>
      </c>
      <c r="N7" s="87">
        <v>2023</v>
      </c>
      <c r="O7" s="87">
        <v>2024</v>
      </c>
      <c r="P7" s="87">
        <v>2025</v>
      </c>
      <c r="R7" s="103" t="s">
        <v>42</v>
      </c>
    </row>
    <row r="8" spans="2:21">
      <c r="B8" s="106" t="str">
        <f>Segmentation!B20</f>
        <v>≤10G</v>
      </c>
      <c r="C8" s="89" t="str">
        <f>Segmentation!C20</f>
        <v>10G</v>
      </c>
      <c r="D8" s="89" t="str">
        <f>Segmentation!D20</f>
        <v>AOC</v>
      </c>
      <c r="E8" s="89">
        <f>Segmentation!E20</f>
        <v>1</v>
      </c>
      <c r="F8" s="108" t="str">
        <f>Segmentation!F20</f>
        <v>SFP+</v>
      </c>
      <c r="G8" s="77">
        <v>1654178</v>
      </c>
      <c r="H8" s="77">
        <v>3231705</v>
      </c>
      <c r="I8" s="77">
        <v>4256351</v>
      </c>
      <c r="J8" s="77"/>
      <c r="K8" s="77"/>
      <c r="L8" s="77"/>
      <c r="M8" s="77"/>
      <c r="N8" s="77"/>
      <c r="O8" s="77"/>
      <c r="P8" s="77"/>
      <c r="R8" s="100" t="str">
        <f>D8&amp;" "&amp;E8&amp;"x"&amp;B8&amp;" "&amp;" "&amp;F8</f>
        <v>AOC 1x≤10G  SFP+</v>
      </c>
    </row>
    <row r="9" spans="2:21">
      <c r="B9" s="106" t="str">
        <f>Segmentation!B21</f>
        <v>≤10G</v>
      </c>
      <c r="C9" s="89" t="str">
        <f>Segmentation!C21</f>
        <v>40G</v>
      </c>
      <c r="D9" s="89" t="str">
        <f>Segmentation!D21</f>
        <v>AOC</v>
      </c>
      <c r="E9" s="89">
        <f>Segmentation!E21</f>
        <v>4</v>
      </c>
      <c r="F9" s="108" t="str">
        <f>Segmentation!F21</f>
        <v>QSFP+</v>
      </c>
      <c r="G9" s="77">
        <v>338994</v>
      </c>
      <c r="H9" s="77">
        <v>205928</v>
      </c>
      <c r="I9" s="77">
        <v>296569</v>
      </c>
      <c r="J9" s="77"/>
      <c r="K9" s="77"/>
      <c r="L9" s="77"/>
      <c r="M9" s="77"/>
      <c r="N9" s="77"/>
      <c r="O9" s="77"/>
      <c r="P9" s="77"/>
      <c r="R9" s="101" t="str">
        <f>D9&amp;" "&amp;E9&amp;"x"&amp;B9&amp;" "&amp;" "&amp;F9</f>
        <v>AOC 4x≤10G  QSFP+</v>
      </c>
    </row>
    <row r="10" spans="2:21">
      <c r="B10" s="106" t="str">
        <f>Segmentation!B22</f>
        <v>≤10G</v>
      </c>
      <c r="C10" s="89" t="str">
        <f>Segmentation!C22</f>
        <v>40G</v>
      </c>
      <c r="D10" s="89" t="str">
        <f>Segmentation!D22</f>
        <v>AOC</v>
      </c>
      <c r="E10" s="89" t="str">
        <f>Segmentation!E22</f>
        <v>4:1</v>
      </c>
      <c r="F10" s="108" t="str">
        <f>Segmentation!F22</f>
        <v>QSFP+/SFP+</v>
      </c>
      <c r="G10" s="77">
        <v>42400</v>
      </c>
      <c r="H10" s="77">
        <v>37000</v>
      </c>
      <c r="I10" s="77">
        <v>46592</v>
      </c>
      <c r="J10" s="77"/>
      <c r="K10" s="77"/>
      <c r="L10" s="77"/>
      <c r="M10" s="77"/>
      <c r="N10" s="77"/>
      <c r="O10" s="77"/>
      <c r="P10" s="77"/>
      <c r="R10" s="101" t="str">
        <f>Segmentation!$H$22</f>
        <v>AOC breakout: 4x10G from 40G</v>
      </c>
    </row>
    <row r="11" spans="2:21">
      <c r="B11" s="106" t="str">
        <f>Segmentation!B23</f>
        <v>≤12.5G</v>
      </c>
      <c r="C11" s="89" t="str">
        <f>Segmentation!C23</f>
        <v>150G</v>
      </c>
      <c r="D11" s="89" t="str">
        <f>Segmentation!D23</f>
        <v>AOC</v>
      </c>
      <c r="E11" s="89">
        <f>Segmentation!E23</f>
        <v>12</v>
      </c>
      <c r="F11" s="108" t="str">
        <f>Segmentation!F23</f>
        <v>CXP</v>
      </c>
      <c r="G11" s="77">
        <v>121030.35714285713</v>
      </c>
      <c r="H11" s="77">
        <v>90232</v>
      </c>
      <c r="I11" s="77">
        <v>55123</v>
      </c>
      <c r="J11" s="77"/>
      <c r="K11" s="77"/>
      <c r="L11" s="77"/>
      <c r="M11" s="77"/>
      <c r="N11" s="77"/>
      <c r="O11" s="77"/>
      <c r="P11" s="77"/>
      <c r="R11" s="101" t="str">
        <f t="shared" ref="R11:R16" si="0">D11&amp;" "&amp;E11&amp;"x"&amp;B11&amp;" "&amp;" "&amp;F11</f>
        <v>AOC 12x≤12.5G  CXP</v>
      </c>
    </row>
    <row r="12" spans="2:21">
      <c r="B12" s="106" t="str">
        <f>Segmentation!B24</f>
        <v>≤12.5G</v>
      </c>
      <c r="C12" s="89" t="str">
        <f>Segmentation!C24</f>
        <v>150G</v>
      </c>
      <c r="D12" s="89" t="str">
        <f>Segmentation!D24</f>
        <v>XCVR</v>
      </c>
      <c r="E12" s="89">
        <f>Segmentation!E24</f>
        <v>12</v>
      </c>
      <c r="F12" s="108" t="str">
        <f>Segmentation!F24</f>
        <v>CXP</v>
      </c>
      <c r="G12" s="77">
        <v>25000</v>
      </c>
      <c r="H12" s="77">
        <v>16425</v>
      </c>
      <c r="I12" s="77">
        <v>14319</v>
      </c>
      <c r="J12" s="77"/>
      <c r="K12" s="77"/>
      <c r="L12" s="77"/>
      <c r="M12" s="77"/>
      <c r="N12" s="77"/>
      <c r="O12" s="77"/>
      <c r="P12" s="77"/>
      <c r="R12" s="101" t="str">
        <f t="shared" si="0"/>
        <v>XCVR 12x≤12.5G  CXP</v>
      </c>
      <c r="S12" s="149"/>
    </row>
    <row r="13" spans="2:21">
      <c r="B13" s="106" t="str">
        <f>Segmentation!B25</f>
        <v>12-14G</v>
      </c>
      <c r="C13" s="89" t="str">
        <f>Segmentation!C25</f>
        <v>56G</v>
      </c>
      <c r="D13" s="89" t="str">
        <f>Segmentation!D25</f>
        <v>AOC</v>
      </c>
      <c r="E13" s="89">
        <f>Segmentation!E25</f>
        <v>4</v>
      </c>
      <c r="F13" s="108" t="str">
        <f>Segmentation!F25</f>
        <v>QSFP+</v>
      </c>
      <c r="G13" s="77">
        <v>160184</v>
      </c>
      <c r="H13" s="77">
        <v>137205</v>
      </c>
      <c r="I13" s="77">
        <v>79208</v>
      </c>
      <c r="J13" s="77"/>
      <c r="K13" s="77"/>
      <c r="L13" s="77"/>
      <c r="M13" s="77"/>
      <c r="N13" s="77"/>
      <c r="O13" s="77"/>
      <c r="P13" s="77"/>
      <c r="R13" s="101" t="str">
        <f t="shared" si="0"/>
        <v>AOC 4x12-14G  QSFP+</v>
      </c>
      <c r="S13" s="149"/>
    </row>
    <row r="14" spans="2:21">
      <c r="B14" s="154" t="str">
        <f>Segmentation!B26</f>
        <v>12G</v>
      </c>
      <c r="C14" s="151" t="str">
        <f>Segmentation!C26</f>
        <v>48G</v>
      </c>
      <c r="D14" s="151" t="str">
        <f>Segmentation!D26</f>
        <v>AOC</v>
      </c>
      <c r="E14" s="151">
        <f>Segmentation!E26</f>
        <v>4</v>
      </c>
      <c r="F14" s="187" t="str">
        <f>Segmentation!F26</f>
        <v>Mini-SAS HD</v>
      </c>
      <c r="G14" s="46">
        <v>25600</v>
      </c>
      <c r="H14" s="46">
        <v>36500</v>
      </c>
      <c r="I14" s="46">
        <v>48000</v>
      </c>
      <c r="J14" s="46"/>
      <c r="K14" s="46"/>
      <c r="L14" s="46"/>
      <c r="M14" s="46"/>
      <c r="N14" s="46"/>
      <c r="O14" s="46"/>
      <c r="P14" s="46"/>
      <c r="R14" s="101" t="str">
        <f t="shared" si="0"/>
        <v>AOC 4x12G  Mini-SAS HD</v>
      </c>
    </row>
    <row r="15" spans="2:21">
      <c r="B15" s="154" t="str">
        <f>Segmentation!B27</f>
        <v>25-28G</v>
      </c>
      <c r="C15" s="151" t="str">
        <f>Segmentation!C27</f>
        <v>25G</v>
      </c>
      <c r="D15" s="151" t="str">
        <f>Segmentation!D27</f>
        <v>AOC</v>
      </c>
      <c r="E15" s="151">
        <f>Segmentation!E27</f>
        <v>1</v>
      </c>
      <c r="F15" s="187" t="str">
        <f>Segmentation!F27</f>
        <v>SFP28</v>
      </c>
      <c r="G15" s="46">
        <v>10000</v>
      </c>
      <c r="H15" s="46">
        <v>170652</v>
      </c>
      <c r="I15" s="46">
        <v>1025400</v>
      </c>
      <c r="J15" s="46"/>
      <c r="K15" s="46"/>
      <c r="L15" s="46"/>
      <c r="M15" s="46"/>
      <c r="N15" s="46"/>
      <c r="O15" s="46"/>
      <c r="P15" s="46"/>
      <c r="R15" s="101" t="str">
        <f t="shared" si="0"/>
        <v>AOC 1x25-28G  SFP28</v>
      </c>
    </row>
    <row r="16" spans="2:21">
      <c r="B16" s="154" t="str">
        <f>Segmentation!B28</f>
        <v>25-28G, 50G, 100G</v>
      </c>
      <c r="C16" s="151" t="str">
        <f>Segmentation!C28</f>
        <v>100G</v>
      </c>
      <c r="D16" s="151" t="str">
        <f>Segmentation!D28</f>
        <v>AOC</v>
      </c>
      <c r="E16" s="151" t="str">
        <f>Segmentation!E28</f>
        <v>1, 2, or 4</v>
      </c>
      <c r="F16" s="187" t="str">
        <f>Segmentation!F28</f>
        <v>QSFP28, SFP-DD, SFP112</v>
      </c>
      <c r="G16" s="46">
        <v>140000</v>
      </c>
      <c r="H16" s="46">
        <v>196709</v>
      </c>
      <c r="I16" s="46">
        <v>271010</v>
      </c>
      <c r="J16" s="46"/>
      <c r="K16" s="46"/>
      <c r="L16" s="46"/>
      <c r="M16" s="46"/>
      <c r="N16" s="46"/>
      <c r="O16" s="46"/>
      <c r="P16" s="46"/>
      <c r="R16" s="101" t="str">
        <f t="shared" si="0"/>
        <v>AOC 1, 2, or 4x25-28G, 50G, 100G  QSFP28, SFP-DD, SFP112</v>
      </c>
    </row>
    <row r="17" spans="1:18">
      <c r="B17" s="154" t="str">
        <f>Segmentation!B29</f>
        <v>25-28G</v>
      </c>
      <c r="C17" s="151" t="str">
        <f>Segmentation!C29</f>
        <v>100G</v>
      </c>
      <c r="D17" s="151" t="str">
        <f>Segmentation!D29</f>
        <v>AOC</v>
      </c>
      <c r="E17" s="151" t="str">
        <f>Segmentation!E29</f>
        <v>4:1</v>
      </c>
      <c r="F17" s="187" t="str">
        <f>Segmentation!F29</f>
        <v>QSFP28/SFP28</v>
      </c>
      <c r="G17" s="46"/>
      <c r="H17" s="46">
        <v>3500</v>
      </c>
      <c r="I17" s="46">
        <v>2701</v>
      </c>
      <c r="J17" s="46"/>
      <c r="K17" s="46"/>
      <c r="L17" s="46"/>
      <c r="M17" s="46"/>
      <c r="N17" s="46"/>
      <c r="O17" s="46"/>
      <c r="P17" s="46"/>
      <c r="R17" s="101" t="str">
        <f>Segmentation!H29</f>
        <v>AOC 100G breakout</v>
      </c>
    </row>
    <row r="18" spans="1:18">
      <c r="B18" s="154" t="str">
        <f>Segmentation!B30</f>
        <v>24G</v>
      </c>
      <c r="C18" s="151" t="str">
        <f>Segmentation!C30</f>
        <v>96G</v>
      </c>
      <c r="D18" s="151" t="str">
        <f>Segmentation!D30</f>
        <v>AOC</v>
      </c>
      <c r="E18" s="151">
        <f>Segmentation!E30</f>
        <v>4</v>
      </c>
      <c r="F18" s="187" t="str">
        <f>Segmentation!F30</f>
        <v>Mini-SAS HD</v>
      </c>
      <c r="G18" s="46"/>
      <c r="H18" s="46">
        <v>0</v>
      </c>
      <c r="I18" s="46">
        <v>0</v>
      </c>
      <c r="J18" s="46"/>
      <c r="K18" s="46"/>
      <c r="L18" s="46"/>
      <c r="M18" s="46"/>
      <c r="N18" s="46"/>
      <c r="O18" s="46"/>
      <c r="P18" s="46"/>
      <c r="R18" s="101" t="str">
        <f t="shared" ref="R18:R27" si="1">D18&amp;" "&amp;E18&amp;"x"&amp;B18&amp;" "&amp;" "&amp;F18</f>
        <v>AOC 4x24G  Mini-SAS HD</v>
      </c>
    </row>
    <row r="19" spans="1:18">
      <c r="B19" s="154" t="str">
        <f>Segmentation!B31</f>
        <v>25-28G</v>
      </c>
      <c r="C19" s="151" t="str">
        <f>Segmentation!C31</f>
        <v>300G</v>
      </c>
      <c r="D19" s="151" t="str">
        <f>Segmentation!D31</f>
        <v>AOC</v>
      </c>
      <c r="E19" s="151">
        <f>Segmentation!E31</f>
        <v>12</v>
      </c>
      <c r="F19" s="187" t="str">
        <f>Segmentation!F31</f>
        <v>CXP28</v>
      </c>
      <c r="G19" s="46">
        <v>0</v>
      </c>
      <c r="H19" s="46">
        <v>0</v>
      </c>
      <c r="I19" s="46">
        <v>0</v>
      </c>
      <c r="J19" s="46"/>
      <c r="K19" s="46"/>
      <c r="L19" s="46"/>
      <c r="M19" s="46"/>
      <c r="N19" s="46"/>
      <c r="O19" s="46"/>
      <c r="P19" s="46"/>
      <c r="R19" s="101" t="str">
        <f t="shared" si="1"/>
        <v>AOC 12x25-28G  CXP28</v>
      </c>
    </row>
    <row r="20" spans="1:18">
      <c r="B20" s="154" t="str">
        <f>Segmentation!B32</f>
        <v>25-28G</v>
      </c>
      <c r="C20" s="151" t="str">
        <f>Segmentation!C32</f>
        <v>100G-600G</v>
      </c>
      <c r="D20" s="151" t="str">
        <f>Segmentation!D32</f>
        <v>EOM</v>
      </c>
      <c r="E20" s="151" t="str">
        <f>Segmentation!E32</f>
        <v>4,8,12,16,24</v>
      </c>
      <c r="F20" s="187" t="str">
        <f>Segmentation!F32</f>
        <v>XCVR</v>
      </c>
      <c r="G20" s="46">
        <v>53000</v>
      </c>
      <c r="H20" s="46">
        <v>118091</v>
      </c>
      <c r="I20" s="46">
        <v>166270</v>
      </c>
      <c r="J20" s="46"/>
      <c r="K20" s="46"/>
      <c r="L20" s="46"/>
      <c r="M20" s="46"/>
      <c r="N20" s="46"/>
      <c r="O20" s="46"/>
      <c r="P20" s="46"/>
      <c r="R20" s="101" t="str">
        <f t="shared" si="1"/>
        <v>EOM 4,8,12,16,24x25-28G  XCVR</v>
      </c>
    </row>
    <row r="21" spans="1:18">
      <c r="B21" s="154" t="str">
        <f>Segmentation!B33</f>
        <v>25-28G</v>
      </c>
      <c r="C21" s="151" t="str">
        <f>Segmentation!C33</f>
        <v>300G</v>
      </c>
      <c r="D21" s="151" t="str">
        <f>Segmentation!D33</f>
        <v>XCVR</v>
      </c>
      <c r="E21" s="151">
        <f>Segmentation!E33</f>
        <v>12</v>
      </c>
      <c r="F21" s="187" t="str">
        <f>Segmentation!F33</f>
        <v>CXP28</v>
      </c>
      <c r="G21" s="46">
        <v>0</v>
      </c>
      <c r="H21" s="46">
        <v>0</v>
      </c>
      <c r="I21" s="46">
        <v>1500</v>
      </c>
      <c r="J21" s="46"/>
      <c r="K21" s="46"/>
      <c r="L21" s="46"/>
      <c r="M21" s="46"/>
      <c r="N21" s="46"/>
      <c r="O21" s="46"/>
      <c r="P21" s="46"/>
      <c r="R21" s="101" t="str">
        <f t="shared" si="1"/>
        <v>XCVR 12x25-28G  CXP28</v>
      </c>
    </row>
    <row r="22" spans="1:18">
      <c r="A22" s="26"/>
      <c r="B22" s="154" t="str">
        <f>Segmentation!B34</f>
        <v>50-56G</v>
      </c>
      <c r="C22" s="151" t="str">
        <f>Segmentation!C34</f>
        <v>50G</v>
      </c>
      <c r="D22" s="151" t="str">
        <f>Segmentation!D34</f>
        <v>AOC</v>
      </c>
      <c r="E22" s="151">
        <f>Segmentation!E34</f>
        <v>1</v>
      </c>
      <c r="F22" s="187" t="str">
        <f>Segmentation!F34</f>
        <v>SFP56</v>
      </c>
      <c r="G22" s="46"/>
      <c r="H22" s="46"/>
      <c r="I22" s="46">
        <v>0</v>
      </c>
      <c r="J22" s="46"/>
      <c r="K22" s="46"/>
      <c r="L22" s="46"/>
      <c r="M22" s="46"/>
      <c r="N22" s="46"/>
      <c r="O22" s="46"/>
      <c r="P22" s="46"/>
      <c r="R22" s="101" t="str">
        <f t="shared" si="1"/>
        <v>AOC 1x50-56G  SFP56</v>
      </c>
    </row>
    <row r="23" spans="1:18">
      <c r="A23" s="26"/>
      <c r="B23" s="154" t="str">
        <f>Segmentation!B35</f>
        <v>50-56G</v>
      </c>
      <c r="C23" s="151" t="str">
        <f>Segmentation!C35</f>
        <v>200G</v>
      </c>
      <c r="D23" s="151" t="str">
        <f>Segmentation!D35</f>
        <v>AOC</v>
      </c>
      <c r="E23" s="151">
        <f>Segmentation!E35</f>
        <v>4</v>
      </c>
      <c r="F23" s="187" t="str">
        <f>Segmentation!F35</f>
        <v>QSFP56</v>
      </c>
      <c r="G23" s="46"/>
      <c r="H23" s="46"/>
      <c r="I23" s="46">
        <v>0</v>
      </c>
      <c r="J23" s="46"/>
      <c r="K23" s="46"/>
      <c r="L23" s="46"/>
      <c r="M23" s="46"/>
      <c r="N23" s="46"/>
      <c r="O23" s="46"/>
      <c r="P23" s="46"/>
      <c r="R23" s="101" t="str">
        <f t="shared" si="1"/>
        <v>AOC 4x50-56G  QSFP56</v>
      </c>
    </row>
    <row r="24" spans="1:18">
      <c r="A24" s="26"/>
      <c r="B24" s="154" t="str">
        <f>Segmentation!B36</f>
        <v>50-56G</v>
      </c>
      <c r="C24" s="151" t="str">
        <f>Segmentation!C36</f>
        <v>200G - 1.3T</v>
      </c>
      <c r="D24" s="151" t="str">
        <f>Segmentation!D36</f>
        <v>EOM</v>
      </c>
      <c r="E24" s="151" t="str">
        <f>Segmentation!E36</f>
        <v>8,12,16,24</v>
      </c>
      <c r="F24" s="187" t="str">
        <f>Segmentation!F36</f>
        <v>TBD</v>
      </c>
      <c r="G24" s="46"/>
      <c r="H24" s="46"/>
      <c r="I24" s="46"/>
      <c r="J24" s="46"/>
      <c r="K24" s="46"/>
      <c r="L24" s="46"/>
      <c r="M24" s="46"/>
      <c r="N24" s="46"/>
      <c r="O24" s="46"/>
      <c r="P24" s="46"/>
      <c r="R24" s="101" t="str">
        <f t="shared" si="1"/>
        <v>EOM 8,12,16,24x50-56G  TBD</v>
      </c>
    </row>
    <row r="25" spans="1:18">
      <c r="B25" s="106" t="str">
        <f>Segmentation!B37</f>
        <v>50-56G, 100G</v>
      </c>
      <c r="C25" s="89" t="str">
        <f>Segmentation!C37</f>
        <v>400G, 2x200G</v>
      </c>
      <c r="D25" s="89" t="str">
        <f>Segmentation!D37</f>
        <v>AOC</v>
      </c>
      <c r="E25" s="89" t="str">
        <f>Segmentation!E37</f>
        <v>4 or 8</v>
      </c>
      <c r="F25" s="108" t="str">
        <f>Segmentation!F37</f>
        <v>QSFP-DD, OSFP, QSFP112</v>
      </c>
      <c r="G25" s="77"/>
      <c r="H25" s="77"/>
      <c r="I25" s="77"/>
      <c r="J25" s="77"/>
      <c r="K25" s="77"/>
      <c r="L25" s="77"/>
      <c r="M25" s="77"/>
      <c r="N25" s="77"/>
      <c r="O25" s="77"/>
      <c r="P25" s="77"/>
      <c r="R25" s="101" t="str">
        <f t="shared" si="1"/>
        <v>AOC 4 or 8x50-56G, 100G  QSFP-DD, OSFP, QSFP112</v>
      </c>
    </row>
    <row r="26" spans="1:18">
      <c r="B26" s="106" t="str">
        <f>Segmentation!B38</f>
        <v>50-56G, 100G</v>
      </c>
      <c r="C26" s="89" t="str">
        <f>Segmentation!C38</f>
        <v>400G, 2x200G</v>
      </c>
      <c r="D26" s="89" t="str">
        <f>Segmentation!D38</f>
        <v>AOC</v>
      </c>
      <c r="E26" s="89" t="str">
        <f>Segmentation!E38</f>
        <v>4:1 or 8:1</v>
      </c>
      <c r="F26" s="108" t="str">
        <f>Segmentation!F38</f>
        <v>QSFP-DD, OSFP, QSFP112</v>
      </c>
      <c r="G26" s="77"/>
      <c r="H26" s="77"/>
      <c r="I26" s="77"/>
      <c r="J26" s="77"/>
      <c r="K26" s="77"/>
      <c r="L26" s="77"/>
      <c r="M26" s="77"/>
      <c r="N26" s="77"/>
      <c r="O26" s="77"/>
      <c r="P26" s="77"/>
      <c r="R26" s="101" t="str">
        <f t="shared" si="1"/>
        <v>AOC 4:1 or 8:1x50-56G, 100G  QSFP-DD, OSFP, QSFP112</v>
      </c>
    </row>
    <row r="27" spans="1:18">
      <c r="B27" s="106" t="str">
        <f>Segmentation!B39</f>
        <v>100G</v>
      </c>
      <c r="C27" s="89" t="str">
        <f>Segmentation!C39</f>
        <v>800G</v>
      </c>
      <c r="D27" s="89" t="str">
        <f>Segmentation!D39</f>
        <v>AOC</v>
      </c>
      <c r="E27" s="89">
        <f>Segmentation!E39</f>
        <v>8</v>
      </c>
      <c r="F27" s="108" t="str">
        <f>Segmentation!F39</f>
        <v xml:space="preserve">QSFP-DD800, OSFP </v>
      </c>
      <c r="G27" s="77"/>
      <c r="H27" s="77"/>
      <c r="I27" s="77"/>
      <c r="J27" s="77"/>
      <c r="K27" s="77"/>
      <c r="L27" s="77"/>
      <c r="M27" s="77"/>
      <c r="N27" s="77"/>
      <c r="O27" s="77"/>
      <c r="P27" s="77"/>
      <c r="R27" s="101" t="str">
        <f t="shared" si="1"/>
        <v xml:space="preserve">AOC 8x100G  QSFP-DD800, OSFP </v>
      </c>
    </row>
    <row r="28" spans="1:18">
      <c r="B28" s="369" t="str">
        <f>Segmentation!B40</f>
        <v>400 Gbps</v>
      </c>
      <c r="C28" s="370">
        <f>Segmentation!C40</f>
        <v>0</v>
      </c>
      <c r="D28" s="370" t="str">
        <f>Segmentation!D40</f>
        <v>CPO</v>
      </c>
      <c r="E28" s="370" t="str">
        <f>Segmentation!E40</f>
        <v>30m</v>
      </c>
      <c r="F28" s="371" t="s">
        <v>46</v>
      </c>
      <c r="G28" s="372"/>
      <c r="H28" s="372"/>
      <c r="I28" s="372">
        <v>0</v>
      </c>
      <c r="J28" s="372"/>
      <c r="K28" s="372"/>
      <c r="L28" s="372"/>
      <c r="M28" s="372"/>
      <c r="N28" s="372"/>
      <c r="O28" s="372"/>
      <c r="P28" s="372"/>
      <c r="R28" s="101" t="str">
        <f>Segmentation!H40</f>
        <v>CPO 400 Gbps 30m TBD</v>
      </c>
    </row>
    <row r="29" spans="1:18">
      <c r="B29" s="154" t="str">
        <f>Segmentation!B41</f>
        <v>400 Gbps</v>
      </c>
      <c r="C29" s="151">
        <f>Segmentation!C41</f>
        <v>0</v>
      </c>
      <c r="D29" s="151" t="str">
        <f>Segmentation!D41</f>
        <v>CPO</v>
      </c>
      <c r="E29" s="151" t="str">
        <f>Segmentation!E41</f>
        <v>100 m</v>
      </c>
      <c r="F29" s="187" t="str">
        <f>Segmentation!F41</f>
        <v>TBD</v>
      </c>
      <c r="G29" s="46"/>
      <c r="H29" s="46"/>
      <c r="I29" s="46">
        <v>0</v>
      </c>
      <c r="J29" s="46"/>
      <c r="K29" s="46"/>
      <c r="L29" s="46"/>
      <c r="M29" s="46"/>
      <c r="N29" s="46"/>
      <c r="O29" s="46"/>
      <c r="P29" s="46"/>
      <c r="R29" s="101" t="str">
        <f>Segmentation!H41</f>
        <v>CPO 400 Gbps 100 m TBD</v>
      </c>
    </row>
    <row r="30" spans="1:18">
      <c r="B30" s="154" t="str">
        <f>Segmentation!B42</f>
        <v>400 Gbps</v>
      </c>
      <c r="C30" s="151">
        <f>Segmentation!C42</f>
        <v>0</v>
      </c>
      <c r="D30" s="151" t="str">
        <f>Segmentation!D42</f>
        <v>CPO</v>
      </c>
      <c r="E30" s="151" t="str">
        <f>Segmentation!E42</f>
        <v>500 m</v>
      </c>
      <c r="F30" s="187" t="str">
        <f>Segmentation!F42</f>
        <v>TBD</v>
      </c>
      <c r="G30" s="46"/>
      <c r="H30" s="46"/>
      <c r="I30" s="46">
        <v>0</v>
      </c>
      <c r="J30" s="46"/>
      <c r="K30" s="46"/>
      <c r="L30" s="46"/>
      <c r="M30" s="46"/>
      <c r="N30" s="46"/>
      <c r="O30" s="46"/>
      <c r="P30" s="46"/>
      <c r="R30" s="101" t="str">
        <f>Segmentation!H42</f>
        <v>CPO 400 Gbps 500 m TBD</v>
      </c>
    </row>
    <row r="31" spans="1:18">
      <c r="B31" s="154" t="str">
        <f>Segmentation!B43</f>
        <v>800 Gbps</v>
      </c>
      <c r="C31" s="151">
        <f>Segmentation!C43</f>
        <v>0</v>
      </c>
      <c r="D31" s="151" t="str">
        <f>Segmentation!D43</f>
        <v>CPO</v>
      </c>
      <c r="E31" s="151" t="str">
        <f>Segmentation!E43</f>
        <v>30m</v>
      </c>
      <c r="F31" s="187" t="s">
        <v>46</v>
      </c>
      <c r="G31" s="46"/>
      <c r="H31" s="46"/>
      <c r="I31" s="46">
        <v>0</v>
      </c>
      <c r="J31" s="46"/>
      <c r="K31" s="46"/>
      <c r="L31" s="46"/>
      <c r="M31" s="46"/>
      <c r="N31" s="46"/>
      <c r="O31" s="46"/>
      <c r="P31" s="46"/>
      <c r="R31" s="101" t="str">
        <f>Segmentation!H43</f>
        <v>CPO 800 Gbps 30m TBD</v>
      </c>
    </row>
    <row r="32" spans="1:18">
      <c r="B32" s="154" t="str">
        <f>Segmentation!B44</f>
        <v>800 Gbps</v>
      </c>
      <c r="C32" s="151">
        <f>Segmentation!C44</f>
        <v>0</v>
      </c>
      <c r="D32" s="151" t="str">
        <f>Segmentation!D44</f>
        <v>CPO</v>
      </c>
      <c r="E32" s="151" t="str">
        <f>Segmentation!E44</f>
        <v>100 m</v>
      </c>
      <c r="F32" s="187" t="str">
        <f>Segmentation!F44</f>
        <v>TBD</v>
      </c>
      <c r="G32" s="46"/>
      <c r="H32" s="46"/>
      <c r="I32" s="46">
        <v>0</v>
      </c>
      <c r="J32" s="46"/>
      <c r="K32" s="46"/>
      <c r="L32" s="46"/>
      <c r="M32" s="46"/>
      <c r="N32" s="46"/>
      <c r="O32" s="46"/>
      <c r="P32" s="46"/>
      <c r="R32" s="101" t="str">
        <f>Segmentation!H44</f>
        <v>CPO 800 Gbps 100 m TBD</v>
      </c>
    </row>
    <row r="33" spans="2:18">
      <c r="B33" s="154" t="str">
        <f>Segmentation!B45</f>
        <v>800 Gbps</v>
      </c>
      <c r="C33" s="151">
        <f>Segmentation!C45</f>
        <v>0</v>
      </c>
      <c r="D33" s="151" t="str">
        <f>Segmentation!D45</f>
        <v>CPO</v>
      </c>
      <c r="E33" s="151" t="str">
        <f>Segmentation!E45</f>
        <v>500 m</v>
      </c>
      <c r="F33" s="187" t="str">
        <f>Segmentation!F45</f>
        <v>TBD</v>
      </c>
      <c r="G33" s="46"/>
      <c r="H33" s="46"/>
      <c r="I33" s="46">
        <v>0</v>
      </c>
      <c r="J33" s="46"/>
      <c r="K33" s="46"/>
      <c r="L33" s="46"/>
      <c r="M33" s="46"/>
      <c r="N33" s="46"/>
      <c r="O33" s="46"/>
      <c r="P33" s="46"/>
      <c r="R33" s="101" t="str">
        <f>Segmentation!H45</f>
        <v>CPO 800 Gbps 500 m TBD</v>
      </c>
    </row>
    <row r="34" spans="2:18">
      <c r="B34" s="154" t="str">
        <f>Segmentation!B46</f>
        <v>1.6 Tbps</v>
      </c>
      <c r="C34" s="151">
        <f>Segmentation!C46</f>
        <v>0</v>
      </c>
      <c r="D34" s="151" t="str">
        <f>Segmentation!D46</f>
        <v>CPO</v>
      </c>
      <c r="E34" s="151" t="str">
        <f>Segmentation!E46</f>
        <v>30m</v>
      </c>
      <c r="F34" s="187" t="s">
        <v>46</v>
      </c>
      <c r="G34" s="46"/>
      <c r="H34" s="46"/>
      <c r="I34" s="46">
        <v>0</v>
      </c>
      <c r="J34" s="46"/>
      <c r="K34" s="46"/>
      <c r="L34" s="46"/>
      <c r="M34" s="46"/>
      <c r="N34" s="46"/>
      <c r="O34" s="46"/>
      <c r="P34" s="46"/>
      <c r="R34" s="101" t="str">
        <f>Segmentation!H46</f>
        <v>CPO 1.6 Tbps 30m TBD</v>
      </c>
    </row>
    <row r="35" spans="2:18">
      <c r="B35" s="154" t="str">
        <f>Segmentation!B47</f>
        <v>1.6 Tbps</v>
      </c>
      <c r="C35" s="151">
        <f>Segmentation!C47</f>
        <v>0</v>
      </c>
      <c r="D35" s="151" t="str">
        <f>Segmentation!D47</f>
        <v>CPO</v>
      </c>
      <c r="E35" s="151" t="str">
        <f>Segmentation!E47</f>
        <v>100 m</v>
      </c>
      <c r="F35" s="187" t="str">
        <f>Segmentation!F47</f>
        <v>TBD</v>
      </c>
      <c r="G35" s="46"/>
      <c r="H35" s="46"/>
      <c r="I35" s="46">
        <v>0</v>
      </c>
      <c r="J35" s="46"/>
      <c r="K35" s="46"/>
      <c r="L35" s="46"/>
      <c r="M35" s="46"/>
      <c r="N35" s="46"/>
      <c r="O35" s="46"/>
      <c r="P35" s="46"/>
      <c r="R35" s="101" t="str">
        <f>Segmentation!H47</f>
        <v>CPO 1.6 Tbps 100 m TBD</v>
      </c>
    </row>
    <row r="36" spans="2:18">
      <c r="B36" s="154" t="str">
        <f>Segmentation!B48</f>
        <v>1.6 Tbps</v>
      </c>
      <c r="C36" s="151">
        <f>Segmentation!C48</f>
        <v>0</v>
      </c>
      <c r="D36" s="151" t="str">
        <f>Segmentation!D48</f>
        <v>CPO</v>
      </c>
      <c r="E36" s="151" t="str">
        <f>Segmentation!E48</f>
        <v>500 m</v>
      </c>
      <c r="F36" s="187" t="str">
        <f>Segmentation!F48</f>
        <v>TBD</v>
      </c>
      <c r="G36" s="46"/>
      <c r="H36" s="46"/>
      <c r="I36" s="46">
        <v>0</v>
      </c>
      <c r="J36" s="46"/>
      <c r="K36" s="46"/>
      <c r="L36" s="46"/>
      <c r="M36" s="46"/>
      <c r="N36" s="46"/>
      <c r="O36" s="46"/>
      <c r="P36" s="46"/>
      <c r="R36" s="101" t="str">
        <f>Segmentation!H48</f>
        <v>CPO 1.6 Tbps 500 m TBD</v>
      </c>
    </row>
    <row r="37" spans="2:18">
      <c r="B37" s="280" t="s">
        <v>13</v>
      </c>
      <c r="C37" s="112" t="s">
        <v>59</v>
      </c>
      <c r="D37" s="112" t="s">
        <v>59</v>
      </c>
      <c r="E37" s="144" t="s">
        <v>59</v>
      </c>
      <c r="F37" s="104" t="s">
        <v>59</v>
      </c>
      <c r="G37" s="152">
        <f t="shared" ref="G37:P37" si="2">SUM(G8:G36)</f>
        <v>2570386.3571428573</v>
      </c>
      <c r="H37" s="152">
        <f t="shared" si="2"/>
        <v>4243947</v>
      </c>
      <c r="I37" s="152">
        <f t="shared" si="2"/>
        <v>6263043</v>
      </c>
      <c r="J37" s="152">
        <f t="shared" si="2"/>
        <v>0</v>
      </c>
      <c r="K37" s="152">
        <f t="shared" si="2"/>
        <v>0</v>
      </c>
      <c r="L37" s="152">
        <f t="shared" si="2"/>
        <v>0</v>
      </c>
      <c r="M37" s="152">
        <f t="shared" si="2"/>
        <v>0</v>
      </c>
      <c r="N37" s="152">
        <f t="shared" si="2"/>
        <v>0</v>
      </c>
      <c r="O37" s="152">
        <f t="shared" si="2"/>
        <v>0</v>
      </c>
      <c r="P37" s="152">
        <f t="shared" si="2"/>
        <v>0</v>
      </c>
      <c r="R37" s="101" t="s">
        <v>13</v>
      </c>
    </row>
    <row r="38" spans="2:18">
      <c r="B38" s="89"/>
      <c r="C38" s="89"/>
      <c r="D38" s="89"/>
      <c r="E38" s="89"/>
      <c r="F38" s="89"/>
      <c r="G38" s="89"/>
      <c r="H38" s="89"/>
      <c r="I38" s="89"/>
      <c r="J38" s="89"/>
      <c r="K38" s="89"/>
      <c r="L38" s="89"/>
      <c r="M38" s="89"/>
      <c r="N38" s="89"/>
      <c r="O38" s="89"/>
      <c r="P38" s="89"/>
      <c r="R38" s="101"/>
    </row>
    <row r="39" spans="2:18">
      <c r="B39" s="97" t="str">
        <f>B7</f>
        <v>Lane Speed</v>
      </c>
      <c r="C39" s="98" t="str">
        <f>C7</f>
        <v>Agg. Speed</v>
      </c>
      <c r="D39" s="112" t="str">
        <f>D7</f>
        <v>Type</v>
      </c>
      <c r="E39" s="112" t="str">
        <f>E7</f>
        <v>Lanes</v>
      </c>
      <c r="F39" s="113" t="str">
        <f>F7</f>
        <v>Form Factor</v>
      </c>
      <c r="G39" s="90">
        <v>2016</v>
      </c>
      <c r="H39" s="91">
        <v>2017</v>
      </c>
      <c r="I39" s="91">
        <v>2018</v>
      </c>
      <c r="J39" s="91">
        <v>2019</v>
      </c>
      <c r="K39" s="91">
        <v>2020</v>
      </c>
      <c r="L39" s="91">
        <v>2021</v>
      </c>
      <c r="M39" s="91">
        <v>2022</v>
      </c>
      <c r="N39" s="91">
        <v>2023</v>
      </c>
      <c r="O39" s="91">
        <v>2024</v>
      </c>
      <c r="P39" s="91">
        <v>2025</v>
      </c>
      <c r="R39" s="101"/>
    </row>
    <row r="40" spans="2:18">
      <c r="B40" s="105" t="s">
        <v>59</v>
      </c>
      <c r="C40" s="93" t="s">
        <v>59</v>
      </c>
      <c r="D40" s="93" t="s">
        <v>49</v>
      </c>
      <c r="E40" s="93" t="s">
        <v>66</v>
      </c>
      <c r="F40" s="107" t="s">
        <v>59</v>
      </c>
      <c r="G40" s="25">
        <f t="shared" ref="G40:P40" si="3">G8+G15+G22+G26</f>
        <v>1664178</v>
      </c>
      <c r="H40" s="25">
        <f t="shared" si="3"/>
        <v>3402357</v>
      </c>
      <c r="I40" s="25">
        <f t="shared" si="3"/>
        <v>5281751</v>
      </c>
      <c r="J40" s="25">
        <f t="shared" si="3"/>
        <v>0</v>
      </c>
      <c r="K40" s="25">
        <f t="shared" si="3"/>
        <v>0</v>
      </c>
      <c r="L40" s="25">
        <f t="shared" si="3"/>
        <v>0</v>
      </c>
      <c r="M40" s="25">
        <f t="shared" si="3"/>
        <v>0</v>
      </c>
      <c r="N40" s="25">
        <f t="shared" si="3"/>
        <v>0</v>
      </c>
      <c r="O40" s="25">
        <f t="shared" si="3"/>
        <v>0</v>
      </c>
      <c r="P40" s="25">
        <f t="shared" si="3"/>
        <v>0</v>
      </c>
      <c r="R40" s="101" t="s">
        <v>68</v>
      </c>
    </row>
    <row r="41" spans="2:18">
      <c r="B41" s="106" t="s">
        <v>59</v>
      </c>
      <c r="C41" s="89" t="s">
        <v>59</v>
      </c>
      <c r="D41" s="89" t="s">
        <v>114</v>
      </c>
      <c r="E41" s="89" t="s">
        <v>67</v>
      </c>
      <c r="F41" s="108" t="s">
        <v>59</v>
      </c>
      <c r="G41" s="54">
        <f t="shared" ref="G41:P41" si="4">G9+G11+G12+G13+G14+G16+G18+G19+G21+G23+G17+G10+G25+G27</f>
        <v>853208.35714285716</v>
      </c>
      <c r="H41" s="54">
        <f t="shared" si="4"/>
        <v>723499</v>
      </c>
      <c r="I41" s="54">
        <f t="shared" si="4"/>
        <v>815022</v>
      </c>
      <c r="J41" s="54">
        <f t="shared" si="4"/>
        <v>0</v>
      </c>
      <c r="K41" s="54">
        <f t="shared" si="4"/>
        <v>0</v>
      </c>
      <c r="L41" s="54">
        <f t="shared" si="4"/>
        <v>0</v>
      </c>
      <c r="M41" s="54">
        <f t="shared" si="4"/>
        <v>0</v>
      </c>
      <c r="N41" s="54">
        <f t="shared" si="4"/>
        <v>0</v>
      </c>
      <c r="O41" s="54">
        <f t="shared" si="4"/>
        <v>0</v>
      </c>
      <c r="P41" s="54">
        <f t="shared" si="4"/>
        <v>0</v>
      </c>
      <c r="R41" s="101" t="s">
        <v>69</v>
      </c>
    </row>
    <row r="42" spans="2:18">
      <c r="B42" s="106" t="s">
        <v>59</v>
      </c>
      <c r="C42" s="89" t="s">
        <v>59</v>
      </c>
      <c r="D42" s="89" t="s">
        <v>47</v>
      </c>
      <c r="E42" s="89" t="s">
        <v>59</v>
      </c>
      <c r="F42" s="108" t="s">
        <v>147</v>
      </c>
      <c r="G42" s="54">
        <f t="shared" ref="G42:P42" si="5">+G20+G24</f>
        <v>53000</v>
      </c>
      <c r="H42" s="54">
        <f t="shared" si="5"/>
        <v>118091</v>
      </c>
      <c r="I42" s="54">
        <f t="shared" si="5"/>
        <v>166270</v>
      </c>
      <c r="J42" s="54">
        <f t="shared" si="5"/>
        <v>0</v>
      </c>
      <c r="K42" s="54">
        <f>+K20+K24</f>
        <v>0</v>
      </c>
      <c r="L42" s="54">
        <f t="shared" si="5"/>
        <v>0</v>
      </c>
      <c r="M42" s="54">
        <f t="shared" si="5"/>
        <v>0</v>
      </c>
      <c r="N42" s="54">
        <f t="shared" si="5"/>
        <v>0</v>
      </c>
      <c r="O42" s="54">
        <f t="shared" si="5"/>
        <v>0</v>
      </c>
      <c r="P42" s="54">
        <f t="shared" si="5"/>
        <v>0</v>
      </c>
      <c r="R42" s="101" t="s">
        <v>64</v>
      </c>
    </row>
    <row r="43" spans="2:18">
      <c r="B43" s="106" t="s">
        <v>59</v>
      </c>
      <c r="C43" s="89" t="s">
        <v>59</v>
      </c>
      <c r="D43" s="89" t="s">
        <v>146</v>
      </c>
      <c r="E43" s="89" t="s">
        <v>59</v>
      </c>
      <c r="F43" s="108" t="s">
        <v>46</v>
      </c>
      <c r="G43" s="54">
        <f t="shared" ref="G43:P43" si="6">SUM(G28:G36)</f>
        <v>0</v>
      </c>
      <c r="H43" s="54">
        <f t="shared" si="6"/>
        <v>0</v>
      </c>
      <c r="I43" s="54">
        <f t="shared" si="6"/>
        <v>0</v>
      </c>
      <c r="J43" s="54">
        <f t="shared" si="6"/>
        <v>0</v>
      </c>
      <c r="K43" s="54">
        <f t="shared" si="6"/>
        <v>0</v>
      </c>
      <c r="L43" s="54">
        <f t="shared" si="6"/>
        <v>0</v>
      </c>
      <c r="M43" s="54">
        <f>SUM(M28:M36)</f>
        <v>0</v>
      </c>
      <c r="N43" s="54">
        <f t="shared" si="6"/>
        <v>0</v>
      </c>
      <c r="O43" s="54">
        <f t="shared" si="6"/>
        <v>0</v>
      </c>
      <c r="P43" s="54">
        <f t="shared" si="6"/>
        <v>0</v>
      </c>
      <c r="R43" s="101" t="s">
        <v>294</v>
      </c>
    </row>
    <row r="44" spans="2:18">
      <c r="B44" s="99" t="s">
        <v>163</v>
      </c>
      <c r="C44" s="112" t="s">
        <v>59</v>
      </c>
      <c r="D44" s="112" t="s">
        <v>59</v>
      </c>
      <c r="E44" s="144" t="s">
        <v>59</v>
      </c>
      <c r="F44" s="104" t="s">
        <v>59</v>
      </c>
      <c r="G44" s="95">
        <f t="shared" ref="G44:P44" si="7">SUM(G40:G43)</f>
        <v>2570386.3571428573</v>
      </c>
      <c r="H44" s="96">
        <f t="shared" si="7"/>
        <v>4243947</v>
      </c>
      <c r="I44" s="96">
        <f t="shared" si="7"/>
        <v>6263043</v>
      </c>
      <c r="J44" s="96">
        <f t="shared" si="7"/>
        <v>0</v>
      </c>
      <c r="K44" s="96">
        <f t="shared" si="7"/>
        <v>0</v>
      </c>
      <c r="L44" s="96">
        <f t="shared" si="7"/>
        <v>0</v>
      </c>
      <c r="M44" s="96">
        <f t="shared" si="7"/>
        <v>0</v>
      </c>
      <c r="N44" s="96">
        <f t="shared" si="7"/>
        <v>0</v>
      </c>
      <c r="O44" s="96">
        <f t="shared" si="7"/>
        <v>0</v>
      </c>
      <c r="P44" s="96">
        <f t="shared" si="7"/>
        <v>0</v>
      </c>
      <c r="R44" s="102" t="str">
        <f>B44</f>
        <v>Total 2</v>
      </c>
    </row>
    <row r="45" spans="2:18">
      <c r="P45" s="14"/>
    </row>
    <row r="46" spans="2:18" ht="21">
      <c r="B46" s="23" t="s">
        <v>23</v>
      </c>
      <c r="C46" s="23"/>
      <c r="O46" s="14"/>
      <c r="P46" s="14"/>
    </row>
    <row r="47" spans="2:18">
      <c r="B47" s="171" t="str">
        <f t="shared" ref="B47:F56" si="8">B7</f>
        <v>Lane Speed</v>
      </c>
      <c r="C47" s="172" t="str">
        <f t="shared" si="8"/>
        <v>Agg. Speed</v>
      </c>
      <c r="D47" s="172" t="str">
        <f t="shared" si="8"/>
        <v>Type</v>
      </c>
      <c r="E47" s="172" t="str">
        <f t="shared" si="8"/>
        <v>Lanes</v>
      </c>
      <c r="F47" s="197" t="str">
        <f t="shared" si="8"/>
        <v>Form Factor</v>
      </c>
      <c r="G47" s="30">
        <v>2016</v>
      </c>
      <c r="H47" s="30">
        <v>2017</v>
      </c>
      <c r="I47" s="30">
        <v>2018</v>
      </c>
      <c r="J47" s="30">
        <v>2019</v>
      </c>
      <c r="K47" s="30">
        <v>2020</v>
      </c>
      <c r="L47" s="30">
        <v>2021</v>
      </c>
      <c r="M47" s="30">
        <v>2022</v>
      </c>
      <c r="N47" s="30">
        <v>2023</v>
      </c>
      <c r="O47" s="30">
        <v>2024</v>
      </c>
      <c r="P47" s="30">
        <v>2025</v>
      </c>
    </row>
    <row r="48" spans="2:18">
      <c r="B48" s="154" t="str">
        <f t="shared" si="8"/>
        <v>≤10G</v>
      </c>
      <c r="C48" s="151" t="str">
        <f t="shared" si="8"/>
        <v>10G</v>
      </c>
      <c r="D48" s="151" t="str">
        <f t="shared" si="8"/>
        <v>AOC</v>
      </c>
      <c r="E48" s="151">
        <f t="shared" si="8"/>
        <v>1</v>
      </c>
      <c r="F48" s="187" t="str">
        <f t="shared" si="8"/>
        <v>SFP+</v>
      </c>
      <c r="G48" s="74">
        <v>24.310908090186217</v>
      </c>
      <c r="H48" s="74">
        <v>18.729353700291334</v>
      </c>
      <c r="I48" s="74">
        <v>15.719284358832242</v>
      </c>
      <c r="J48" s="74"/>
      <c r="K48" s="74"/>
      <c r="L48" s="74"/>
      <c r="M48" s="74"/>
      <c r="N48" s="74"/>
      <c r="O48" s="74"/>
      <c r="P48" s="74"/>
    </row>
    <row r="49" spans="1:16">
      <c r="B49" s="154" t="str">
        <f t="shared" si="8"/>
        <v>≤10G</v>
      </c>
      <c r="C49" s="151" t="str">
        <f t="shared" si="8"/>
        <v>40G</v>
      </c>
      <c r="D49" s="151" t="str">
        <f t="shared" si="8"/>
        <v>AOC</v>
      </c>
      <c r="E49" s="151">
        <f t="shared" si="8"/>
        <v>4</v>
      </c>
      <c r="F49" s="187" t="str">
        <f t="shared" si="8"/>
        <v>QSFP+</v>
      </c>
      <c r="G49" s="74">
        <v>101.84107594770762</v>
      </c>
      <c r="H49" s="74">
        <v>98.843343304455885</v>
      </c>
      <c r="I49" s="74">
        <v>83.918078288695057</v>
      </c>
      <c r="J49" s="74"/>
      <c r="K49" s="74"/>
      <c r="L49" s="74"/>
      <c r="M49" s="74"/>
      <c r="N49" s="74"/>
      <c r="O49" s="74"/>
      <c r="P49" s="74"/>
    </row>
    <row r="50" spans="1:16">
      <c r="B50" s="154" t="str">
        <f t="shared" si="8"/>
        <v>≤10G</v>
      </c>
      <c r="C50" s="151" t="str">
        <f t="shared" si="8"/>
        <v>40G</v>
      </c>
      <c r="D50" s="151" t="str">
        <f t="shared" si="8"/>
        <v>AOC</v>
      </c>
      <c r="E50" s="151" t="str">
        <f t="shared" si="8"/>
        <v>4:1</v>
      </c>
      <c r="F50" s="187" t="str">
        <f t="shared" si="8"/>
        <v>QSFP+/SFP+</v>
      </c>
      <c r="G50" s="74">
        <v>160</v>
      </c>
      <c r="H50" s="74">
        <v>155</v>
      </c>
      <c r="I50" s="74">
        <v>182.91134780957208</v>
      </c>
      <c r="J50" s="74"/>
      <c r="K50" s="74"/>
      <c r="L50" s="74"/>
      <c r="M50" s="74"/>
      <c r="N50" s="74"/>
      <c r="O50" s="74"/>
      <c r="P50" s="74"/>
    </row>
    <row r="51" spans="1:16">
      <c r="B51" s="154" t="str">
        <f t="shared" si="8"/>
        <v>≤12.5G</v>
      </c>
      <c r="C51" s="151" t="str">
        <f t="shared" si="8"/>
        <v>150G</v>
      </c>
      <c r="D51" s="151" t="str">
        <f t="shared" si="8"/>
        <v>AOC</v>
      </c>
      <c r="E51" s="151">
        <f t="shared" si="8"/>
        <v>12</v>
      </c>
      <c r="F51" s="187" t="str">
        <f t="shared" si="8"/>
        <v>CXP</v>
      </c>
      <c r="G51" s="74">
        <v>379.20111824867195</v>
      </c>
      <c r="H51" s="74">
        <v>317.82665794839966</v>
      </c>
      <c r="I51" s="74">
        <v>276.5825346951363</v>
      </c>
      <c r="J51" s="74"/>
      <c r="K51" s="74"/>
      <c r="L51" s="74"/>
      <c r="M51" s="74"/>
      <c r="N51" s="74"/>
      <c r="O51" s="74"/>
      <c r="P51" s="74"/>
    </row>
    <row r="52" spans="1:16">
      <c r="B52" s="154" t="str">
        <f t="shared" si="8"/>
        <v>≤12.5G</v>
      </c>
      <c r="C52" s="151" t="str">
        <f t="shared" si="8"/>
        <v>150G</v>
      </c>
      <c r="D52" s="151" t="str">
        <f t="shared" si="8"/>
        <v>XCVR</v>
      </c>
      <c r="E52" s="151">
        <f t="shared" si="8"/>
        <v>12</v>
      </c>
      <c r="F52" s="187" t="str">
        <f t="shared" si="8"/>
        <v>CXP</v>
      </c>
      <c r="G52" s="74">
        <v>342.7488586381445</v>
      </c>
      <c r="H52" s="74">
        <v>343.56395738203958</v>
      </c>
      <c r="I52" s="74">
        <v>283.74591102730659</v>
      </c>
      <c r="J52" s="74"/>
      <c r="K52" s="74"/>
      <c r="L52" s="74"/>
      <c r="M52" s="74"/>
      <c r="N52" s="74"/>
      <c r="O52" s="74"/>
      <c r="P52" s="74"/>
    </row>
    <row r="53" spans="1:16">
      <c r="B53" s="154" t="str">
        <f t="shared" si="8"/>
        <v>12-14G</v>
      </c>
      <c r="C53" s="151" t="str">
        <f t="shared" si="8"/>
        <v>56G</v>
      </c>
      <c r="D53" s="151" t="str">
        <f t="shared" si="8"/>
        <v>AOC</v>
      </c>
      <c r="E53" s="151">
        <f t="shared" si="8"/>
        <v>4</v>
      </c>
      <c r="F53" s="187" t="str">
        <f t="shared" si="8"/>
        <v>QSFP+</v>
      </c>
      <c r="G53" s="74">
        <v>135.19212280876991</v>
      </c>
      <c r="H53" s="74">
        <v>135.81171439039514</v>
      </c>
      <c r="I53" s="74">
        <v>113.08801812004543</v>
      </c>
      <c r="J53" s="74"/>
      <c r="K53" s="74"/>
      <c r="L53" s="74"/>
      <c r="M53" s="74"/>
      <c r="N53" s="74"/>
      <c r="O53" s="74"/>
      <c r="P53" s="74"/>
    </row>
    <row r="54" spans="1:16">
      <c r="B54" s="154" t="str">
        <f t="shared" si="8"/>
        <v>12G</v>
      </c>
      <c r="C54" s="151" t="str">
        <f t="shared" si="8"/>
        <v>48G</v>
      </c>
      <c r="D54" s="151" t="str">
        <f t="shared" si="8"/>
        <v>AOC</v>
      </c>
      <c r="E54" s="151">
        <f t="shared" si="8"/>
        <v>4</v>
      </c>
      <c r="F54" s="187" t="str">
        <f t="shared" si="8"/>
        <v>Mini-SAS HD</v>
      </c>
      <c r="G54" s="74">
        <v>170</v>
      </c>
      <c r="H54" s="74">
        <v>133.03030303030303</v>
      </c>
      <c r="I54" s="74">
        <v>116.40151515151516</v>
      </c>
      <c r="J54" s="74"/>
      <c r="K54" s="74"/>
      <c r="L54" s="74"/>
      <c r="M54" s="74"/>
      <c r="N54" s="74"/>
      <c r="O54" s="74"/>
      <c r="P54" s="74"/>
    </row>
    <row r="55" spans="1:16">
      <c r="B55" s="154" t="str">
        <f t="shared" si="8"/>
        <v>25-28G</v>
      </c>
      <c r="C55" s="151" t="str">
        <f t="shared" si="8"/>
        <v>25G</v>
      </c>
      <c r="D55" s="151" t="str">
        <f t="shared" si="8"/>
        <v>AOC</v>
      </c>
      <c r="E55" s="151">
        <f t="shared" si="8"/>
        <v>1</v>
      </c>
      <c r="F55" s="187" t="str">
        <f t="shared" si="8"/>
        <v>SFP28</v>
      </c>
      <c r="G55" s="74">
        <v>110</v>
      </c>
      <c r="H55" s="74">
        <v>77.02469352835007</v>
      </c>
      <c r="I55" s="74">
        <v>50.723149990247705</v>
      </c>
      <c r="J55" s="74"/>
      <c r="K55" s="74"/>
      <c r="L55" s="74"/>
      <c r="M55" s="74"/>
      <c r="N55" s="74"/>
      <c r="O55" s="74"/>
      <c r="P55" s="74"/>
    </row>
    <row r="56" spans="1:16">
      <c r="B56" s="154" t="str">
        <f t="shared" si="8"/>
        <v>25-28G, 50G, 100G</v>
      </c>
      <c r="C56" s="151" t="str">
        <f t="shared" si="8"/>
        <v>100G</v>
      </c>
      <c r="D56" s="151" t="str">
        <f t="shared" si="8"/>
        <v>AOC</v>
      </c>
      <c r="E56" s="151" t="str">
        <f t="shared" si="8"/>
        <v>1, 2, or 4</v>
      </c>
      <c r="F56" s="187" t="str">
        <f t="shared" si="8"/>
        <v>QSFP28, SFP-DD, SFP112</v>
      </c>
      <c r="G56" s="74">
        <v>480</v>
      </c>
      <c r="H56" s="74">
        <v>272</v>
      </c>
      <c r="I56" s="74">
        <v>163.33917023226161</v>
      </c>
      <c r="J56" s="74"/>
      <c r="K56" s="74"/>
      <c r="L56" s="74"/>
      <c r="M56" s="74"/>
      <c r="N56" s="74"/>
      <c r="O56" s="74"/>
      <c r="P56" s="74"/>
    </row>
    <row r="57" spans="1:16">
      <c r="B57" s="154" t="str">
        <f t="shared" ref="B57:F66" si="9">B17</f>
        <v>25-28G</v>
      </c>
      <c r="C57" s="151" t="str">
        <f t="shared" si="9"/>
        <v>100G</v>
      </c>
      <c r="D57" s="151" t="str">
        <f t="shared" si="9"/>
        <v>AOC</v>
      </c>
      <c r="E57" s="151" t="str">
        <f t="shared" si="9"/>
        <v>4:1</v>
      </c>
      <c r="F57" s="187" t="str">
        <f t="shared" si="9"/>
        <v>QSFP28/SFP28</v>
      </c>
      <c r="G57" s="74"/>
      <c r="H57" s="74">
        <v>350</v>
      </c>
      <c r="I57" s="74">
        <v>290</v>
      </c>
      <c r="J57" s="74"/>
      <c r="K57" s="74"/>
      <c r="L57" s="74"/>
      <c r="M57" s="74"/>
      <c r="N57" s="74"/>
      <c r="O57" s="74"/>
      <c r="P57" s="74"/>
    </row>
    <row r="58" spans="1:16">
      <c r="B58" s="154" t="str">
        <f t="shared" si="9"/>
        <v>24G</v>
      </c>
      <c r="C58" s="151" t="str">
        <f t="shared" si="9"/>
        <v>96G</v>
      </c>
      <c r="D58" s="151" t="str">
        <f t="shared" si="9"/>
        <v>AOC</v>
      </c>
      <c r="E58" s="151">
        <f t="shared" si="9"/>
        <v>4</v>
      </c>
      <c r="F58" s="187" t="str">
        <f t="shared" si="9"/>
        <v>Mini-SAS HD</v>
      </c>
      <c r="G58" s="74"/>
      <c r="H58" s="74">
        <v>0</v>
      </c>
      <c r="I58" s="74">
        <v>0</v>
      </c>
      <c r="J58" s="74"/>
      <c r="K58" s="74"/>
      <c r="L58" s="74"/>
      <c r="M58" s="74"/>
      <c r="N58" s="74"/>
      <c r="O58" s="74"/>
      <c r="P58" s="74"/>
    </row>
    <row r="59" spans="1:16" ht="15" customHeight="1">
      <c r="B59" s="154" t="str">
        <f t="shared" si="9"/>
        <v>25-28G</v>
      </c>
      <c r="C59" s="151" t="str">
        <f t="shared" si="9"/>
        <v>300G</v>
      </c>
      <c r="D59" s="151" t="str">
        <f t="shared" si="9"/>
        <v>AOC</v>
      </c>
      <c r="E59" s="151">
        <f t="shared" si="9"/>
        <v>12</v>
      </c>
      <c r="F59" s="187" t="str">
        <f t="shared" si="9"/>
        <v>CXP28</v>
      </c>
      <c r="G59" s="74">
        <v>0</v>
      </c>
      <c r="H59" s="74">
        <v>1665</v>
      </c>
      <c r="I59" s="74">
        <v>1498.5</v>
      </c>
      <c r="J59" s="74"/>
      <c r="K59" s="74"/>
      <c r="L59" s="74"/>
      <c r="M59" s="74"/>
      <c r="N59" s="74"/>
      <c r="O59" s="74"/>
      <c r="P59" s="74"/>
    </row>
    <row r="60" spans="1:16" ht="15" customHeight="1">
      <c r="B60" s="154" t="str">
        <f t="shared" si="9"/>
        <v>25-28G</v>
      </c>
      <c r="C60" s="151" t="str">
        <f t="shared" si="9"/>
        <v>100G-600G</v>
      </c>
      <c r="D60" s="151" t="str">
        <f t="shared" si="9"/>
        <v>EOM</v>
      </c>
      <c r="E60" s="151" t="str">
        <f t="shared" si="9"/>
        <v>4,8,12,16,24</v>
      </c>
      <c r="F60" s="187" t="str">
        <f t="shared" si="9"/>
        <v>XCVR</v>
      </c>
      <c r="G60" s="74">
        <v>458.28301165637117</v>
      </c>
      <c r="H60" s="74">
        <v>419</v>
      </c>
      <c r="I60" s="74">
        <v>377</v>
      </c>
      <c r="J60" s="74"/>
      <c r="K60" s="74"/>
      <c r="L60" s="74"/>
      <c r="M60" s="74"/>
      <c r="N60" s="74"/>
      <c r="O60" s="74"/>
      <c r="P60" s="74"/>
    </row>
    <row r="61" spans="1:16" ht="15" customHeight="1">
      <c r="B61" s="154" t="str">
        <f t="shared" si="9"/>
        <v>25-28G</v>
      </c>
      <c r="C61" s="151" t="str">
        <f t="shared" si="9"/>
        <v>300G</v>
      </c>
      <c r="D61" s="151" t="str">
        <f t="shared" si="9"/>
        <v>XCVR</v>
      </c>
      <c r="E61" s="151">
        <f t="shared" si="9"/>
        <v>12</v>
      </c>
      <c r="F61" s="187" t="str">
        <f t="shared" si="9"/>
        <v>CXP28</v>
      </c>
      <c r="G61" s="74">
        <v>433.125</v>
      </c>
      <c r="H61" s="74">
        <v>400</v>
      </c>
      <c r="I61" s="74">
        <v>360</v>
      </c>
      <c r="J61" s="74"/>
      <c r="K61" s="74"/>
      <c r="L61" s="74"/>
      <c r="M61" s="74"/>
      <c r="N61" s="74"/>
      <c r="O61" s="74"/>
      <c r="P61" s="74"/>
    </row>
    <row r="62" spans="1:16" ht="15" customHeight="1">
      <c r="A62" s="26"/>
      <c r="B62" s="154" t="str">
        <f t="shared" si="9"/>
        <v>50-56G</v>
      </c>
      <c r="C62" s="151" t="str">
        <f t="shared" si="9"/>
        <v>50G</v>
      </c>
      <c r="D62" s="151" t="str">
        <f t="shared" si="9"/>
        <v>AOC</v>
      </c>
      <c r="E62" s="151">
        <f t="shared" si="9"/>
        <v>1</v>
      </c>
      <c r="F62" s="187" t="str">
        <f t="shared" si="9"/>
        <v>SFP56</v>
      </c>
      <c r="G62" s="74"/>
      <c r="H62" s="74"/>
      <c r="I62" s="74">
        <v>0</v>
      </c>
      <c r="J62" s="74"/>
      <c r="K62" s="74"/>
      <c r="L62" s="74"/>
      <c r="M62" s="74"/>
      <c r="N62" s="74"/>
      <c r="O62" s="74"/>
      <c r="P62" s="74"/>
    </row>
    <row r="63" spans="1:16">
      <c r="A63" s="26"/>
      <c r="B63" s="154" t="str">
        <f t="shared" si="9"/>
        <v>50-56G</v>
      </c>
      <c r="C63" s="151" t="str">
        <f t="shared" si="9"/>
        <v>200G</v>
      </c>
      <c r="D63" s="151" t="str">
        <f t="shared" si="9"/>
        <v>AOC</v>
      </c>
      <c r="E63" s="151">
        <f t="shared" si="9"/>
        <v>4</v>
      </c>
      <c r="F63" s="187" t="str">
        <f t="shared" si="9"/>
        <v>QSFP56</v>
      </c>
      <c r="G63" s="74"/>
      <c r="H63" s="74"/>
      <c r="I63" s="74">
        <v>0</v>
      </c>
      <c r="J63" s="74"/>
      <c r="K63" s="74"/>
      <c r="L63" s="74"/>
      <c r="M63" s="74"/>
      <c r="N63" s="74"/>
      <c r="O63" s="74"/>
      <c r="P63" s="74"/>
    </row>
    <row r="64" spans="1:16">
      <c r="A64" s="26"/>
      <c r="B64" s="154" t="str">
        <f t="shared" si="9"/>
        <v>50-56G</v>
      </c>
      <c r="C64" s="151" t="str">
        <f t="shared" si="9"/>
        <v>200G - 1.3T</v>
      </c>
      <c r="D64" s="151" t="str">
        <f t="shared" si="9"/>
        <v>EOM</v>
      </c>
      <c r="E64" s="151" t="str">
        <f t="shared" si="9"/>
        <v>8,12,16,24</v>
      </c>
      <c r="F64" s="187" t="str">
        <f t="shared" si="9"/>
        <v>TBD</v>
      </c>
      <c r="G64" s="74"/>
      <c r="H64" s="74"/>
      <c r="I64" s="74" t="s">
        <v>52</v>
      </c>
      <c r="J64" s="74"/>
      <c r="K64" s="74"/>
      <c r="L64" s="74"/>
      <c r="M64" s="74"/>
      <c r="N64" s="74"/>
      <c r="O64" s="74"/>
      <c r="P64" s="74"/>
    </row>
    <row r="65" spans="2:16">
      <c r="B65" s="154" t="str">
        <f t="shared" si="9"/>
        <v>50-56G, 100G</v>
      </c>
      <c r="C65" s="151" t="str">
        <f t="shared" si="9"/>
        <v>400G, 2x200G</v>
      </c>
      <c r="D65" s="151" t="str">
        <f t="shared" si="9"/>
        <v>AOC</v>
      </c>
      <c r="E65" s="151" t="str">
        <f t="shared" si="9"/>
        <v>4 or 8</v>
      </c>
      <c r="F65" s="187" t="str">
        <f t="shared" si="9"/>
        <v>QSFP-DD, OSFP, QSFP112</v>
      </c>
      <c r="G65" s="74"/>
      <c r="H65" s="74"/>
      <c r="I65" s="74">
        <v>0</v>
      </c>
      <c r="J65" s="74"/>
      <c r="K65" s="74"/>
      <c r="L65" s="74"/>
      <c r="M65" s="74"/>
      <c r="N65" s="74"/>
      <c r="O65" s="74"/>
      <c r="P65" s="74"/>
    </row>
    <row r="66" spans="2:16">
      <c r="B66" s="154" t="str">
        <f t="shared" si="9"/>
        <v>50-56G, 100G</v>
      </c>
      <c r="C66" s="151" t="str">
        <f t="shared" si="9"/>
        <v>400G, 2x200G</v>
      </c>
      <c r="D66" s="151" t="str">
        <f t="shared" si="9"/>
        <v>AOC</v>
      </c>
      <c r="E66" s="151" t="str">
        <f t="shared" si="9"/>
        <v>4:1 or 8:1</v>
      </c>
      <c r="F66" s="187" t="str">
        <f t="shared" si="9"/>
        <v>QSFP-DD, OSFP, QSFP112</v>
      </c>
      <c r="G66" s="74"/>
      <c r="H66" s="74"/>
      <c r="I66" s="74">
        <v>0</v>
      </c>
      <c r="J66" s="74"/>
      <c r="K66" s="74"/>
      <c r="L66" s="74"/>
      <c r="M66" s="74"/>
      <c r="N66" s="74"/>
      <c r="O66" s="74"/>
      <c r="P66" s="74"/>
    </row>
    <row r="67" spans="2:16">
      <c r="B67" s="154" t="str">
        <f t="shared" ref="B67:F76" si="10">B27</f>
        <v>100G</v>
      </c>
      <c r="C67" s="151" t="str">
        <f t="shared" si="10"/>
        <v>800G</v>
      </c>
      <c r="D67" s="151" t="str">
        <f t="shared" si="10"/>
        <v>AOC</v>
      </c>
      <c r="E67" s="151">
        <f t="shared" si="10"/>
        <v>8</v>
      </c>
      <c r="F67" s="187" t="str">
        <f t="shared" si="10"/>
        <v xml:space="preserve">QSFP-DD800, OSFP </v>
      </c>
      <c r="G67" s="74"/>
      <c r="H67" s="74"/>
      <c r="I67" s="74">
        <v>0</v>
      </c>
      <c r="J67" s="74"/>
      <c r="K67" s="74"/>
      <c r="L67" s="74"/>
      <c r="M67" s="74"/>
      <c r="N67" s="74"/>
      <c r="O67" s="74"/>
      <c r="P67" s="74"/>
    </row>
    <row r="68" spans="2:16">
      <c r="B68" s="154" t="str">
        <f t="shared" si="10"/>
        <v>400 Gbps</v>
      </c>
      <c r="C68" s="151">
        <f t="shared" si="10"/>
        <v>0</v>
      </c>
      <c r="D68" s="151" t="str">
        <f t="shared" si="10"/>
        <v>CPO</v>
      </c>
      <c r="E68" s="151" t="str">
        <f t="shared" si="10"/>
        <v>30m</v>
      </c>
      <c r="F68" s="187" t="str">
        <f t="shared" si="10"/>
        <v>TBD</v>
      </c>
      <c r="G68" s="278"/>
      <c r="H68" s="277"/>
      <c r="I68" s="277">
        <v>0</v>
      </c>
      <c r="J68" s="277"/>
      <c r="K68" s="277"/>
      <c r="L68" s="277"/>
      <c r="M68" s="277"/>
      <c r="N68" s="277"/>
      <c r="O68" s="277"/>
      <c r="P68" s="277"/>
    </row>
    <row r="69" spans="2:16">
      <c r="B69" s="154" t="str">
        <f t="shared" si="10"/>
        <v>400 Gbps</v>
      </c>
      <c r="C69" s="151">
        <f t="shared" si="10"/>
        <v>0</v>
      </c>
      <c r="D69" s="151" t="str">
        <f t="shared" si="10"/>
        <v>CPO</v>
      </c>
      <c r="E69" s="151" t="str">
        <f t="shared" si="10"/>
        <v>100 m</v>
      </c>
      <c r="F69" s="187" t="str">
        <f t="shared" si="10"/>
        <v>TBD</v>
      </c>
      <c r="G69" s="199"/>
      <c r="H69" s="74"/>
      <c r="I69" s="74">
        <v>0</v>
      </c>
      <c r="J69" s="74"/>
      <c r="K69" s="74"/>
      <c r="L69" s="74"/>
      <c r="M69" s="74"/>
      <c r="N69" s="74"/>
      <c r="O69" s="74"/>
      <c r="P69" s="74"/>
    </row>
    <row r="70" spans="2:16">
      <c r="B70" s="154" t="str">
        <f t="shared" si="10"/>
        <v>400 Gbps</v>
      </c>
      <c r="C70" s="151">
        <f t="shared" si="10"/>
        <v>0</v>
      </c>
      <c r="D70" s="151" t="str">
        <f t="shared" si="10"/>
        <v>CPO</v>
      </c>
      <c r="E70" s="151" t="str">
        <f t="shared" si="10"/>
        <v>500 m</v>
      </c>
      <c r="F70" s="187" t="str">
        <f t="shared" si="10"/>
        <v>TBD</v>
      </c>
      <c r="G70" s="199"/>
      <c r="H70" s="74"/>
      <c r="I70" s="74">
        <v>0</v>
      </c>
      <c r="J70" s="74"/>
      <c r="K70" s="74"/>
      <c r="L70" s="74"/>
      <c r="M70" s="74"/>
      <c r="N70" s="74"/>
      <c r="O70" s="74"/>
      <c r="P70" s="74"/>
    </row>
    <row r="71" spans="2:16">
      <c r="B71" s="154" t="str">
        <f t="shared" si="10"/>
        <v>800 Gbps</v>
      </c>
      <c r="C71" s="151">
        <f t="shared" si="10"/>
        <v>0</v>
      </c>
      <c r="D71" s="151" t="str">
        <f t="shared" si="10"/>
        <v>CPO</v>
      </c>
      <c r="E71" s="151" t="str">
        <f t="shared" si="10"/>
        <v>30m</v>
      </c>
      <c r="F71" s="187" t="str">
        <f t="shared" si="10"/>
        <v>TBD</v>
      </c>
      <c r="G71" s="199"/>
      <c r="H71" s="74"/>
      <c r="I71" s="74">
        <v>0</v>
      </c>
      <c r="J71" s="74"/>
      <c r="K71" s="74"/>
      <c r="L71" s="74"/>
      <c r="M71" s="74"/>
      <c r="N71" s="74"/>
      <c r="O71" s="74"/>
      <c r="P71" s="74"/>
    </row>
    <row r="72" spans="2:16">
      <c r="B72" s="154" t="str">
        <f t="shared" si="10"/>
        <v>800 Gbps</v>
      </c>
      <c r="C72" s="151">
        <f t="shared" si="10"/>
        <v>0</v>
      </c>
      <c r="D72" s="151" t="str">
        <f t="shared" si="10"/>
        <v>CPO</v>
      </c>
      <c r="E72" s="151" t="str">
        <f t="shared" si="10"/>
        <v>100 m</v>
      </c>
      <c r="F72" s="187" t="str">
        <f t="shared" si="10"/>
        <v>TBD</v>
      </c>
      <c r="G72" s="199"/>
      <c r="H72" s="74"/>
      <c r="I72" s="74">
        <v>0</v>
      </c>
      <c r="J72" s="74"/>
      <c r="K72" s="74"/>
      <c r="L72" s="74"/>
      <c r="M72" s="74"/>
      <c r="N72" s="74"/>
      <c r="O72" s="74"/>
      <c r="P72" s="74"/>
    </row>
    <row r="73" spans="2:16">
      <c r="B73" s="154" t="str">
        <f t="shared" si="10"/>
        <v>800 Gbps</v>
      </c>
      <c r="C73" s="151">
        <f t="shared" si="10"/>
        <v>0</v>
      </c>
      <c r="D73" s="151" t="str">
        <f t="shared" si="10"/>
        <v>CPO</v>
      </c>
      <c r="E73" s="151" t="str">
        <f t="shared" si="10"/>
        <v>500 m</v>
      </c>
      <c r="F73" s="187" t="str">
        <f t="shared" si="10"/>
        <v>TBD</v>
      </c>
      <c r="G73" s="199"/>
      <c r="H73" s="74"/>
      <c r="I73" s="74">
        <v>0</v>
      </c>
      <c r="J73" s="74"/>
      <c r="K73" s="74"/>
      <c r="L73" s="74"/>
      <c r="M73" s="74"/>
      <c r="N73" s="74"/>
      <c r="O73" s="74"/>
      <c r="P73" s="74"/>
    </row>
    <row r="74" spans="2:16">
      <c r="B74" s="154" t="str">
        <f t="shared" si="10"/>
        <v>1.6 Tbps</v>
      </c>
      <c r="C74" s="151">
        <f t="shared" si="10"/>
        <v>0</v>
      </c>
      <c r="D74" s="151" t="str">
        <f t="shared" si="10"/>
        <v>CPO</v>
      </c>
      <c r="E74" s="151" t="str">
        <f t="shared" si="10"/>
        <v>30m</v>
      </c>
      <c r="F74" s="187" t="str">
        <f t="shared" si="10"/>
        <v>TBD</v>
      </c>
      <c r="G74" s="199"/>
      <c r="H74" s="74"/>
      <c r="I74" s="74">
        <v>0</v>
      </c>
      <c r="J74" s="74"/>
      <c r="K74" s="74"/>
      <c r="L74" s="74"/>
      <c r="M74" s="74"/>
      <c r="N74" s="74"/>
      <c r="O74" s="74"/>
      <c r="P74" s="74"/>
    </row>
    <row r="75" spans="2:16">
      <c r="B75" s="154" t="str">
        <f t="shared" si="10"/>
        <v>1.6 Tbps</v>
      </c>
      <c r="C75" s="151">
        <f t="shared" si="10"/>
        <v>0</v>
      </c>
      <c r="D75" s="151" t="str">
        <f t="shared" si="10"/>
        <v>CPO</v>
      </c>
      <c r="E75" s="151" t="str">
        <f t="shared" si="10"/>
        <v>100 m</v>
      </c>
      <c r="F75" s="187" t="str">
        <f t="shared" si="10"/>
        <v>TBD</v>
      </c>
      <c r="G75" s="199"/>
      <c r="H75" s="74"/>
      <c r="I75" s="74">
        <v>0</v>
      </c>
      <c r="J75" s="74"/>
      <c r="K75" s="74"/>
      <c r="L75" s="74"/>
      <c r="M75" s="74"/>
      <c r="N75" s="74"/>
      <c r="O75" s="74"/>
      <c r="P75" s="74"/>
    </row>
    <row r="76" spans="2:16">
      <c r="B76" s="173" t="str">
        <f t="shared" si="10"/>
        <v>1.6 Tbps</v>
      </c>
      <c r="C76" s="174">
        <f t="shared" si="10"/>
        <v>0</v>
      </c>
      <c r="D76" s="174" t="str">
        <f t="shared" si="10"/>
        <v>CPO</v>
      </c>
      <c r="E76" s="174" t="str">
        <f t="shared" si="10"/>
        <v>500 m</v>
      </c>
      <c r="F76" s="188" t="str">
        <f t="shared" si="10"/>
        <v>TBD</v>
      </c>
      <c r="G76" s="121"/>
      <c r="H76" s="75"/>
      <c r="I76" s="75">
        <v>0</v>
      </c>
      <c r="J76" s="75"/>
      <c r="K76" s="75"/>
      <c r="L76" s="75"/>
      <c r="M76" s="75"/>
      <c r="N76" s="75"/>
      <c r="O76" s="75"/>
      <c r="P76" s="75"/>
    </row>
    <row r="77" spans="2:16">
      <c r="B77" s="99" t="s">
        <v>13</v>
      </c>
      <c r="C77" s="144" t="s">
        <v>59</v>
      </c>
      <c r="D77" s="112" t="s">
        <v>59</v>
      </c>
      <c r="E77" s="144" t="s">
        <v>59</v>
      </c>
      <c r="F77" s="104" t="s">
        <v>59</v>
      </c>
      <c r="G77" s="123">
        <f t="shared" ref="G77:P77" si="11">IF(G37=0,0,G117*10^6/G37)</f>
        <v>99.044357736149053</v>
      </c>
      <c r="H77" s="124">
        <f t="shared" si="11"/>
        <v>61.683752962405094</v>
      </c>
      <c r="I77" s="124">
        <f t="shared" si="11"/>
        <v>47.014751380169997</v>
      </c>
      <c r="J77" s="124">
        <f t="shared" si="11"/>
        <v>0</v>
      </c>
      <c r="K77" s="124">
        <f t="shared" si="11"/>
        <v>0</v>
      </c>
      <c r="L77" s="124">
        <f t="shared" si="11"/>
        <v>0</v>
      </c>
      <c r="M77" s="124">
        <f t="shared" si="11"/>
        <v>0</v>
      </c>
      <c r="N77" s="124">
        <f t="shared" si="11"/>
        <v>0</v>
      </c>
      <c r="O77" s="124">
        <f t="shared" si="11"/>
        <v>0</v>
      </c>
      <c r="P77" s="124">
        <f t="shared" si="11"/>
        <v>0</v>
      </c>
    </row>
    <row r="78" spans="2:16">
      <c r="B78" s="89"/>
      <c r="C78" s="89"/>
      <c r="D78" s="89"/>
      <c r="E78" s="89"/>
      <c r="F78" s="89"/>
      <c r="G78" s="56"/>
      <c r="H78" s="56"/>
      <c r="I78" s="56"/>
      <c r="J78" s="56"/>
      <c r="K78" s="56"/>
      <c r="L78" s="56"/>
      <c r="M78" s="56"/>
      <c r="N78" s="56"/>
      <c r="O78" s="56"/>
      <c r="P78" s="56"/>
    </row>
    <row r="79" spans="2:16">
      <c r="B79" s="97" t="s">
        <v>58</v>
      </c>
      <c r="C79" s="98" t="str">
        <f>C7</f>
        <v>Agg. Speed</v>
      </c>
      <c r="D79" s="112" t="str">
        <f>D7</f>
        <v>Type</v>
      </c>
      <c r="E79" s="112" t="s">
        <v>54</v>
      </c>
      <c r="F79" s="113" t="s">
        <v>55</v>
      </c>
      <c r="G79" s="90">
        <v>2016</v>
      </c>
      <c r="H79" s="91">
        <v>2017</v>
      </c>
      <c r="I79" s="91">
        <v>2018</v>
      </c>
      <c r="J79" s="91">
        <v>2019</v>
      </c>
      <c r="K79" s="91">
        <v>2020</v>
      </c>
      <c r="L79" s="91">
        <v>2021</v>
      </c>
      <c r="M79" s="91">
        <v>2022</v>
      </c>
      <c r="N79" s="91">
        <v>2023</v>
      </c>
      <c r="O79" s="91">
        <v>2024</v>
      </c>
      <c r="P79" s="91">
        <v>2025</v>
      </c>
    </row>
    <row r="80" spans="2:16">
      <c r="B80" s="105" t="str">
        <f t="shared" ref="B80:F83" si="12">B40</f>
        <v>All</v>
      </c>
      <c r="C80" s="93" t="str">
        <f t="shared" si="12"/>
        <v>All</v>
      </c>
      <c r="D80" s="93" t="str">
        <f t="shared" si="12"/>
        <v>AOC</v>
      </c>
      <c r="E80" s="93" t="str">
        <f t="shared" si="12"/>
        <v>Single</v>
      </c>
      <c r="F80" s="107" t="str">
        <f t="shared" si="12"/>
        <v>All</v>
      </c>
      <c r="G80" s="179">
        <f t="shared" ref="G80:P80" si="13">IF(G40=0,0,G120*10^6/G40)</f>
        <v>24.825811495409784</v>
      </c>
      <c r="H80" s="179">
        <f t="shared" si="13"/>
        <v>21.653272716531514</v>
      </c>
      <c r="I80" s="179">
        <f t="shared" si="13"/>
        <v>22.514940537711826</v>
      </c>
      <c r="J80" s="179">
        <f t="shared" si="13"/>
        <v>0</v>
      </c>
      <c r="K80" s="179">
        <f t="shared" si="13"/>
        <v>0</v>
      </c>
      <c r="L80" s="179">
        <f t="shared" si="13"/>
        <v>0</v>
      </c>
      <c r="M80" s="179">
        <f t="shared" si="13"/>
        <v>0</v>
      </c>
      <c r="N80" s="179">
        <f t="shared" si="13"/>
        <v>0</v>
      </c>
      <c r="O80" s="179">
        <f t="shared" si="13"/>
        <v>0</v>
      </c>
      <c r="P80" s="179">
        <f t="shared" si="13"/>
        <v>0</v>
      </c>
    </row>
    <row r="81" spans="2:16">
      <c r="B81" s="106" t="str">
        <f t="shared" si="12"/>
        <v>All</v>
      </c>
      <c r="C81" s="89" t="str">
        <f t="shared" si="12"/>
        <v>All</v>
      </c>
      <c r="D81" s="89" t="str">
        <f t="shared" si="12"/>
        <v>AOC/XCVR</v>
      </c>
      <c r="E81" s="89" t="str">
        <f t="shared" si="12"/>
        <v>Multi-</v>
      </c>
      <c r="F81" s="108" t="str">
        <f t="shared" si="12"/>
        <v>All</v>
      </c>
      <c r="G81" s="153">
        <f t="shared" ref="G81:P81" si="14">IF(G41=0,0,G121*10^6/G41)</f>
        <v>221.49184938742539</v>
      </c>
      <c r="H81" s="153">
        <f t="shared" si="14"/>
        <v>191.61088727633381</v>
      </c>
      <c r="I81" s="153">
        <f t="shared" si="14"/>
        <v>138.46658105954697</v>
      </c>
      <c r="J81" s="153">
        <f t="shared" si="14"/>
        <v>0</v>
      </c>
      <c r="K81" s="153">
        <f t="shared" si="14"/>
        <v>0</v>
      </c>
      <c r="L81" s="153">
        <f t="shared" si="14"/>
        <v>0</v>
      </c>
      <c r="M81" s="153">
        <f t="shared" si="14"/>
        <v>0</v>
      </c>
      <c r="N81" s="153">
        <f t="shared" si="14"/>
        <v>0</v>
      </c>
      <c r="O81" s="153">
        <f t="shared" si="14"/>
        <v>0</v>
      </c>
      <c r="P81" s="153">
        <f t="shared" si="14"/>
        <v>0</v>
      </c>
    </row>
    <row r="82" spans="2:16">
      <c r="B82" s="106" t="str">
        <f t="shared" si="12"/>
        <v>All</v>
      </c>
      <c r="C82" s="89" t="str">
        <f t="shared" si="12"/>
        <v>All</v>
      </c>
      <c r="D82" s="89" t="str">
        <f t="shared" si="12"/>
        <v>EOM</v>
      </c>
      <c r="E82" s="89" t="str">
        <f t="shared" si="12"/>
        <v>All</v>
      </c>
      <c r="F82" s="108" t="str">
        <f t="shared" si="12"/>
        <v>Non-COBO</v>
      </c>
      <c r="G82" s="153">
        <f t="shared" ref="G82:P82" si="15">IF(G42=0,0,G122*10^6/G42)</f>
        <v>458.28301165637112</v>
      </c>
      <c r="H82" s="153">
        <f t="shared" si="15"/>
        <v>419</v>
      </c>
      <c r="I82" s="153">
        <f t="shared" si="15"/>
        <v>377</v>
      </c>
      <c r="J82" s="153">
        <f t="shared" si="15"/>
        <v>0</v>
      </c>
      <c r="K82" s="153">
        <f t="shared" si="15"/>
        <v>0</v>
      </c>
      <c r="L82" s="153">
        <f t="shared" si="15"/>
        <v>0</v>
      </c>
      <c r="M82" s="153">
        <f t="shared" si="15"/>
        <v>0</v>
      </c>
      <c r="N82" s="153">
        <f t="shared" si="15"/>
        <v>0</v>
      </c>
      <c r="O82" s="153">
        <f t="shared" si="15"/>
        <v>0</v>
      </c>
      <c r="P82" s="153">
        <f t="shared" si="15"/>
        <v>0</v>
      </c>
    </row>
    <row r="83" spans="2:16">
      <c r="B83" s="106" t="str">
        <f t="shared" si="12"/>
        <v>All</v>
      </c>
      <c r="C83" s="89" t="str">
        <f t="shared" si="12"/>
        <v>All</v>
      </c>
      <c r="D83" s="89" t="str">
        <f t="shared" si="12"/>
        <v>Chiplet</v>
      </c>
      <c r="E83" s="89" t="str">
        <f t="shared" si="12"/>
        <v>All</v>
      </c>
      <c r="F83" s="108" t="str">
        <f t="shared" si="12"/>
        <v>TBD</v>
      </c>
      <c r="G83" s="153"/>
      <c r="H83" s="153"/>
      <c r="I83" s="153"/>
      <c r="J83" s="153"/>
      <c r="K83" s="153"/>
      <c r="L83" s="153"/>
      <c r="M83" s="153"/>
      <c r="N83" s="153"/>
      <c r="O83" s="153"/>
      <c r="P83" s="153"/>
    </row>
    <row r="84" spans="2:16">
      <c r="B84" s="99" t="s">
        <v>13</v>
      </c>
      <c r="C84" s="112" t="s">
        <v>59</v>
      </c>
      <c r="D84" s="112" t="s">
        <v>59</v>
      </c>
      <c r="E84" s="144" t="s">
        <v>59</v>
      </c>
      <c r="F84" s="104" t="s">
        <v>59</v>
      </c>
      <c r="G84" s="123">
        <f t="shared" ref="G84:P84" si="16">IF(G44=0,0,G124*10^6/G44)</f>
        <v>99.044357736149038</v>
      </c>
      <c r="H84" s="124">
        <f t="shared" si="16"/>
        <v>61.683752962405102</v>
      </c>
      <c r="I84" s="124">
        <f t="shared" si="16"/>
        <v>47.014751380169997</v>
      </c>
      <c r="J84" s="124">
        <f t="shared" si="16"/>
        <v>0</v>
      </c>
      <c r="K84" s="124">
        <f t="shared" si="16"/>
        <v>0</v>
      </c>
      <c r="L84" s="124">
        <f t="shared" si="16"/>
        <v>0</v>
      </c>
      <c r="M84" s="124">
        <f t="shared" si="16"/>
        <v>0</v>
      </c>
      <c r="N84" s="124">
        <f t="shared" si="16"/>
        <v>0</v>
      </c>
      <c r="O84" s="124">
        <f t="shared" si="16"/>
        <v>0</v>
      </c>
      <c r="P84" s="124">
        <f t="shared" si="16"/>
        <v>0</v>
      </c>
    </row>
    <row r="86" spans="2:16" ht="21">
      <c r="B86" s="24" t="s">
        <v>20</v>
      </c>
      <c r="C86" s="24"/>
      <c r="D86" s="13"/>
      <c r="H86" s="11" t="s">
        <v>15</v>
      </c>
    </row>
    <row r="87" spans="2:16">
      <c r="B87" s="97" t="str">
        <f t="shared" ref="B87:F96" si="17">B7</f>
        <v>Lane Speed</v>
      </c>
      <c r="C87" s="112" t="str">
        <f t="shared" si="17"/>
        <v>Agg. Speed</v>
      </c>
      <c r="D87" s="112" t="str">
        <f t="shared" si="17"/>
        <v>Type</v>
      </c>
      <c r="E87" s="112" t="str">
        <f t="shared" si="17"/>
        <v>Lanes</v>
      </c>
      <c r="F87" s="113" t="str">
        <f t="shared" si="17"/>
        <v>Form Factor</v>
      </c>
      <c r="G87" s="87">
        <v>2016</v>
      </c>
      <c r="H87" s="87">
        <v>2017</v>
      </c>
      <c r="I87" s="87">
        <v>2018</v>
      </c>
      <c r="J87" s="87">
        <v>2019</v>
      </c>
      <c r="K87" s="87">
        <v>2020</v>
      </c>
      <c r="L87" s="87">
        <v>2021</v>
      </c>
      <c r="M87" s="87">
        <v>2022</v>
      </c>
      <c r="N87" s="87">
        <v>2023</v>
      </c>
      <c r="O87" s="87">
        <v>2024</v>
      </c>
      <c r="P87" s="87">
        <v>2025</v>
      </c>
    </row>
    <row r="88" spans="2:16">
      <c r="B88" s="106" t="str">
        <f t="shared" si="17"/>
        <v>≤10G</v>
      </c>
      <c r="C88" s="89" t="str">
        <f t="shared" si="17"/>
        <v>10G</v>
      </c>
      <c r="D88" s="89" t="str">
        <f t="shared" si="17"/>
        <v>AOC</v>
      </c>
      <c r="E88" s="89">
        <f t="shared" si="17"/>
        <v>1</v>
      </c>
      <c r="F88" s="108" t="str">
        <f t="shared" si="17"/>
        <v>SFP+</v>
      </c>
      <c r="G88" s="40">
        <f t="shared" ref="G88:P88" si="18">IF(G8=0,,G8*G48/10^6)</f>
        <v>40.21456932280806</v>
      </c>
      <c r="H88" s="40">
        <f t="shared" si="18"/>
        <v>60.527746000000008</v>
      </c>
      <c r="I88" s="40">
        <f t="shared" si="18"/>
        <v>66.906791699999971</v>
      </c>
      <c r="J88" s="40">
        <f t="shared" si="18"/>
        <v>0</v>
      </c>
      <c r="K88" s="40">
        <f t="shared" si="18"/>
        <v>0</v>
      </c>
      <c r="L88" s="40">
        <f t="shared" si="18"/>
        <v>0</v>
      </c>
      <c r="M88" s="40">
        <f t="shared" si="18"/>
        <v>0</v>
      </c>
      <c r="N88" s="40">
        <f t="shared" si="18"/>
        <v>0</v>
      </c>
      <c r="O88" s="40">
        <f t="shared" si="18"/>
        <v>0</v>
      </c>
      <c r="P88" s="40">
        <f t="shared" si="18"/>
        <v>0</v>
      </c>
    </row>
    <row r="89" spans="2:16">
      <c r="B89" s="106" t="str">
        <f t="shared" si="17"/>
        <v>≤10G</v>
      </c>
      <c r="C89" s="89" t="str">
        <f t="shared" si="17"/>
        <v>40G</v>
      </c>
      <c r="D89" s="89" t="str">
        <f t="shared" si="17"/>
        <v>AOC</v>
      </c>
      <c r="E89" s="89">
        <f t="shared" si="17"/>
        <v>4</v>
      </c>
      <c r="F89" s="108" t="str">
        <f t="shared" si="17"/>
        <v>QSFP+</v>
      </c>
      <c r="G89" s="40">
        <f t="shared" ref="G89:P89" si="19">IF(G9=0,,G9*G49/10^6)</f>
        <v>34.523513699817194</v>
      </c>
      <c r="H89" s="40">
        <f t="shared" si="19"/>
        <v>20.354611999999992</v>
      </c>
      <c r="I89" s="40">
        <f t="shared" si="19"/>
        <v>24.887500560000007</v>
      </c>
      <c r="J89" s="40">
        <f t="shared" si="19"/>
        <v>0</v>
      </c>
      <c r="K89" s="40">
        <f t="shared" si="19"/>
        <v>0</v>
      </c>
      <c r="L89" s="40">
        <f t="shared" si="19"/>
        <v>0</v>
      </c>
      <c r="M89" s="40">
        <f t="shared" si="19"/>
        <v>0</v>
      </c>
      <c r="N89" s="40">
        <f t="shared" si="19"/>
        <v>0</v>
      </c>
      <c r="O89" s="40">
        <f t="shared" si="19"/>
        <v>0</v>
      </c>
      <c r="P89" s="40">
        <f t="shared" si="19"/>
        <v>0</v>
      </c>
    </row>
    <row r="90" spans="2:16">
      <c r="B90" s="106" t="str">
        <f t="shared" si="17"/>
        <v>≤10G</v>
      </c>
      <c r="C90" s="89" t="str">
        <f t="shared" si="17"/>
        <v>40G</v>
      </c>
      <c r="D90" s="89" t="str">
        <f t="shared" si="17"/>
        <v>AOC</v>
      </c>
      <c r="E90" s="89" t="str">
        <f t="shared" si="17"/>
        <v>4:1</v>
      </c>
      <c r="F90" s="108" t="str">
        <f t="shared" si="17"/>
        <v>QSFP+/SFP+</v>
      </c>
      <c r="G90" s="40">
        <f t="shared" ref="G90:P90" si="20">IF(G10=0,,G10*G50/10^6)</f>
        <v>6.7839999999999998</v>
      </c>
      <c r="H90" s="40">
        <f t="shared" si="20"/>
        <v>5.7350000000000003</v>
      </c>
      <c r="I90" s="40">
        <f t="shared" si="20"/>
        <v>8.5222055171435827</v>
      </c>
      <c r="J90" s="40">
        <f t="shared" si="20"/>
        <v>0</v>
      </c>
      <c r="K90" s="40">
        <f t="shared" si="20"/>
        <v>0</v>
      </c>
      <c r="L90" s="40">
        <f t="shared" si="20"/>
        <v>0</v>
      </c>
      <c r="M90" s="40">
        <f t="shared" si="20"/>
        <v>0</v>
      </c>
      <c r="N90" s="40">
        <f t="shared" si="20"/>
        <v>0</v>
      </c>
      <c r="O90" s="40">
        <f t="shared" si="20"/>
        <v>0</v>
      </c>
      <c r="P90" s="40">
        <f t="shared" si="20"/>
        <v>0</v>
      </c>
    </row>
    <row r="91" spans="2:16">
      <c r="B91" s="106" t="str">
        <f t="shared" si="17"/>
        <v>≤12.5G</v>
      </c>
      <c r="C91" s="89" t="str">
        <f t="shared" si="17"/>
        <v>150G</v>
      </c>
      <c r="D91" s="89" t="str">
        <f t="shared" si="17"/>
        <v>AOC</v>
      </c>
      <c r="E91" s="89">
        <f t="shared" si="17"/>
        <v>12</v>
      </c>
      <c r="F91" s="108" t="str">
        <f t="shared" si="17"/>
        <v>CXP</v>
      </c>
      <c r="G91" s="40">
        <f t="shared" ref="G91:P91" si="21">IF(G11=0,,G11*G51/10^6)</f>
        <v>45.894846770607558</v>
      </c>
      <c r="H91" s="40">
        <f t="shared" si="21"/>
        <v>28.678134999999997</v>
      </c>
      <c r="I91" s="40">
        <f t="shared" si="21"/>
        <v>15.246059059999999</v>
      </c>
      <c r="J91" s="40">
        <f t="shared" si="21"/>
        <v>0</v>
      </c>
      <c r="K91" s="40">
        <f t="shared" si="21"/>
        <v>0</v>
      </c>
      <c r="L91" s="40">
        <f t="shared" si="21"/>
        <v>0</v>
      </c>
      <c r="M91" s="40">
        <f t="shared" si="21"/>
        <v>0</v>
      </c>
      <c r="N91" s="40">
        <f t="shared" si="21"/>
        <v>0</v>
      </c>
      <c r="O91" s="40">
        <f t="shared" si="21"/>
        <v>0</v>
      </c>
      <c r="P91" s="40">
        <f t="shared" si="21"/>
        <v>0</v>
      </c>
    </row>
    <row r="92" spans="2:16">
      <c r="B92" s="106" t="str">
        <f t="shared" si="17"/>
        <v>≤12.5G</v>
      </c>
      <c r="C92" s="89" t="str">
        <f t="shared" si="17"/>
        <v>150G</v>
      </c>
      <c r="D92" s="89" t="str">
        <f t="shared" si="17"/>
        <v>XCVR</v>
      </c>
      <c r="E92" s="89">
        <f t="shared" si="17"/>
        <v>12</v>
      </c>
      <c r="F92" s="108" t="str">
        <f t="shared" si="17"/>
        <v>CXP</v>
      </c>
      <c r="G92" s="40">
        <f t="shared" ref="G92:P92" si="22">IF(G12=0,,G12*G52/10^6)</f>
        <v>8.5687214659536135</v>
      </c>
      <c r="H92" s="40">
        <f t="shared" si="22"/>
        <v>5.6430379999999998</v>
      </c>
      <c r="I92" s="40">
        <f t="shared" si="22"/>
        <v>4.0629577000000028</v>
      </c>
      <c r="J92" s="40">
        <f t="shared" si="22"/>
        <v>0</v>
      </c>
      <c r="K92" s="40">
        <f t="shared" si="22"/>
        <v>0</v>
      </c>
      <c r="L92" s="40">
        <f t="shared" si="22"/>
        <v>0</v>
      </c>
      <c r="M92" s="40">
        <f t="shared" si="22"/>
        <v>0</v>
      </c>
      <c r="N92" s="40">
        <f t="shared" si="22"/>
        <v>0</v>
      </c>
      <c r="O92" s="40">
        <f t="shared" si="22"/>
        <v>0</v>
      </c>
      <c r="P92" s="40">
        <f t="shared" si="22"/>
        <v>0</v>
      </c>
    </row>
    <row r="93" spans="2:16">
      <c r="B93" s="154" t="str">
        <f t="shared" si="17"/>
        <v>12-14G</v>
      </c>
      <c r="C93" s="151" t="str">
        <f t="shared" si="17"/>
        <v>56G</v>
      </c>
      <c r="D93" s="151" t="str">
        <f t="shared" si="17"/>
        <v>AOC</v>
      </c>
      <c r="E93" s="151">
        <f t="shared" si="17"/>
        <v>4</v>
      </c>
      <c r="F93" s="187" t="str">
        <f t="shared" si="17"/>
        <v>QSFP+</v>
      </c>
      <c r="G93" s="74">
        <f t="shared" ref="G93:P93" si="23">IF(G13=0,,G13*G53/10^6)</f>
        <v>21.655615000000001</v>
      </c>
      <c r="H93" s="74">
        <f t="shared" si="23"/>
        <v>18.634046272934164</v>
      </c>
      <c r="I93" s="74">
        <f t="shared" si="23"/>
        <v>8.9574757392525584</v>
      </c>
      <c r="J93" s="74">
        <f t="shared" si="23"/>
        <v>0</v>
      </c>
      <c r="K93" s="74">
        <f t="shared" si="23"/>
        <v>0</v>
      </c>
      <c r="L93" s="74">
        <f t="shared" si="23"/>
        <v>0</v>
      </c>
      <c r="M93" s="74">
        <f t="shared" si="23"/>
        <v>0</v>
      </c>
      <c r="N93" s="74">
        <f t="shared" si="23"/>
        <v>0</v>
      </c>
      <c r="O93" s="74">
        <f t="shared" si="23"/>
        <v>0</v>
      </c>
      <c r="P93" s="74">
        <f t="shared" si="23"/>
        <v>0</v>
      </c>
    </row>
    <row r="94" spans="2:16">
      <c r="B94" s="154" t="str">
        <f t="shared" si="17"/>
        <v>12G</v>
      </c>
      <c r="C94" s="151" t="str">
        <f t="shared" si="17"/>
        <v>48G</v>
      </c>
      <c r="D94" s="151" t="str">
        <f t="shared" si="17"/>
        <v>AOC</v>
      </c>
      <c r="E94" s="151">
        <f t="shared" si="17"/>
        <v>4</v>
      </c>
      <c r="F94" s="187" t="str">
        <f t="shared" si="17"/>
        <v>Mini-SAS HD</v>
      </c>
      <c r="G94" s="74">
        <f t="shared" ref="G94:P94" si="24">IF(G14=0,,G14*G54/10^6)</f>
        <v>4.3520000000000003</v>
      </c>
      <c r="H94" s="74">
        <f t="shared" si="24"/>
        <v>4.8556060606060605</v>
      </c>
      <c r="I94" s="74">
        <f t="shared" si="24"/>
        <v>5.5872727272727278</v>
      </c>
      <c r="J94" s="74">
        <f t="shared" si="24"/>
        <v>0</v>
      </c>
      <c r="K94" s="74">
        <f t="shared" si="24"/>
        <v>0</v>
      </c>
      <c r="L94" s="74">
        <f t="shared" si="24"/>
        <v>0</v>
      </c>
      <c r="M94" s="74">
        <f t="shared" si="24"/>
        <v>0</v>
      </c>
      <c r="N94" s="74">
        <f t="shared" si="24"/>
        <v>0</v>
      </c>
      <c r="O94" s="74">
        <f t="shared" si="24"/>
        <v>0</v>
      </c>
      <c r="P94" s="74">
        <f t="shared" si="24"/>
        <v>0</v>
      </c>
    </row>
    <row r="95" spans="2:16">
      <c r="B95" s="154" t="str">
        <f t="shared" si="17"/>
        <v>25-28G</v>
      </c>
      <c r="C95" s="151" t="str">
        <f t="shared" si="17"/>
        <v>25G</v>
      </c>
      <c r="D95" s="151" t="str">
        <f t="shared" si="17"/>
        <v>AOC</v>
      </c>
      <c r="E95" s="151">
        <f t="shared" si="17"/>
        <v>1</v>
      </c>
      <c r="F95" s="187" t="str">
        <f t="shared" si="17"/>
        <v>SFP28</v>
      </c>
      <c r="G95" s="74">
        <f t="shared" ref="G95:P95" si="25">IF(G15=0,,G15*G55/10^6)</f>
        <v>1.1000000000000001</v>
      </c>
      <c r="H95" s="74">
        <f t="shared" si="25"/>
        <v>13.144417999999996</v>
      </c>
      <c r="I95" s="74">
        <f t="shared" si="25"/>
        <v>52.011518000000002</v>
      </c>
      <c r="J95" s="74">
        <f t="shared" si="25"/>
        <v>0</v>
      </c>
      <c r="K95" s="74">
        <f t="shared" si="25"/>
        <v>0</v>
      </c>
      <c r="L95" s="74">
        <f t="shared" si="25"/>
        <v>0</v>
      </c>
      <c r="M95" s="74">
        <f t="shared" si="25"/>
        <v>0</v>
      </c>
      <c r="N95" s="74">
        <f t="shared" si="25"/>
        <v>0</v>
      </c>
      <c r="O95" s="74">
        <f t="shared" si="25"/>
        <v>0</v>
      </c>
      <c r="P95" s="74">
        <f t="shared" si="25"/>
        <v>0</v>
      </c>
    </row>
    <row r="96" spans="2:16">
      <c r="B96" s="106" t="str">
        <f t="shared" si="17"/>
        <v>25-28G, 50G, 100G</v>
      </c>
      <c r="C96" s="89" t="str">
        <f t="shared" si="17"/>
        <v>100G</v>
      </c>
      <c r="D96" s="89" t="str">
        <f t="shared" si="17"/>
        <v>AOC</v>
      </c>
      <c r="E96" s="89" t="str">
        <f t="shared" si="17"/>
        <v>1, 2, or 4</v>
      </c>
      <c r="F96" s="108" t="str">
        <f t="shared" si="17"/>
        <v>QSFP28, SFP-DD, SFP112</v>
      </c>
      <c r="G96" s="40">
        <f t="shared" ref="G96:P96" si="26">IF(G16=0,,G16*G56/10^6)</f>
        <v>67.2</v>
      </c>
      <c r="H96" s="40">
        <f t="shared" si="26"/>
        <v>53.504848000000003</v>
      </c>
      <c r="I96" s="40">
        <f t="shared" si="26"/>
        <v>44.266548524645216</v>
      </c>
      <c r="J96" s="40">
        <f t="shared" si="26"/>
        <v>0</v>
      </c>
      <c r="K96" s="40">
        <f t="shared" si="26"/>
        <v>0</v>
      </c>
      <c r="L96" s="40">
        <f t="shared" si="26"/>
        <v>0</v>
      </c>
      <c r="M96" s="40">
        <f t="shared" si="26"/>
        <v>0</v>
      </c>
      <c r="N96" s="40">
        <f t="shared" si="26"/>
        <v>0</v>
      </c>
      <c r="O96" s="40">
        <f t="shared" si="26"/>
        <v>0</v>
      </c>
      <c r="P96" s="40">
        <f t="shared" si="26"/>
        <v>0</v>
      </c>
    </row>
    <row r="97" spans="1:16">
      <c r="B97" s="106" t="str">
        <f t="shared" ref="B97:F106" si="27">B17</f>
        <v>25-28G</v>
      </c>
      <c r="C97" s="89" t="str">
        <f t="shared" si="27"/>
        <v>100G</v>
      </c>
      <c r="D97" s="89" t="str">
        <f t="shared" si="27"/>
        <v>AOC</v>
      </c>
      <c r="E97" s="89" t="str">
        <f t="shared" si="27"/>
        <v>4:1</v>
      </c>
      <c r="F97" s="108" t="str">
        <f t="shared" si="27"/>
        <v>QSFP28/SFP28</v>
      </c>
      <c r="G97" s="40"/>
      <c r="H97" s="40">
        <f t="shared" ref="H97:P97" si="28">IF(H17=0,,H17*H57/10^6)</f>
        <v>1.2250000000000001</v>
      </c>
      <c r="I97" s="40">
        <f t="shared" si="28"/>
        <v>0.78329000000000004</v>
      </c>
      <c r="J97" s="40">
        <f t="shared" si="28"/>
        <v>0</v>
      </c>
      <c r="K97" s="40">
        <f t="shared" si="28"/>
        <v>0</v>
      </c>
      <c r="L97" s="40">
        <f t="shared" si="28"/>
        <v>0</v>
      </c>
      <c r="M97" s="40">
        <f t="shared" si="28"/>
        <v>0</v>
      </c>
      <c r="N97" s="40">
        <f t="shared" si="28"/>
        <v>0</v>
      </c>
      <c r="O97" s="40">
        <f t="shared" si="28"/>
        <v>0</v>
      </c>
      <c r="P97" s="40">
        <f t="shared" si="28"/>
        <v>0</v>
      </c>
    </row>
    <row r="98" spans="1:16">
      <c r="B98" s="106" t="str">
        <f t="shared" si="27"/>
        <v>24G</v>
      </c>
      <c r="C98" s="89" t="str">
        <f t="shared" si="27"/>
        <v>96G</v>
      </c>
      <c r="D98" s="89" t="str">
        <f t="shared" si="27"/>
        <v>AOC</v>
      </c>
      <c r="E98" s="89">
        <f t="shared" si="27"/>
        <v>4</v>
      </c>
      <c r="F98" s="108" t="str">
        <f t="shared" si="27"/>
        <v>Mini-SAS HD</v>
      </c>
      <c r="G98" s="40"/>
      <c r="H98" s="40">
        <f t="shared" ref="H98:P98" si="29">IF(H18=0,,H18*H58/10^6)</f>
        <v>0</v>
      </c>
      <c r="I98" s="40">
        <f t="shared" si="29"/>
        <v>0</v>
      </c>
      <c r="J98" s="40">
        <f t="shared" si="29"/>
        <v>0</v>
      </c>
      <c r="K98" s="40">
        <f t="shared" si="29"/>
        <v>0</v>
      </c>
      <c r="L98" s="40">
        <f t="shared" si="29"/>
        <v>0</v>
      </c>
      <c r="M98" s="40">
        <f t="shared" si="29"/>
        <v>0</v>
      </c>
      <c r="N98" s="40">
        <f t="shared" si="29"/>
        <v>0</v>
      </c>
      <c r="O98" s="40">
        <f t="shared" si="29"/>
        <v>0</v>
      </c>
      <c r="P98" s="40">
        <f t="shared" si="29"/>
        <v>0</v>
      </c>
    </row>
    <row r="99" spans="1:16">
      <c r="B99" s="106" t="str">
        <f t="shared" si="27"/>
        <v>25-28G</v>
      </c>
      <c r="C99" s="89" t="str">
        <f t="shared" si="27"/>
        <v>300G</v>
      </c>
      <c r="D99" s="89" t="str">
        <f t="shared" si="27"/>
        <v>AOC</v>
      </c>
      <c r="E99" s="89">
        <f t="shared" si="27"/>
        <v>12</v>
      </c>
      <c r="F99" s="108" t="str">
        <f t="shared" si="27"/>
        <v>CXP28</v>
      </c>
      <c r="G99" s="237">
        <f>IF(G19=0,,G19*G59/10^6)</f>
        <v>0</v>
      </c>
      <c r="H99" s="40">
        <f t="shared" ref="H99:P99" si="30">IF(H19=0,,H19*H59/10^6)</f>
        <v>0</v>
      </c>
      <c r="I99" s="40">
        <f t="shared" si="30"/>
        <v>0</v>
      </c>
      <c r="J99" s="40">
        <f t="shared" si="30"/>
        <v>0</v>
      </c>
      <c r="K99" s="40">
        <f t="shared" si="30"/>
        <v>0</v>
      </c>
      <c r="L99" s="40">
        <f t="shared" si="30"/>
        <v>0</v>
      </c>
      <c r="M99" s="40">
        <f t="shared" si="30"/>
        <v>0</v>
      </c>
      <c r="N99" s="40">
        <f t="shared" si="30"/>
        <v>0</v>
      </c>
      <c r="O99" s="40">
        <f t="shared" si="30"/>
        <v>0</v>
      </c>
      <c r="P99" s="40">
        <f t="shared" si="30"/>
        <v>0</v>
      </c>
    </row>
    <row r="100" spans="1:16">
      <c r="B100" s="150" t="str">
        <f t="shared" si="27"/>
        <v>25-28G</v>
      </c>
      <c r="C100" s="148" t="str">
        <f t="shared" si="27"/>
        <v>100G-600G</v>
      </c>
      <c r="D100" s="148" t="str">
        <f t="shared" si="27"/>
        <v>EOM</v>
      </c>
      <c r="E100" s="89" t="str">
        <f t="shared" si="27"/>
        <v>4,8,12,16,24</v>
      </c>
      <c r="F100" s="196" t="str">
        <f t="shared" si="27"/>
        <v>XCVR</v>
      </c>
      <c r="G100" s="40">
        <f>IF(G20=0,,G20*G60/10^6)</f>
        <v>24.28899961778767</v>
      </c>
      <c r="H100" s="40">
        <f t="shared" ref="H100:P100" si="31">IF(H20=0,,H20*H60/10^6)</f>
        <v>49.480128999999998</v>
      </c>
      <c r="I100" s="40">
        <f t="shared" si="31"/>
        <v>62.683790000000002</v>
      </c>
      <c r="J100" s="40">
        <f t="shared" si="31"/>
        <v>0</v>
      </c>
      <c r="K100" s="40">
        <f t="shared" si="31"/>
        <v>0</v>
      </c>
      <c r="L100" s="40">
        <f t="shared" si="31"/>
        <v>0</v>
      </c>
      <c r="M100" s="40">
        <f t="shared" si="31"/>
        <v>0</v>
      </c>
      <c r="N100" s="40">
        <f t="shared" si="31"/>
        <v>0</v>
      </c>
      <c r="O100" s="40">
        <f t="shared" si="31"/>
        <v>0</v>
      </c>
      <c r="P100" s="40">
        <f t="shared" si="31"/>
        <v>0</v>
      </c>
    </row>
    <row r="101" spans="1:16" ht="15" customHeight="1">
      <c r="B101" s="106" t="str">
        <f t="shared" si="27"/>
        <v>25-28G</v>
      </c>
      <c r="C101" s="89" t="str">
        <f t="shared" si="27"/>
        <v>300G</v>
      </c>
      <c r="D101" s="89" t="str">
        <f t="shared" si="27"/>
        <v>XCVR</v>
      </c>
      <c r="E101" s="89">
        <f t="shared" si="27"/>
        <v>12</v>
      </c>
      <c r="F101" s="108" t="str">
        <f t="shared" si="27"/>
        <v>CXP28</v>
      </c>
      <c r="G101" s="40"/>
      <c r="H101" s="237">
        <f t="shared" ref="H101:P101" si="32">IF(H21=0,,H21*H61/10^6)</f>
        <v>0</v>
      </c>
      <c r="I101" s="40">
        <f t="shared" si="32"/>
        <v>0.54</v>
      </c>
      <c r="J101" s="40">
        <f t="shared" si="32"/>
        <v>0</v>
      </c>
      <c r="K101" s="40">
        <f t="shared" si="32"/>
        <v>0</v>
      </c>
      <c r="L101" s="40">
        <f t="shared" si="32"/>
        <v>0</v>
      </c>
      <c r="M101" s="40">
        <f t="shared" si="32"/>
        <v>0</v>
      </c>
      <c r="N101" s="40">
        <f t="shared" si="32"/>
        <v>0</v>
      </c>
      <c r="O101" s="40">
        <f t="shared" si="32"/>
        <v>0</v>
      </c>
      <c r="P101" s="40">
        <f t="shared" si="32"/>
        <v>0</v>
      </c>
    </row>
    <row r="102" spans="1:16">
      <c r="A102" s="26"/>
      <c r="B102" s="154" t="str">
        <f t="shared" si="27"/>
        <v>50-56G</v>
      </c>
      <c r="C102" s="151" t="str">
        <f t="shared" si="27"/>
        <v>50G</v>
      </c>
      <c r="D102" s="151" t="str">
        <f t="shared" si="27"/>
        <v>AOC</v>
      </c>
      <c r="E102" s="151">
        <f t="shared" si="27"/>
        <v>1</v>
      </c>
      <c r="F102" s="187" t="str">
        <f t="shared" si="27"/>
        <v>SFP56</v>
      </c>
      <c r="G102" s="74"/>
      <c r="H102" s="74">
        <f t="shared" ref="H102:P102" si="33">IF(H22=0,,H22*H62/10^6)</f>
        <v>0</v>
      </c>
      <c r="I102" s="74">
        <f t="shared" si="33"/>
        <v>0</v>
      </c>
      <c r="J102" s="74">
        <f t="shared" si="33"/>
        <v>0</v>
      </c>
      <c r="K102" s="74">
        <f t="shared" si="33"/>
        <v>0</v>
      </c>
      <c r="L102" s="74">
        <f t="shared" si="33"/>
        <v>0</v>
      </c>
      <c r="M102" s="74">
        <f t="shared" si="33"/>
        <v>0</v>
      </c>
      <c r="N102" s="74">
        <f t="shared" si="33"/>
        <v>0</v>
      </c>
      <c r="O102" s="74">
        <f t="shared" si="33"/>
        <v>0</v>
      </c>
      <c r="P102" s="74">
        <f t="shared" si="33"/>
        <v>0</v>
      </c>
    </row>
    <row r="103" spans="1:16">
      <c r="A103" s="26"/>
      <c r="B103" s="154" t="str">
        <f t="shared" si="27"/>
        <v>50-56G</v>
      </c>
      <c r="C103" s="151" t="str">
        <f t="shared" si="27"/>
        <v>200G</v>
      </c>
      <c r="D103" s="151" t="str">
        <f t="shared" si="27"/>
        <v>AOC</v>
      </c>
      <c r="E103" s="151">
        <f t="shared" si="27"/>
        <v>4</v>
      </c>
      <c r="F103" s="187" t="str">
        <f t="shared" si="27"/>
        <v>QSFP56</v>
      </c>
      <c r="G103" s="74"/>
      <c r="H103" s="326">
        <f t="shared" ref="H103:P103" si="34">IF(H23=0,,H23*H63/10^6)</f>
        <v>0</v>
      </c>
      <c r="I103" s="74">
        <f t="shared" si="34"/>
        <v>0</v>
      </c>
      <c r="J103" s="74">
        <f t="shared" si="34"/>
        <v>0</v>
      </c>
      <c r="K103" s="74">
        <f t="shared" si="34"/>
        <v>0</v>
      </c>
      <c r="L103" s="74">
        <f t="shared" si="34"/>
        <v>0</v>
      </c>
      <c r="M103" s="74">
        <f t="shared" si="34"/>
        <v>0</v>
      </c>
      <c r="N103" s="74">
        <f t="shared" si="34"/>
        <v>0</v>
      </c>
      <c r="O103" s="74">
        <f t="shared" si="34"/>
        <v>0</v>
      </c>
      <c r="P103" s="74">
        <f t="shared" si="34"/>
        <v>0</v>
      </c>
    </row>
    <row r="104" spans="1:16">
      <c r="A104" s="26"/>
      <c r="B104" s="154" t="str">
        <f t="shared" si="27"/>
        <v>50-56G</v>
      </c>
      <c r="C104" s="151" t="str">
        <f t="shared" si="27"/>
        <v>200G - 1.3T</v>
      </c>
      <c r="D104" s="151" t="str">
        <f t="shared" si="27"/>
        <v>EOM</v>
      </c>
      <c r="E104" s="151" t="str">
        <f t="shared" si="27"/>
        <v>8,12,16,24</v>
      </c>
      <c r="F104" s="187" t="str">
        <f t="shared" si="27"/>
        <v>TBD</v>
      </c>
      <c r="G104" s="74"/>
      <c r="H104" s="74"/>
      <c r="I104" s="74"/>
      <c r="J104" s="74">
        <f t="shared" ref="J104:P104" si="35">IF(J24=0,,J24*J64/10^6)</f>
        <v>0</v>
      </c>
      <c r="K104" s="74">
        <f t="shared" si="35"/>
        <v>0</v>
      </c>
      <c r="L104" s="74">
        <f t="shared" si="35"/>
        <v>0</v>
      </c>
      <c r="M104" s="74">
        <f t="shared" si="35"/>
        <v>0</v>
      </c>
      <c r="N104" s="74">
        <f t="shared" si="35"/>
        <v>0</v>
      </c>
      <c r="O104" s="74">
        <f t="shared" si="35"/>
        <v>0</v>
      </c>
      <c r="P104" s="74">
        <f t="shared" si="35"/>
        <v>0</v>
      </c>
    </row>
    <row r="105" spans="1:16">
      <c r="B105" s="106" t="str">
        <f t="shared" si="27"/>
        <v>50-56G, 100G</v>
      </c>
      <c r="C105" s="89" t="str">
        <f t="shared" si="27"/>
        <v>400G, 2x200G</v>
      </c>
      <c r="D105" s="89" t="str">
        <f t="shared" si="27"/>
        <v>AOC</v>
      </c>
      <c r="E105" s="89" t="str">
        <f t="shared" si="27"/>
        <v>4 or 8</v>
      </c>
      <c r="F105" s="108" t="str">
        <f t="shared" si="27"/>
        <v>QSFP-DD, OSFP, QSFP112</v>
      </c>
      <c r="G105" s="40"/>
      <c r="H105" s="40"/>
      <c r="I105" s="40"/>
      <c r="J105" s="40">
        <f t="shared" ref="J105:P105" si="36">IF(J25=0,,J25*J65/10^6)</f>
        <v>0</v>
      </c>
      <c r="K105" s="40">
        <f t="shared" si="36"/>
        <v>0</v>
      </c>
      <c r="L105" s="40">
        <f t="shared" si="36"/>
        <v>0</v>
      </c>
      <c r="M105" s="40">
        <f t="shared" si="36"/>
        <v>0</v>
      </c>
      <c r="N105" s="40">
        <f t="shared" si="36"/>
        <v>0</v>
      </c>
      <c r="O105" s="40">
        <f t="shared" si="36"/>
        <v>0</v>
      </c>
      <c r="P105" s="40">
        <f t="shared" si="36"/>
        <v>0</v>
      </c>
    </row>
    <row r="106" spans="1:16">
      <c r="B106" s="106" t="str">
        <f t="shared" si="27"/>
        <v>50-56G, 100G</v>
      </c>
      <c r="C106" s="89" t="str">
        <f t="shared" si="27"/>
        <v>400G, 2x200G</v>
      </c>
      <c r="D106" s="89" t="str">
        <f t="shared" si="27"/>
        <v>AOC</v>
      </c>
      <c r="E106" s="89" t="str">
        <f t="shared" si="27"/>
        <v>4:1 or 8:1</v>
      </c>
      <c r="F106" s="108" t="str">
        <f t="shared" si="27"/>
        <v>QSFP-DD, OSFP, QSFP112</v>
      </c>
      <c r="G106" s="40"/>
      <c r="H106" s="40"/>
      <c r="I106" s="40"/>
      <c r="J106" s="40">
        <f t="shared" ref="J106:P106" si="37">IF(J26=0,,J26*J66/10^6)</f>
        <v>0</v>
      </c>
      <c r="K106" s="40">
        <f t="shared" si="37"/>
        <v>0</v>
      </c>
      <c r="L106" s="40">
        <f t="shared" si="37"/>
        <v>0</v>
      </c>
      <c r="M106" s="40">
        <f t="shared" si="37"/>
        <v>0</v>
      </c>
      <c r="N106" s="40">
        <f t="shared" si="37"/>
        <v>0</v>
      </c>
      <c r="O106" s="40">
        <f t="shared" si="37"/>
        <v>0</v>
      </c>
      <c r="P106" s="40">
        <f t="shared" si="37"/>
        <v>0</v>
      </c>
    </row>
    <row r="107" spans="1:16">
      <c r="B107" s="106" t="str">
        <f t="shared" ref="B107:F107" si="38">B27</f>
        <v>100G</v>
      </c>
      <c r="C107" s="89" t="str">
        <f t="shared" si="38"/>
        <v>800G</v>
      </c>
      <c r="D107" s="89" t="str">
        <f t="shared" si="38"/>
        <v>AOC</v>
      </c>
      <c r="E107" s="89">
        <f t="shared" si="38"/>
        <v>8</v>
      </c>
      <c r="F107" s="108" t="str">
        <f t="shared" si="38"/>
        <v xml:space="preserve">QSFP-DD800, OSFP </v>
      </c>
      <c r="G107" s="40"/>
      <c r="H107" s="40"/>
      <c r="I107" s="40"/>
      <c r="J107" s="40">
        <f t="shared" ref="J107:P107" si="39">IF(J27=0,,J27*J67/10^6)</f>
        <v>0</v>
      </c>
      <c r="K107" s="40">
        <f t="shared" si="39"/>
        <v>0</v>
      </c>
      <c r="L107" s="40">
        <f t="shared" si="39"/>
        <v>0</v>
      </c>
      <c r="M107" s="40">
        <f t="shared" si="39"/>
        <v>0</v>
      </c>
      <c r="N107" s="40">
        <f t="shared" si="39"/>
        <v>0</v>
      </c>
      <c r="O107" s="40">
        <f t="shared" si="39"/>
        <v>0</v>
      </c>
      <c r="P107" s="40">
        <f t="shared" si="39"/>
        <v>0</v>
      </c>
    </row>
    <row r="108" spans="1:16">
      <c r="A108" s="26"/>
      <c r="B108" s="154" t="str">
        <f t="shared" ref="B108:B117" si="40">B28</f>
        <v>400 Gbps</v>
      </c>
      <c r="C108" s="151"/>
      <c r="D108" s="151" t="str">
        <f t="shared" ref="D108:F116" si="41">D28</f>
        <v>CPO</v>
      </c>
      <c r="E108" s="151" t="str">
        <f t="shared" si="41"/>
        <v>30m</v>
      </c>
      <c r="F108" s="187" t="str">
        <f t="shared" si="41"/>
        <v>TBD</v>
      </c>
      <c r="G108" s="74"/>
      <c r="H108" s="74"/>
      <c r="I108" s="74">
        <f t="shared" ref="I108:I116" si="42">IF(I28=0,,I28*I68/10^6)</f>
        <v>0</v>
      </c>
      <c r="J108" s="74">
        <f t="shared" ref="J108:P108" si="43">IF(J28=0,,J28*J68/10^6)</f>
        <v>0</v>
      </c>
      <c r="K108" s="74">
        <f t="shared" si="43"/>
        <v>0</v>
      </c>
      <c r="L108" s="74">
        <f t="shared" si="43"/>
        <v>0</v>
      </c>
      <c r="M108" s="74">
        <f t="shared" si="43"/>
        <v>0</v>
      </c>
      <c r="N108" s="74">
        <f t="shared" si="43"/>
        <v>0</v>
      </c>
      <c r="O108" s="74">
        <f t="shared" si="43"/>
        <v>0</v>
      </c>
      <c r="P108" s="74">
        <f t="shared" si="43"/>
        <v>0</v>
      </c>
    </row>
    <row r="109" spans="1:16">
      <c r="A109" s="26"/>
      <c r="B109" s="154" t="str">
        <f t="shared" si="40"/>
        <v>400 Gbps</v>
      </c>
      <c r="C109" s="151"/>
      <c r="D109" s="151" t="str">
        <f t="shared" si="41"/>
        <v>CPO</v>
      </c>
      <c r="E109" s="151" t="str">
        <f t="shared" si="41"/>
        <v>100 m</v>
      </c>
      <c r="F109" s="187" t="str">
        <f t="shared" si="41"/>
        <v>TBD</v>
      </c>
      <c r="G109" s="74"/>
      <c r="H109" s="74"/>
      <c r="I109" s="74">
        <f t="shared" si="42"/>
        <v>0</v>
      </c>
      <c r="J109" s="74">
        <f t="shared" ref="J109:P109" si="44">IF(J29=0,,J29*J69/10^6)</f>
        <v>0</v>
      </c>
      <c r="K109" s="74">
        <f t="shared" si="44"/>
        <v>0</v>
      </c>
      <c r="L109" s="74">
        <f t="shared" si="44"/>
        <v>0</v>
      </c>
      <c r="M109" s="74">
        <f t="shared" si="44"/>
        <v>0</v>
      </c>
      <c r="N109" s="74">
        <f t="shared" si="44"/>
        <v>0</v>
      </c>
      <c r="O109" s="74">
        <f t="shared" si="44"/>
        <v>0</v>
      </c>
      <c r="P109" s="74">
        <f t="shared" si="44"/>
        <v>0</v>
      </c>
    </row>
    <row r="110" spans="1:16">
      <c r="A110" s="26"/>
      <c r="B110" s="154" t="str">
        <f t="shared" si="40"/>
        <v>400 Gbps</v>
      </c>
      <c r="C110" s="151"/>
      <c r="D110" s="151" t="str">
        <f t="shared" si="41"/>
        <v>CPO</v>
      </c>
      <c r="E110" s="151" t="str">
        <f t="shared" si="41"/>
        <v>500 m</v>
      </c>
      <c r="F110" s="187" t="str">
        <f t="shared" si="41"/>
        <v>TBD</v>
      </c>
      <c r="G110" s="74"/>
      <c r="H110" s="74"/>
      <c r="I110" s="74">
        <f t="shared" si="42"/>
        <v>0</v>
      </c>
      <c r="J110" s="74">
        <f t="shared" ref="J110:P110" si="45">IF(J30=0,,J30*J70/10^6)</f>
        <v>0</v>
      </c>
      <c r="K110" s="74">
        <f t="shared" si="45"/>
        <v>0</v>
      </c>
      <c r="L110" s="74">
        <f t="shared" si="45"/>
        <v>0</v>
      </c>
      <c r="M110" s="74">
        <f t="shared" si="45"/>
        <v>0</v>
      </c>
      <c r="N110" s="74">
        <f t="shared" si="45"/>
        <v>0</v>
      </c>
      <c r="O110" s="74">
        <f t="shared" si="45"/>
        <v>0</v>
      </c>
      <c r="P110" s="74">
        <f t="shared" si="45"/>
        <v>0</v>
      </c>
    </row>
    <row r="111" spans="1:16">
      <c r="A111" s="26"/>
      <c r="B111" s="154" t="str">
        <f t="shared" si="40"/>
        <v>800 Gbps</v>
      </c>
      <c r="C111" s="151"/>
      <c r="D111" s="151" t="str">
        <f t="shared" si="41"/>
        <v>CPO</v>
      </c>
      <c r="E111" s="151" t="str">
        <f t="shared" si="41"/>
        <v>30m</v>
      </c>
      <c r="F111" s="187" t="str">
        <f t="shared" si="41"/>
        <v>TBD</v>
      </c>
      <c r="G111" s="74"/>
      <c r="H111" s="74"/>
      <c r="I111" s="74">
        <f t="shared" si="42"/>
        <v>0</v>
      </c>
      <c r="J111" s="74">
        <f t="shared" ref="J111:P111" si="46">IF(J31=0,,J31*J71/10^6)</f>
        <v>0</v>
      </c>
      <c r="K111" s="74">
        <f t="shared" si="46"/>
        <v>0</v>
      </c>
      <c r="L111" s="74">
        <f t="shared" si="46"/>
        <v>0</v>
      </c>
      <c r="M111" s="74">
        <f t="shared" si="46"/>
        <v>0</v>
      </c>
      <c r="N111" s="74">
        <f t="shared" si="46"/>
        <v>0</v>
      </c>
      <c r="O111" s="74">
        <f t="shared" si="46"/>
        <v>0</v>
      </c>
      <c r="P111" s="74">
        <f t="shared" si="46"/>
        <v>0</v>
      </c>
    </row>
    <row r="112" spans="1:16">
      <c r="A112" s="26"/>
      <c r="B112" s="154" t="str">
        <f t="shared" si="40"/>
        <v>800 Gbps</v>
      </c>
      <c r="C112" s="151"/>
      <c r="D112" s="151" t="str">
        <f t="shared" si="41"/>
        <v>CPO</v>
      </c>
      <c r="E112" s="151" t="str">
        <f t="shared" si="41"/>
        <v>100 m</v>
      </c>
      <c r="F112" s="187" t="str">
        <f t="shared" si="41"/>
        <v>TBD</v>
      </c>
      <c r="G112" s="74"/>
      <c r="H112" s="74"/>
      <c r="I112" s="74">
        <f t="shared" si="42"/>
        <v>0</v>
      </c>
      <c r="J112" s="74">
        <f t="shared" ref="J112:P112" si="47">IF(J32=0,,J32*J72/10^6)</f>
        <v>0</v>
      </c>
      <c r="K112" s="74">
        <f t="shared" si="47"/>
        <v>0</v>
      </c>
      <c r="L112" s="74">
        <f t="shared" si="47"/>
        <v>0</v>
      </c>
      <c r="M112" s="74">
        <f t="shared" si="47"/>
        <v>0</v>
      </c>
      <c r="N112" s="74">
        <f t="shared" si="47"/>
        <v>0</v>
      </c>
      <c r="O112" s="74">
        <f t="shared" si="47"/>
        <v>0</v>
      </c>
      <c r="P112" s="74">
        <f t="shared" si="47"/>
        <v>0</v>
      </c>
    </row>
    <row r="113" spans="1:16">
      <c r="A113" s="26"/>
      <c r="B113" s="154" t="str">
        <f t="shared" si="40"/>
        <v>800 Gbps</v>
      </c>
      <c r="C113" s="151"/>
      <c r="D113" s="151" t="str">
        <f t="shared" si="41"/>
        <v>CPO</v>
      </c>
      <c r="E113" s="151" t="str">
        <f t="shared" si="41"/>
        <v>500 m</v>
      </c>
      <c r="F113" s="187" t="str">
        <f t="shared" si="41"/>
        <v>TBD</v>
      </c>
      <c r="G113" s="74"/>
      <c r="H113" s="74"/>
      <c r="I113" s="74">
        <f t="shared" si="42"/>
        <v>0</v>
      </c>
      <c r="J113" s="74">
        <f t="shared" ref="J113:P113" si="48">IF(J33=0,,J33*J73/10^6)</f>
        <v>0</v>
      </c>
      <c r="K113" s="74">
        <f t="shared" si="48"/>
        <v>0</v>
      </c>
      <c r="L113" s="74">
        <f t="shared" si="48"/>
        <v>0</v>
      </c>
      <c r="M113" s="74">
        <f t="shared" si="48"/>
        <v>0</v>
      </c>
      <c r="N113" s="74">
        <f t="shared" si="48"/>
        <v>0</v>
      </c>
      <c r="O113" s="74">
        <f t="shared" si="48"/>
        <v>0</v>
      </c>
      <c r="P113" s="74">
        <f t="shared" si="48"/>
        <v>0</v>
      </c>
    </row>
    <row r="114" spans="1:16">
      <c r="A114" s="26"/>
      <c r="B114" s="154" t="str">
        <f t="shared" si="40"/>
        <v>1.6 Tbps</v>
      </c>
      <c r="C114" s="151"/>
      <c r="D114" s="151" t="str">
        <f t="shared" si="41"/>
        <v>CPO</v>
      </c>
      <c r="E114" s="151" t="str">
        <f t="shared" si="41"/>
        <v>30m</v>
      </c>
      <c r="F114" s="187" t="str">
        <f t="shared" si="41"/>
        <v>TBD</v>
      </c>
      <c r="G114" s="74"/>
      <c r="H114" s="74"/>
      <c r="I114" s="74">
        <f t="shared" si="42"/>
        <v>0</v>
      </c>
      <c r="J114" s="74">
        <f t="shared" ref="J114:P114" si="49">IF(J34=0,,J34*J74/10^6)</f>
        <v>0</v>
      </c>
      <c r="K114" s="74">
        <f t="shared" si="49"/>
        <v>0</v>
      </c>
      <c r="L114" s="74">
        <f t="shared" si="49"/>
        <v>0</v>
      </c>
      <c r="M114" s="74">
        <f t="shared" si="49"/>
        <v>0</v>
      </c>
      <c r="N114" s="74">
        <f t="shared" si="49"/>
        <v>0</v>
      </c>
      <c r="O114" s="74">
        <f t="shared" si="49"/>
        <v>0</v>
      </c>
      <c r="P114" s="74">
        <f t="shared" si="49"/>
        <v>0</v>
      </c>
    </row>
    <row r="115" spans="1:16">
      <c r="A115" s="26"/>
      <c r="B115" s="154" t="str">
        <f t="shared" si="40"/>
        <v>1.6 Tbps</v>
      </c>
      <c r="C115" s="151"/>
      <c r="D115" s="151" t="str">
        <f t="shared" si="41"/>
        <v>CPO</v>
      </c>
      <c r="E115" s="151" t="str">
        <f t="shared" si="41"/>
        <v>100 m</v>
      </c>
      <c r="F115" s="187" t="str">
        <f t="shared" si="41"/>
        <v>TBD</v>
      </c>
      <c r="G115" s="74"/>
      <c r="H115" s="74"/>
      <c r="I115" s="74">
        <f t="shared" si="42"/>
        <v>0</v>
      </c>
      <c r="J115" s="74">
        <f t="shared" ref="J115:P115" si="50">IF(J35=0,,J35*J75/10^6)</f>
        <v>0</v>
      </c>
      <c r="K115" s="74">
        <f t="shared" si="50"/>
        <v>0</v>
      </c>
      <c r="L115" s="74">
        <f t="shared" si="50"/>
        <v>0</v>
      </c>
      <c r="M115" s="74">
        <f t="shared" si="50"/>
        <v>0</v>
      </c>
      <c r="N115" s="74">
        <f t="shared" si="50"/>
        <v>0</v>
      </c>
      <c r="O115" s="74">
        <f t="shared" si="50"/>
        <v>0</v>
      </c>
      <c r="P115" s="74">
        <f t="shared" si="50"/>
        <v>0</v>
      </c>
    </row>
    <row r="116" spans="1:16">
      <c r="A116" s="26"/>
      <c r="B116" s="173" t="str">
        <f t="shared" si="40"/>
        <v>1.6 Tbps</v>
      </c>
      <c r="C116" s="174"/>
      <c r="D116" s="174" t="str">
        <f t="shared" si="41"/>
        <v>CPO</v>
      </c>
      <c r="E116" s="174" t="str">
        <f t="shared" si="41"/>
        <v>500 m</v>
      </c>
      <c r="F116" s="188" t="str">
        <f t="shared" si="41"/>
        <v>TBD</v>
      </c>
      <c r="G116" s="74"/>
      <c r="H116" s="74"/>
      <c r="I116" s="74">
        <f t="shared" si="42"/>
        <v>0</v>
      </c>
      <c r="J116" s="74">
        <f t="shared" ref="J116:P116" si="51">IF(J36=0,,J36*J76/10^6)</f>
        <v>0</v>
      </c>
      <c r="K116" s="74">
        <f t="shared" si="51"/>
        <v>0</v>
      </c>
      <c r="L116" s="74">
        <f t="shared" si="51"/>
        <v>0</v>
      </c>
      <c r="M116" s="74">
        <f t="shared" si="51"/>
        <v>0</v>
      </c>
      <c r="N116" s="74">
        <f t="shared" si="51"/>
        <v>0</v>
      </c>
      <c r="O116" s="74">
        <f t="shared" si="51"/>
        <v>0</v>
      </c>
      <c r="P116" s="74">
        <f t="shared" si="51"/>
        <v>0</v>
      </c>
    </row>
    <row r="117" spans="1:16">
      <c r="B117" s="161" t="str">
        <f t="shared" si="40"/>
        <v>Total</v>
      </c>
      <c r="C117" s="112" t="s">
        <v>59</v>
      </c>
      <c r="D117" s="112" t="s">
        <v>59</v>
      </c>
      <c r="E117" s="144" t="s">
        <v>59</v>
      </c>
      <c r="F117" s="104" t="s">
        <v>59</v>
      </c>
      <c r="G117" s="124">
        <f t="shared" ref="G117:P117" si="52">SUM(G88:G116)</f>
        <v>254.58226587697413</v>
      </c>
      <c r="H117" s="124">
        <f t="shared" si="52"/>
        <v>261.78257833354019</v>
      </c>
      <c r="I117" s="124">
        <f t="shared" si="52"/>
        <v>294.45540952831408</v>
      </c>
      <c r="J117" s="124">
        <f t="shared" si="52"/>
        <v>0</v>
      </c>
      <c r="K117" s="124">
        <f t="shared" si="52"/>
        <v>0</v>
      </c>
      <c r="L117" s="124">
        <f t="shared" si="52"/>
        <v>0</v>
      </c>
      <c r="M117" s="124">
        <f t="shared" si="52"/>
        <v>0</v>
      </c>
      <c r="N117" s="124">
        <f t="shared" si="52"/>
        <v>0</v>
      </c>
      <c r="O117" s="124">
        <f t="shared" si="52"/>
        <v>0</v>
      </c>
      <c r="P117" s="124">
        <f t="shared" si="52"/>
        <v>0</v>
      </c>
    </row>
    <row r="118" spans="1:16">
      <c r="B118" s="89"/>
      <c r="C118" s="89"/>
      <c r="D118" s="89"/>
      <c r="E118" s="89"/>
    </row>
    <row r="119" spans="1:16">
      <c r="B119" s="97" t="str">
        <f>B7</f>
        <v>Lane Speed</v>
      </c>
      <c r="C119" s="98" t="str">
        <f>C7</f>
        <v>Agg. Speed</v>
      </c>
      <c r="D119" s="112" t="str">
        <f>D7</f>
        <v>Type</v>
      </c>
      <c r="E119" s="112" t="str">
        <f>E7</f>
        <v>Lanes</v>
      </c>
      <c r="F119" s="113" t="str">
        <f>F7</f>
        <v>Form Factor</v>
      </c>
      <c r="G119" s="91">
        <v>2016</v>
      </c>
      <c r="H119" s="91">
        <v>2017</v>
      </c>
      <c r="I119" s="91">
        <v>2018</v>
      </c>
      <c r="J119" s="91">
        <v>2019</v>
      </c>
      <c r="K119" s="91">
        <v>2020</v>
      </c>
      <c r="L119" s="91">
        <v>2021</v>
      </c>
      <c r="M119" s="91">
        <v>2022</v>
      </c>
      <c r="N119" s="91">
        <v>2023</v>
      </c>
      <c r="O119" s="91">
        <v>2024</v>
      </c>
      <c r="P119" s="91">
        <v>2025</v>
      </c>
    </row>
    <row r="120" spans="1:16" ht="18.75" customHeight="1">
      <c r="B120" s="105" t="str">
        <f>B40</f>
        <v>All</v>
      </c>
      <c r="C120" s="93" t="s">
        <v>59</v>
      </c>
      <c r="D120" s="93" t="str">
        <f t="shared" ref="D120:F123" si="53">D40</f>
        <v>AOC</v>
      </c>
      <c r="E120" s="93" t="str">
        <f t="shared" si="53"/>
        <v>Single</v>
      </c>
      <c r="F120" s="107" t="str">
        <f t="shared" si="53"/>
        <v>All</v>
      </c>
      <c r="G120" s="114">
        <f t="shared" ref="G120:P120" si="54">G88+G95+G102+G106</f>
        <v>41.314569322808062</v>
      </c>
      <c r="H120" s="114">
        <f t="shared" si="54"/>
        <v>73.672164000000009</v>
      </c>
      <c r="I120" s="114">
        <f t="shared" si="54"/>
        <v>118.91830969999998</v>
      </c>
      <c r="J120" s="114">
        <f t="shared" si="54"/>
        <v>0</v>
      </c>
      <c r="K120" s="114">
        <f t="shared" si="54"/>
        <v>0</v>
      </c>
      <c r="L120" s="114">
        <f t="shared" si="54"/>
        <v>0</v>
      </c>
      <c r="M120" s="114">
        <f t="shared" si="54"/>
        <v>0</v>
      </c>
      <c r="N120" s="114">
        <f t="shared" si="54"/>
        <v>0</v>
      </c>
      <c r="O120" s="114">
        <f t="shared" si="54"/>
        <v>0</v>
      </c>
      <c r="P120" s="114">
        <f t="shared" si="54"/>
        <v>0</v>
      </c>
    </row>
    <row r="121" spans="1:16">
      <c r="B121" s="106" t="str">
        <f>B41</f>
        <v>All</v>
      </c>
      <c r="C121" s="89" t="s">
        <v>59</v>
      </c>
      <c r="D121" s="89" t="str">
        <f t="shared" si="53"/>
        <v>AOC/XCVR</v>
      </c>
      <c r="E121" s="89" t="str">
        <f t="shared" si="53"/>
        <v>Multi-</v>
      </c>
      <c r="F121" s="108" t="str">
        <f t="shared" si="53"/>
        <v>All</v>
      </c>
      <c r="G121" s="118">
        <f t="shared" ref="G121:P121" si="55">G89+G91+G92+G93+G94+G96+G98+G99+G101+G103+G97+G90+G105+G107</f>
        <v>188.97869693637836</v>
      </c>
      <c r="H121" s="118">
        <f t="shared" si="55"/>
        <v>138.63028533354023</v>
      </c>
      <c r="I121" s="118">
        <f t="shared" si="55"/>
        <v>112.85330982831408</v>
      </c>
      <c r="J121" s="118">
        <f t="shared" si="55"/>
        <v>0</v>
      </c>
      <c r="K121" s="118">
        <f t="shared" si="55"/>
        <v>0</v>
      </c>
      <c r="L121" s="118">
        <f t="shared" si="55"/>
        <v>0</v>
      </c>
      <c r="M121" s="118">
        <f t="shared" si="55"/>
        <v>0</v>
      </c>
      <c r="N121" s="118">
        <f t="shared" si="55"/>
        <v>0</v>
      </c>
      <c r="O121" s="118">
        <f t="shared" si="55"/>
        <v>0</v>
      </c>
      <c r="P121" s="118">
        <f t="shared" si="55"/>
        <v>0</v>
      </c>
    </row>
    <row r="122" spans="1:16">
      <c r="B122" s="106" t="str">
        <f>B42</f>
        <v>All</v>
      </c>
      <c r="C122" s="89" t="s">
        <v>59</v>
      </c>
      <c r="D122" s="89" t="str">
        <f t="shared" si="53"/>
        <v>EOM</v>
      </c>
      <c r="E122" s="89" t="str">
        <f t="shared" si="53"/>
        <v>All</v>
      </c>
      <c r="F122" s="108" t="str">
        <f t="shared" si="53"/>
        <v>Non-COBO</v>
      </c>
      <c r="G122" s="153">
        <f>G100+G104</f>
        <v>24.28899961778767</v>
      </c>
      <c r="H122" s="153">
        <f t="shared" ref="H122:P122" si="56">H100+H104</f>
        <v>49.480128999999998</v>
      </c>
      <c r="I122" s="153">
        <f t="shared" si="56"/>
        <v>62.683790000000002</v>
      </c>
      <c r="J122" s="153">
        <f t="shared" si="56"/>
        <v>0</v>
      </c>
      <c r="K122" s="153">
        <f t="shared" si="56"/>
        <v>0</v>
      </c>
      <c r="L122" s="153">
        <f t="shared" si="56"/>
        <v>0</v>
      </c>
      <c r="M122" s="153">
        <f t="shared" si="56"/>
        <v>0</v>
      </c>
      <c r="N122" s="153">
        <f t="shared" si="56"/>
        <v>0</v>
      </c>
      <c r="O122" s="153">
        <f t="shared" si="56"/>
        <v>0</v>
      </c>
      <c r="P122" s="153">
        <f t="shared" si="56"/>
        <v>0</v>
      </c>
    </row>
    <row r="123" spans="1:16">
      <c r="B123" s="106" t="str">
        <f>B43</f>
        <v>All</v>
      </c>
      <c r="C123" s="89" t="s">
        <v>59</v>
      </c>
      <c r="D123" s="89" t="s">
        <v>266</v>
      </c>
      <c r="E123" s="89" t="str">
        <f t="shared" si="53"/>
        <v>All</v>
      </c>
      <c r="F123" s="108" t="str">
        <f t="shared" si="53"/>
        <v>TBD</v>
      </c>
      <c r="G123" s="153">
        <f t="shared" ref="G123:P123" si="57">SUM(G108:G116)</f>
        <v>0</v>
      </c>
      <c r="H123" s="153">
        <f t="shared" si="57"/>
        <v>0</v>
      </c>
      <c r="I123" s="153">
        <f t="shared" si="57"/>
        <v>0</v>
      </c>
      <c r="J123" s="153">
        <f t="shared" si="57"/>
        <v>0</v>
      </c>
      <c r="K123" s="153">
        <f t="shared" si="57"/>
        <v>0</v>
      </c>
      <c r="L123" s="153">
        <f t="shared" si="57"/>
        <v>0</v>
      </c>
      <c r="M123" s="153">
        <f t="shared" si="57"/>
        <v>0</v>
      </c>
      <c r="N123" s="153">
        <f t="shared" si="57"/>
        <v>0</v>
      </c>
      <c r="O123" s="153">
        <f t="shared" si="57"/>
        <v>0</v>
      </c>
      <c r="P123" s="153">
        <f t="shared" si="57"/>
        <v>0</v>
      </c>
    </row>
    <row r="124" spans="1:16">
      <c r="B124" s="99" t="s">
        <v>13</v>
      </c>
      <c r="C124" s="112" t="s">
        <v>59</v>
      </c>
      <c r="D124" s="98" t="s">
        <v>59</v>
      </c>
      <c r="E124" s="87" t="s">
        <v>59</v>
      </c>
      <c r="F124" s="104" t="s">
        <v>59</v>
      </c>
      <c r="G124" s="124">
        <f t="shared" ref="G124:P124" si="58">SUM(G120:G123)</f>
        <v>254.58226587697411</v>
      </c>
      <c r="H124" s="124">
        <f t="shared" si="58"/>
        <v>261.78257833354024</v>
      </c>
      <c r="I124" s="124">
        <f t="shared" si="58"/>
        <v>294.45540952831408</v>
      </c>
      <c r="J124" s="124">
        <f t="shared" si="58"/>
        <v>0</v>
      </c>
      <c r="K124" s="124">
        <f t="shared" si="58"/>
        <v>0</v>
      </c>
      <c r="L124" s="124">
        <f t="shared" si="58"/>
        <v>0</v>
      </c>
      <c r="M124" s="124">
        <f t="shared" si="58"/>
        <v>0</v>
      </c>
      <c r="N124" s="124">
        <f t="shared" si="58"/>
        <v>0</v>
      </c>
      <c r="O124" s="124">
        <f t="shared" si="58"/>
        <v>0</v>
      </c>
      <c r="P124" s="124">
        <f t="shared" si="58"/>
        <v>0</v>
      </c>
    </row>
  </sheetData>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sheetPr>
  <dimension ref="B2:U90"/>
  <sheetViews>
    <sheetView showGridLines="0" zoomScale="80" zoomScaleNormal="80" zoomScalePageLayoutView="80" workbookViewId="0">
      <selection activeCell="P92" sqref="P92"/>
    </sheetView>
  </sheetViews>
  <sheetFormatPr baseColWidth="10" defaultColWidth="8.83203125" defaultRowHeight="14"/>
  <cols>
    <col min="1" max="1" width="4.5" style="11" customWidth="1"/>
    <col min="2" max="2" width="15.6640625" style="11" customWidth="1"/>
    <col min="3" max="3" width="10.83203125" style="11" customWidth="1"/>
    <col min="4" max="5" width="8.83203125" style="11"/>
    <col min="6" max="6" width="20.6640625" style="11" customWidth="1"/>
    <col min="7" max="8" width="12" style="11" bestFit="1" customWidth="1"/>
    <col min="9" max="16" width="12" style="11" customWidth="1"/>
    <col min="17" max="17" width="4.83203125" style="11" customWidth="1"/>
    <col min="18" max="18" width="46.6640625" style="11" customWidth="1"/>
    <col min="19" max="19" width="12.1640625" style="11" customWidth="1"/>
    <col min="20" max="23" width="8.83203125" style="11"/>
    <col min="24" max="31" width="10.5" style="11" customWidth="1"/>
    <col min="32" max="16384" width="8.83203125" style="11"/>
  </cols>
  <sheetData>
    <row r="2" spans="2:21" ht="24">
      <c r="B2" s="5" t="str">
        <f>Introduction!B2</f>
        <v>LightCounting High-Speed Cables Forecast</v>
      </c>
      <c r="C2" s="5"/>
      <c r="Q2" s="15" t="s">
        <v>16</v>
      </c>
      <c r="T2" s="19"/>
      <c r="U2" s="19"/>
    </row>
    <row r="3" spans="2:21" ht="16">
      <c r="B3" s="215" t="str">
        <f>Introduction!B3</f>
        <v>Sample template for illustrative purposes only (December 2020)</v>
      </c>
      <c r="C3" s="215"/>
      <c r="P3" s="17"/>
    </row>
    <row r="4" spans="2:21">
      <c r="P4" s="18"/>
    </row>
    <row r="5" spans="2:21" ht="18">
      <c r="B5" s="5" t="s">
        <v>210</v>
      </c>
      <c r="C5" s="5"/>
      <c r="P5" s="18"/>
    </row>
    <row r="6" spans="2:21" ht="21">
      <c r="B6" s="23" t="s">
        <v>22</v>
      </c>
      <c r="C6" s="23"/>
      <c r="H6" s="22"/>
      <c r="K6" s="13" t="str">
        <f>B6</f>
        <v>Shipments (devices)</v>
      </c>
      <c r="P6" s="18"/>
    </row>
    <row r="7" spans="2:21">
      <c r="B7" s="97" t="str">
        <f>'Combined forecast'!B7</f>
        <v>Lane Speed</v>
      </c>
      <c r="C7" s="98" t="str">
        <f>'Combined forecast'!C7</f>
        <v>Agg. Speed</v>
      </c>
      <c r="D7" s="112" t="str">
        <f>'Combined forecast'!D7</f>
        <v>Type</v>
      </c>
      <c r="E7" s="112" t="str">
        <f>'Combined forecast'!E7</f>
        <v>Lanes</v>
      </c>
      <c r="F7" s="113" t="str">
        <f>'Combined forecast'!F7</f>
        <v>Form Factor</v>
      </c>
      <c r="G7" s="87">
        <v>2016</v>
      </c>
      <c r="H7" s="87">
        <v>2017</v>
      </c>
      <c r="I7" s="87">
        <v>2018</v>
      </c>
      <c r="J7" s="87">
        <v>2019</v>
      </c>
      <c r="K7" s="87">
        <v>2020</v>
      </c>
      <c r="L7" s="87">
        <v>2021</v>
      </c>
      <c r="M7" s="87">
        <v>2022</v>
      </c>
      <c r="N7" s="87">
        <v>2023</v>
      </c>
      <c r="O7" s="87">
        <v>2024</v>
      </c>
      <c r="P7" s="87">
        <v>2025</v>
      </c>
      <c r="R7" s="169" t="s">
        <v>108</v>
      </c>
    </row>
    <row r="8" spans="2:21">
      <c r="B8" s="105" t="str">
        <f>Segmentation!B20</f>
        <v>≤10G</v>
      </c>
      <c r="C8" s="93" t="str">
        <f>Segmentation!C20</f>
        <v>10G</v>
      </c>
      <c r="D8" s="93" t="str">
        <f>Segmentation!D20</f>
        <v>AOC</v>
      </c>
      <c r="E8" s="93">
        <f>Segmentation!E20</f>
        <v>1</v>
      </c>
      <c r="F8" s="107" t="str">
        <f>Segmentation!F20</f>
        <v>SFP+</v>
      </c>
      <c r="G8" s="88">
        <f>'Combined forecast'!G8</f>
        <v>1654178</v>
      </c>
      <c r="H8" s="88">
        <f>'Combined forecast'!H8</f>
        <v>3231705</v>
      </c>
      <c r="I8" s="88">
        <f>'Combined forecast'!I8</f>
        <v>4256351</v>
      </c>
      <c r="J8" s="88"/>
      <c r="K8" s="88"/>
      <c r="L8" s="88"/>
      <c r="M8" s="88"/>
      <c r="N8" s="88"/>
      <c r="O8" s="88"/>
      <c r="P8" s="88"/>
      <c r="R8" s="100" t="str">
        <f>D8&amp;" "&amp;E8&amp;"x"&amp;B8&amp;" "&amp;" "&amp;F8</f>
        <v>AOC 1x≤10G  SFP+</v>
      </c>
    </row>
    <row r="9" spans="2:21">
      <c r="B9" s="106" t="str">
        <f>Segmentation!B21</f>
        <v>≤10G</v>
      </c>
      <c r="C9" s="89" t="str">
        <f>Segmentation!C21</f>
        <v>40G</v>
      </c>
      <c r="D9" s="89" t="str">
        <f>Segmentation!D21</f>
        <v>AOC</v>
      </c>
      <c r="E9" s="89">
        <f>Segmentation!E21</f>
        <v>4</v>
      </c>
      <c r="F9" s="108" t="str">
        <f>Segmentation!F21</f>
        <v>QSFP+</v>
      </c>
      <c r="G9" s="77">
        <f>'Combined forecast'!G9</f>
        <v>338994</v>
      </c>
      <c r="H9" s="77">
        <f>'Combined forecast'!H9</f>
        <v>205928</v>
      </c>
      <c r="I9" s="77">
        <f>'Combined forecast'!I9</f>
        <v>296569</v>
      </c>
      <c r="J9" s="77"/>
      <c r="K9" s="77"/>
      <c r="L9" s="77"/>
      <c r="M9" s="77"/>
      <c r="N9" s="77"/>
      <c r="O9" s="77"/>
      <c r="P9" s="77"/>
      <c r="R9" s="101" t="str">
        <f>D9&amp;" "&amp;E9&amp;"x"&amp;B9&amp;" "&amp;" "&amp;F9</f>
        <v>AOC 4x≤10G  QSFP+</v>
      </c>
    </row>
    <row r="10" spans="2:21">
      <c r="B10" s="106" t="str">
        <f>Segmentation!B22</f>
        <v>≤10G</v>
      </c>
      <c r="C10" s="89" t="str">
        <f>Segmentation!C22</f>
        <v>40G</v>
      </c>
      <c r="D10" s="89" t="str">
        <f>Segmentation!D22</f>
        <v>AOC</v>
      </c>
      <c r="E10" s="89" t="str">
        <f>Segmentation!E22</f>
        <v>4:1</v>
      </c>
      <c r="F10" s="108" t="str">
        <f>Segmentation!F22</f>
        <v>QSFP+/SFP+</v>
      </c>
      <c r="G10" s="77">
        <f>'Combined forecast'!G10</f>
        <v>42400</v>
      </c>
      <c r="H10" s="77">
        <f>'Combined forecast'!H10</f>
        <v>37000</v>
      </c>
      <c r="I10" s="77">
        <f>'Combined forecast'!I10</f>
        <v>46592</v>
      </c>
      <c r="J10" s="77"/>
      <c r="K10" s="77"/>
      <c r="L10" s="77"/>
      <c r="M10" s="77"/>
      <c r="N10" s="77"/>
      <c r="O10" s="77"/>
      <c r="P10" s="77"/>
      <c r="R10" s="101" t="str">
        <f>'Combined forecast'!R10</f>
        <v>AOC breakout: 4x10G from 40G</v>
      </c>
    </row>
    <row r="11" spans="2:21">
      <c r="B11" s="106" t="str">
        <f>Segmentation!B23</f>
        <v>≤12.5G</v>
      </c>
      <c r="C11" s="89" t="str">
        <f>Segmentation!C23</f>
        <v>150G</v>
      </c>
      <c r="D11" s="89" t="str">
        <f>Segmentation!D23</f>
        <v>AOC</v>
      </c>
      <c r="E11" s="89">
        <f>Segmentation!E23</f>
        <v>12</v>
      </c>
      <c r="F11" s="108" t="str">
        <f>Segmentation!F23</f>
        <v>CXP</v>
      </c>
      <c r="G11" s="77">
        <f>'Combined forecast'!G11</f>
        <v>121030.35714285713</v>
      </c>
      <c r="H11" s="77">
        <f>'Combined forecast'!H11</f>
        <v>90232</v>
      </c>
      <c r="I11" s="77">
        <f>'Combined forecast'!I11</f>
        <v>55123</v>
      </c>
      <c r="J11" s="77"/>
      <c r="K11" s="77"/>
      <c r="L11" s="77"/>
      <c r="M11" s="77"/>
      <c r="N11" s="77"/>
      <c r="O11" s="77"/>
      <c r="P11" s="77"/>
      <c r="R11" s="101" t="str">
        <f t="shared" ref="R11:R16" si="0">D11&amp;" "&amp;E11&amp;"x"&amp;B11&amp;" "&amp;" "&amp;F11</f>
        <v>AOC 12x≤12.5G  CXP</v>
      </c>
    </row>
    <row r="12" spans="2:21">
      <c r="B12" s="106" t="str">
        <f>Segmentation!B24</f>
        <v>≤12.5G</v>
      </c>
      <c r="C12" s="89" t="str">
        <f>Segmentation!C24</f>
        <v>150G</v>
      </c>
      <c r="D12" s="89" t="str">
        <f>Segmentation!D24</f>
        <v>XCVR</v>
      </c>
      <c r="E12" s="89">
        <f>Segmentation!E24</f>
        <v>12</v>
      </c>
      <c r="F12" s="108" t="str">
        <f>Segmentation!F24</f>
        <v>CXP</v>
      </c>
      <c r="G12" s="77">
        <f>'Combined forecast'!G12</f>
        <v>25000</v>
      </c>
      <c r="H12" s="77">
        <f>'Combined forecast'!H12</f>
        <v>16425</v>
      </c>
      <c r="I12" s="77">
        <f>'Combined forecast'!I12</f>
        <v>14319</v>
      </c>
      <c r="J12" s="77"/>
      <c r="K12" s="77"/>
      <c r="L12" s="77"/>
      <c r="M12" s="77"/>
      <c r="N12" s="77"/>
      <c r="O12" s="77"/>
      <c r="P12" s="77"/>
      <c r="R12" s="101" t="str">
        <f t="shared" si="0"/>
        <v>XCVR 12x≤12.5G  CXP</v>
      </c>
      <c r="S12" s="18"/>
      <c r="T12" s="149"/>
    </row>
    <row r="13" spans="2:21">
      <c r="B13" s="106" t="str">
        <f>Segmentation!B25</f>
        <v>12-14G</v>
      </c>
      <c r="C13" s="89" t="str">
        <f>Segmentation!C25</f>
        <v>56G</v>
      </c>
      <c r="D13" s="89" t="str">
        <f>Segmentation!D25</f>
        <v>AOC</v>
      </c>
      <c r="E13" s="89">
        <f>Segmentation!E25</f>
        <v>4</v>
      </c>
      <c r="F13" s="108" t="str">
        <f>Segmentation!F25</f>
        <v>QSFP+</v>
      </c>
      <c r="G13" s="77">
        <f>'Combined forecast'!G13</f>
        <v>160184</v>
      </c>
      <c r="H13" s="77">
        <f>'Combined forecast'!H13</f>
        <v>137205</v>
      </c>
      <c r="I13" s="77">
        <f>'Combined forecast'!I13</f>
        <v>79208</v>
      </c>
      <c r="J13" s="77"/>
      <c r="K13" s="77"/>
      <c r="L13" s="77"/>
      <c r="M13" s="77"/>
      <c r="N13" s="77"/>
      <c r="O13" s="77"/>
      <c r="P13" s="77"/>
      <c r="R13" s="101" t="str">
        <f t="shared" si="0"/>
        <v>AOC 4x12-14G  QSFP+</v>
      </c>
      <c r="S13" s="18"/>
      <c r="T13" s="149"/>
    </row>
    <row r="14" spans="2:21">
      <c r="B14" s="154" t="str">
        <f>Segmentation!B26</f>
        <v>12G</v>
      </c>
      <c r="C14" s="151" t="str">
        <f>Segmentation!C26</f>
        <v>48G</v>
      </c>
      <c r="D14" s="151" t="str">
        <f>Segmentation!D26</f>
        <v>AOC</v>
      </c>
      <c r="E14" s="151">
        <f>Segmentation!E26</f>
        <v>4</v>
      </c>
      <c r="F14" s="187" t="str">
        <f>Segmentation!F26</f>
        <v>Mini-SAS HD</v>
      </c>
      <c r="G14" s="46">
        <f>'Combined forecast'!G14</f>
        <v>25600</v>
      </c>
      <c r="H14" s="46">
        <f>'Combined forecast'!H14</f>
        <v>36500</v>
      </c>
      <c r="I14" s="46">
        <f>'Combined forecast'!I14</f>
        <v>48000</v>
      </c>
      <c r="J14" s="46"/>
      <c r="K14" s="46"/>
      <c r="L14" s="46"/>
      <c r="M14" s="46"/>
      <c r="N14" s="46"/>
      <c r="O14" s="46"/>
      <c r="P14" s="46"/>
      <c r="R14" s="101" t="str">
        <f t="shared" si="0"/>
        <v>AOC 4x12G  Mini-SAS HD</v>
      </c>
      <c r="S14" s="18"/>
    </row>
    <row r="15" spans="2:21">
      <c r="B15" s="154" t="str">
        <f>Segmentation!B27</f>
        <v>25-28G</v>
      </c>
      <c r="C15" s="151" t="str">
        <f>Segmentation!C27</f>
        <v>25G</v>
      </c>
      <c r="D15" s="151" t="str">
        <f>Segmentation!D27</f>
        <v>AOC</v>
      </c>
      <c r="E15" s="151">
        <f>Segmentation!E27</f>
        <v>1</v>
      </c>
      <c r="F15" s="187" t="str">
        <f>Segmentation!F27</f>
        <v>SFP28</v>
      </c>
      <c r="G15" s="46">
        <f>'Combined forecast'!G15</f>
        <v>10000</v>
      </c>
      <c r="H15" s="46">
        <f>'Combined forecast'!H15</f>
        <v>170652</v>
      </c>
      <c r="I15" s="46">
        <f>'Combined forecast'!I15</f>
        <v>1025400</v>
      </c>
      <c r="J15" s="46"/>
      <c r="K15" s="46"/>
      <c r="L15" s="46"/>
      <c r="M15" s="46"/>
      <c r="N15" s="46"/>
      <c r="O15" s="46"/>
      <c r="P15" s="46"/>
      <c r="R15" s="101" t="str">
        <f t="shared" si="0"/>
        <v>AOC 1x25-28G  SFP28</v>
      </c>
    </row>
    <row r="16" spans="2:21">
      <c r="B16" s="154" t="str">
        <f>Segmentation!B28</f>
        <v>25-28G, 50G, 100G</v>
      </c>
      <c r="C16" s="151" t="str">
        <f>Segmentation!C28</f>
        <v>100G</v>
      </c>
      <c r="D16" s="151" t="str">
        <f>Segmentation!D28</f>
        <v>AOC</v>
      </c>
      <c r="E16" s="151" t="str">
        <f>Segmentation!E28</f>
        <v>1, 2, or 4</v>
      </c>
      <c r="F16" s="187" t="str">
        <f>Segmentation!F28</f>
        <v>QSFP28, SFP-DD, SFP112</v>
      </c>
      <c r="G16" s="46">
        <f>'Combined forecast'!G16</f>
        <v>140000</v>
      </c>
      <c r="H16" s="46">
        <f>'Combined forecast'!H16</f>
        <v>196709</v>
      </c>
      <c r="I16" s="46">
        <f>'Combined forecast'!I16</f>
        <v>271010</v>
      </c>
      <c r="J16" s="46"/>
      <c r="K16" s="46"/>
      <c r="L16" s="46"/>
      <c r="M16" s="46"/>
      <c r="N16" s="46"/>
      <c r="O16" s="46"/>
      <c r="P16" s="46"/>
      <c r="R16" s="101" t="str">
        <f t="shared" si="0"/>
        <v>AOC 1, 2, or 4x25-28G, 50G, 100G  QSFP28, SFP-DD, SFP112</v>
      </c>
    </row>
    <row r="17" spans="2:18">
      <c r="B17" s="154" t="str">
        <f>Segmentation!B29</f>
        <v>25-28G</v>
      </c>
      <c r="C17" s="151" t="str">
        <f>Segmentation!C29</f>
        <v>100G</v>
      </c>
      <c r="D17" s="151" t="str">
        <f>Segmentation!D29</f>
        <v>AOC</v>
      </c>
      <c r="E17" s="151" t="str">
        <f>Segmentation!E29</f>
        <v>4:1</v>
      </c>
      <c r="F17" s="187" t="str">
        <f>Segmentation!F29</f>
        <v>QSFP28/SFP28</v>
      </c>
      <c r="G17" s="46"/>
      <c r="H17" s="46">
        <f>'Combined forecast'!H17</f>
        <v>3500</v>
      </c>
      <c r="I17" s="46">
        <f>'Combined forecast'!I17</f>
        <v>2701</v>
      </c>
      <c r="J17" s="46"/>
      <c r="K17" s="46"/>
      <c r="L17" s="46"/>
      <c r="M17" s="46"/>
      <c r="N17" s="46"/>
      <c r="O17" s="46"/>
      <c r="P17" s="46"/>
      <c r="R17" s="101" t="str">
        <f>'Combined forecast'!R17</f>
        <v>AOC 100G breakout</v>
      </c>
    </row>
    <row r="18" spans="2:18">
      <c r="B18" s="154" t="str">
        <f>Segmentation!B30</f>
        <v>24G</v>
      </c>
      <c r="C18" s="151" t="str">
        <f>Segmentation!C30</f>
        <v>96G</v>
      </c>
      <c r="D18" s="151" t="str">
        <f>Segmentation!D30</f>
        <v>AOC</v>
      </c>
      <c r="E18" s="151">
        <f>Segmentation!E30</f>
        <v>4</v>
      </c>
      <c r="F18" s="187" t="str">
        <f>Segmentation!F30</f>
        <v>Mini-SAS HD</v>
      </c>
      <c r="G18" s="46"/>
      <c r="H18" s="46">
        <f>'Combined forecast'!H18</f>
        <v>0</v>
      </c>
      <c r="I18" s="46">
        <f>'Combined forecast'!I18</f>
        <v>0</v>
      </c>
      <c r="J18" s="46"/>
      <c r="K18" s="46"/>
      <c r="L18" s="46"/>
      <c r="M18" s="46"/>
      <c r="N18" s="46"/>
      <c r="O18" s="46"/>
      <c r="P18" s="46"/>
      <c r="R18" s="101" t="str">
        <f t="shared" ref="R18:R25" si="1">D18&amp;" "&amp;E18&amp;"x"&amp;B18&amp;" "&amp;" "&amp;F18</f>
        <v>AOC 4x24G  Mini-SAS HD</v>
      </c>
    </row>
    <row r="19" spans="2:18">
      <c r="B19" s="154" t="str">
        <f>Segmentation!B31</f>
        <v>25-28G</v>
      </c>
      <c r="C19" s="151" t="str">
        <f>Segmentation!C31</f>
        <v>300G</v>
      </c>
      <c r="D19" s="151" t="str">
        <f>Segmentation!D31</f>
        <v>AOC</v>
      </c>
      <c r="E19" s="151">
        <f>Segmentation!E31</f>
        <v>12</v>
      </c>
      <c r="F19" s="187" t="str">
        <f>Segmentation!F31</f>
        <v>CXP28</v>
      </c>
      <c r="G19" s="46">
        <f>'Combined forecast'!G19</f>
        <v>0</v>
      </c>
      <c r="H19" s="46">
        <f>'Combined forecast'!H19</f>
        <v>0</v>
      </c>
      <c r="I19" s="46">
        <f>'Combined forecast'!I19</f>
        <v>0</v>
      </c>
      <c r="J19" s="46"/>
      <c r="K19" s="46"/>
      <c r="L19" s="46"/>
      <c r="M19" s="46"/>
      <c r="N19" s="46"/>
      <c r="O19" s="46"/>
      <c r="P19" s="46"/>
      <c r="R19" s="101" t="str">
        <f t="shared" si="1"/>
        <v>AOC 12x25-28G  CXP28</v>
      </c>
    </row>
    <row r="20" spans="2:18">
      <c r="B20" s="154" t="str">
        <f>Segmentation!B33</f>
        <v>25-28G</v>
      </c>
      <c r="C20" s="151" t="str">
        <f>Segmentation!C33</f>
        <v>300G</v>
      </c>
      <c r="D20" s="151" t="str">
        <f>Segmentation!D33</f>
        <v>XCVR</v>
      </c>
      <c r="E20" s="151">
        <f>Segmentation!E33</f>
        <v>12</v>
      </c>
      <c r="F20" s="187" t="str">
        <f>Segmentation!F33</f>
        <v>CXP28</v>
      </c>
      <c r="G20" s="46">
        <f>'Combined forecast'!G21</f>
        <v>0</v>
      </c>
      <c r="H20" s="46">
        <f>'Combined forecast'!H21</f>
        <v>0</v>
      </c>
      <c r="I20" s="46">
        <f>'Combined forecast'!I21</f>
        <v>1500</v>
      </c>
      <c r="J20" s="46"/>
      <c r="K20" s="46"/>
      <c r="L20" s="46"/>
      <c r="M20" s="46"/>
      <c r="N20" s="46"/>
      <c r="O20" s="46"/>
      <c r="P20" s="46"/>
      <c r="R20" s="101" t="str">
        <f t="shared" si="1"/>
        <v>XCVR 12x25-28G  CXP28</v>
      </c>
    </row>
    <row r="21" spans="2:18" s="26" customFormat="1">
      <c r="B21" s="154" t="str">
        <f>Segmentation!B34</f>
        <v>50-56G</v>
      </c>
      <c r="C21" s="151" t="str">
        <f>Segmentation!C34</f>
        <v>50G</v>
      </c>
      <c r="D21" s="151" t="str">
        <f>Segmentation!D34</f>
        <v>AOC</v>
      </c>
      <c r="E21" s="151">
        <f>Segmentation!E34</f>
        <v>1</v>
      </c>
      <c r="F21" s="187" t="str">
        <f>Segmentation!F34</f>
        <v>SFP56</v>
      </c>
      <c r="G21" s="46"/>
      <c r="H21" s="46"/>
      <c r="I21" s="46">
        <f>'Combined forecast'!I22</f>
        <v>0</v>
      </c>
      <c r="J21" s="46"/>
      <c r="K21" s="46"/>
      <c r="L21" s="46"/>
      <c r="M21" s="46"/>
      <c r="N21" s="46"/>
      <c r="O21" s="46"/>
      <c r="P21" s="46"/>
      <c r="R21" s="101" t="str">
        <f t="shared" si="1"/>
        <v>AOC 1x50-56G  SFP56</v>
      </c>
    </row>
    <row r="22" spans="2:18" s="26" customFormat="1">
      <c r="B22" s="154" t="str">
        <f>Segmentation!B35</f>
        <v>50-56G</v>
      </c>
      <c r="C22" s="151" t="str">
        <f>Segmentation!C35</f>
        <v>200G</v>
      </c>
      <c r="D22" s="151" t="str">
        <f>Segmentation!D35</f>
        <v>AOC</v>
      </c>
      <c r="E22" s="151">
        <f>Segmentation!E35</f>
        <v>4</v>
      </c>
      <c r="F22" s="187" t="str">
        <f>Segmentation!F35</f>
        <v>QSFP56</v>
      </c>
      <c r="G22" s="46"/>
      <c r="H22" s="46"/>
      <c r="I22" s="46">
        <f>'Combined forecast'!I23</f>
        <v>0</v>
      </c>
      <c r="J22" s="46"/>
      <c r="K22" s="46"/>
      <c r="L22" s="46"/>
      <c r="M22" s="46"/>
      <c r="N22" s="46"/>
      <c r="O22" s="46"/>
      <c r="P22" s="46"/>
      <c r="R22" s="101" t="str">
        <f t="shared" si="1"/>
        <v>AOC 4x50-56G  QSFP56</v>
      </c>
    </row>
    <row r="23" spans="2:18">
      <c r="B23" s="154" t="str">
        <f>Segmentation!B37</f>
        <v>50-56G, 100G</v>
      </c>
      <c r="C23" s="151" t="str">
        <f>Segmentation!C37</f>
        <v>400G, 2x200G</v>
      </c>
      <c r="D23" s="151" t="str">
        <f>Segmentation!D37</f>
        <v>AOC</v>
      </c>
      <c r="E23" s="151" t="str">
        <f>Segmentation!E37</f>
        <v>4 or 8</v>
      </c>
      <c r="F23" s="187" t="str">
        <f>Segmentation!F37</f>
        <v>QSFP-DD, OSFP, QSFP112</v>
      </c>
      <c r="G23" s="77"/>
      <c r="H23" s="77"/>
      <c r="I23" s="77">
        <f>'Combined forecast'!I25</f>
        <v>0</v>
      </c>
      <c r="J23" s="77"/>
      <c r="K23" s="77"/>
      <c r="L23" s="77"/>
      <c r="M23" s="77"/>
      <c r="N23" s="77"/>
      <c r="O23" s="77"/>
      <c r="P23" s="77"/>
      <c r="R23" s="101" t="str">
        <f t="shared" si="1"/>
        <v>AOC 4 or 8x50-56G, 100G  QSFP-DD, OSFP, QSFP112</v>
      </c>
    </row>
    <row r="24" spans="2:18">
      <c r="B24" s="154" t="str">
        <f>Segmentation!B38</f>
        <v>50-56G, 100G</v>
      </c>
      <c r="C24" s="151" t="str">
        <f>Segmentation!C38</f>
        <v>400G, 2x200G</v>
      </c>
      <c r="D24" s="151" t="str">
        <f>Segmentation!D38</f>
        <v>AOC</v>
      </c>
      <c r="E24" s="151" t="str">
        <f>Segmentation!E38</f>
        <v>4:1 or 8:1</v>
      </c>
      <c r="F24" s="187" t="str">
        <f>Segmentation!F38</f>
        <v>QSFP-DD, OSFP, QSFP112</v>
      </c>
      <c r="G24" s="77"/>
      <c r="H24" s="77"/>
      <c r="I24" s="77">
        <f>'Combined forecast'!I26</f>
        <v>0</v>
      </c>
      <c r="J24" s="77"/>
      <c r="K24" s="77"/>
      <c r="L24" s="77"/>
      <c r="M24" s="77"/>
      <c r="N24" s="77"/>
      <c r="O24" s="77"/>
      <c r="P24" s="77"/>
      <c r="R24" s="101" t="str">
        <f t="shared" si="1"/>
        <v>AOC 4:1 or 8:1x50-56G, 100G  QSFP-DD, OSFP, QSFP112</v>
      </c>
    </row>
    <row r="25" spans="2:18">
      <c r="B25" s="109" t="str">
        <f>Segmentation!B39</f>
        <v>100G</v>
      </c>
      <c r="C25" s="85" t="str">
        <f>Segmentation!C39</f>
        <v>800G</v>
      </c>
      <c r="D25" s="85" t="str">
        <f>Segmentation!D39</f>
        <v>AOC</v>
      </c>
      <c r="E25" s="85">
        <f>Segmentation!E39</f>
        <v>8</v>
      </c>
      <c r="F25" s="155" t="str">
        <f>Segmentation!F39</f>
        <v xml:space="preserve">QSFP-DD800, OSFP </v>
      </c>
      <c r="G25" s="77"/>
      <c r="H25" s="77"/>
      <c r="I25" s="43">
        <f>'Combined forecast'!I27</f>
        <v>0</v>
      </c>
      <c r="J25" s="43"/>
      <c r="K25" s="43"/>
      <c r="L25" s="43"/>
      <c r="M25" s="43"/>
      <c r="N25" s="43"/>
      <c r="O25" s="43"/>
      <c r="P25" s="43"/>
      <c r="R25" s="101" t="str">
        <f t="shared" si="1"/>
        <v xml:space="preserve">AOC 8x100G  QSFP-DD800, OSFP </v>
      </c>
    </row>
    <row r="26" spans="2:18">
      <c r="B26" s="161" t="s">
        <v>105</v>
      </c>
      <c r="C26" s="162"/>
      <c r="D26" s="162"/>
      <c r="E26" s="162"/>
      <c r="F26" s="162"/>
      <c r="G26" s="152">
        <f t="shared" ref="G26:I26" si="2">SUM(G8:G25)</f>
        <v>2517386.3571428573</v>
      </c>
      <c r="H26" s="152">
        <f t="shared" si="2"/>
        <v>4125856</v>
      </c>
      <c r="I26" s="152">
        <f t="shared" si="2"/>
        <v>6096773</v>
      </c>
      <c r="J26" s="152"/>
      <c r="K26" s="152"/>
      <c r="L26" s="152"/>
      <c r="M26" s="152"/>
      <c r="N26" s="152"/>
      <c r="O26" s="152"/>
      <c r="P26" s="152"/>
      <c r="R26" s="102" t="s">
        <v>155</v>
      </c>
    </row>
    <row r="27" spans="2:18">
      <c r="B27" s="89"/>
      <c r="C27" s="89"/>
      <c r="D27" s="89"/>
    </row>
    <row r="28" spans="2:18">
      <c r="B28" s="97" t="str">
        <f>B7</f>
        <v>Lane Speed</v>
      </c>
      <c r="C28" s="98" t="str">
        <f>C7</f>
        <v>Agg. Speed</v>
      </c>
      <c r="D28" s="112" t="str">
        <f>D7</f>
        <v>Type</v>
      </c>
      <c r="E28" s="112" t="str">
        <f>E7</f>
        <v>Lanes</v>
      </c>
      <c r="F28" s="113" t="str">
        <f>F7</f>
        <v>Form Factor</v>
      </c>
      <c r="G28" s="90">
        <v>2016</v>
      </c>
      <c r="H28" s="91">
        <v>2017</v>
      </c>
      <c r="I28" s="91">
        <v>2018</v>
      </c>
      <c r="J28" s="91">
        <v>2019</v>
      </c>
      <c r="K28" s="91">
        <v>2020</v>
      </c>
      <c r="L28" s="91">
        <v>2021</v>
      </c>
      <c r="M28" s="91">
        <v>2022</v>
      </c>
      <c r="N28" s="91">
        <v>2023</v>
      </c>
      <c r="O28" s="91">
        <v>2024</v>
      </c>
      <c r="P28" s="91">
        <v>2025</v>
      </c>
    </row>
    <row r="29" spans="2:18">
      <c r="B29" s="105" t="s">
        <v>59</v>
      </c>
      <c r="C29" s="93" t="s">
        <v>59</v>
      </c>
      <c r="D29" s="93" t="s">
        <v>49</v>
      </c>
      <c r="E29" s="93" t="s">
        <v>66</v>
      </c>
      <c r="F29" s="107" t="s">
        <v>59</v>
      </c>
      <c r="G29" s="25">
        <f t="shared" ref="G29:I29" si="3">G8+G15+G21</f>
        <v>1664178</v>
      </c>
      <c r="H29" s="25">
        <f t="shared" si="3"/>
        <v>3402357</v>
      </c>
      <c r="I29" s="25">
        <f t="shared" si="3"/>
        <v>5281751</v>
      </c>
      <c r="J29" s="25"/>
      <c r="K29" s="25"/>
      <c r="L29" s="25"/>
      <c r="M29" s="25"/>
      <c r="N29" s="25"/>
      <c r="O29" s="25"/>
      <c r="P29" s="25"/>
    </row>
    <row r="30" spans="2:18">
      <c r="B30" s="106" t="s">
        <v>59</v>
      </c>
      <c r="C30" s="89" t="s">
        <v>59</v>
      </c>
      <c r="D30" s="89" t="s">
        <v>49</v>
      </c>
      <c r="E30" s="89" t="s">
        <v>67</v>
      </c>
      <c r="F30" s="108" t="s">
        <v>59</v>
      </c>
      <c r="G30" s="54">
        <f>G26-G29-G31</f>
        <v>828208.35714285728</v>
      </c>
      <c r="H30" s="54">
        <f t="shared" ref="H30:I30" si="4">H26-H29-H31</f>
        <v>707074</v>
      </c>
      <c r="I30" s="54">
        <f t="shared" si="4"/>
        <v>799203</v>
      </c>
      <c r="J30" s="54"/>
      <c r="K30" s="54"/>
      <c r="L30" s="54"/>
      <c r="M30" s="54"/>
      <c r="N30" s="54"/>
      <c r="O30" s="54"/>
      <c r="P30" s="54"/>
    </row>
    <row r="31" spans="2:18">
      <c r="B31" s="106" t="s">
        <v>59</v>
      </c>
      <c r="C31" s="89" t="s">
        <v>59</v>
      </c>
      <c r="D31" s="89" t="s">
        <v>48</v>
      </c>
      <c r="E31" s="89" t="s">
        <v>59</v>
      </c>
      <c r="F31" s="108" t="s">
        <v>59</v>
      </c>
      <c r="G31" s="54">
        <f>G12+G20</f>
        <v>25000</v>
      </c>
      <c r="H31" s="54">
        <f t="shared" ref="H31:I31" si="5">H12+H20</f>
        <v>16425</v>
      </c>
      <c r="I31" s="54">
        <f t="shared" si="5"/>
        <v>15819</v>
      </c>
      <c r="J31" s="54"/>
      <c r="K31" s="54"/>
      <c r="L31" s="54"/>
      <c r="M31" s="54"/>
      <c r="N31" s="54"/>
      <c r="O31" s="54"/>
      <c r="P31" s="54"/>
    </row>
    <row r="32" spans="2:18">
      <c r="B32" s="99" t="s">
        <v>13</v>
      </c>
      <c r="C32" s="112" t="s">
        <v>59</v>
      </c>
      <c r="D32" s="112" t="s">
        <v>59</v>
      </c>
      <c r="E32" s="144" t="s">
        <v>59</v>
      </c>
      <c r="F32" s="104" t="s">
        <v>59</v>
      </c>
      <c r="G32" s="95">
        <f>SUM(G29:G31)</f>
        <v>2517386.3571428573</v>
      </c>
      <c r="H32" s="96">
        <f t="shared" ref="H32:I32" si="6">SUM(H29:H31)</f>
        <v>4125856</v>
      </c>
      <c r="I32" s="96">
        <f t="shared" si="6"/>
        <v>6096773</v>
      </c>
      <c r="J32" s="96"/>
      <c r="K32" s="96"/>
      <c r="L32" s="96"/>
      <c r="M32" s="96"/>
      <c r="N32" s="96"/>
      <c r="O32" s="96"/>
      <c r="P32" s="96"/>
    </row>
    <row r="35" spans="2:16" ht="21">
      <c r="B35" s="23" t="s">
        <v>23</v>
      </c>
      <c r="C35" s="23"/>
      <c r="K35" s="13" t="str">
        <f>B35</f>
        <v>Average Selling Prices</v>
      </c>
    </row>
    <row r="36" spans="2:16">
      <c r="B36" s="171" t="str">
        <f t="shared" ref="B36:F49" si="7">B7</f>
        <v>Lane Speed</v>
      </c>
      <c r="C36" s="223" t="str">
        <f t="shared" si="7"/>
        <v>Agg. Speed</v>
      </c>
      <c r="D36" s="172" t="str">
        <f t="shared" si="7"/>
        <v>Type</v>
      </c>
      <c r="E36" s="172" t="str">
        <f t="shared" si="7"/>
        <v>Lanes</v>
      </c>
      <c r="F36" s="197" t="str">
        <f t="shared" si="7"/>
        <v>Form Factor</v>
      </c>
      <c r="G36" s="30">
        <v>2016</v>
      </c>
      <c r="H36" s="30">
        <v>2017</v>
      </c>
      <c r="I36" s="30">
        <v>2018</v>
      </c>
      <c r="J36" s="30">
        <v>2019</v>
      </c>
      <c r="K36" s="30">
        <v>2020</v>
      </c>
      <c r="L36" s="30">
        <v>2021</v>
      </c>
      <c r="M36" s="30">
        <v>2022</v>
      </c>
      <c r="N36" s="30">
        <v>2023</v>
      </c>
      <c r="O36" s="30">
        <v>2024</v>
      </c>
      <c r="P36" s="30">
        <v>2025</v>
      </c>
    </row>
    <row r="37" spans="2:16">
      <c r="B37" s="200" t="str">
        <f t="shared" si="7"/>
        <v>≤10G</v>
      </c>
      <c r="C37" s="201" t="str">
        <f t="shared" si="7"/>
        <v>10G</v>
      </c>
      <c r="D37" s="201" t="str">
        <f t="shared" si="7"/>
        <v>AOC</v>
      </c>
      <c r="E37" s="201">
        <f t="shared" si="7"/>
        <v>1</v>
      </c>
      <c r="F37" s="202" t="str">
        <f t="shared" si="7"/>
        <v>SFP+</v>
      </c>
      <c r="G37" s="135">
        <f>'Combined forecast'!G48</f>
        <v>24.310908090186217</v>
      </c>
      <c r="H37" s="135">
        <f>'Combined forecast'!H48</f>
        <v>18.729353700291334</v>
      </c>
      <c r="I37" s="135">
        <f>'Combined forecast'!I48</f>
        <v>15.719284358832242</v>
      </c>
      <c r="J37" s="135"/>
      <c r="K37" s="135"/>
      <c r="L37" s="135"/>
      <c r="M37" s="135"/>
      <c r="N37" s="135"/>
      <c r="O37" s="135"/>
      <c r="P37" s="135"/>
    </row>
    <row r="38" spans="2:16">
      <c r="B38" s="154" t="str">
        <f t="shared" si="7"/>
        <v>≤10G</v>
      </c>
      <c r="C38" s="151" t="str">
        <f t="shared" si="7"/>
        <v>40G</v>
      </c>
      <c r="D38" s="151" t="str">
        <f t="shared" si="7"/>
        <v>AOC</v>
      </c>
      <c r="E38" s="151">
        <f t="shared" si="7"/>
        <v>4</v>
      </c>
      <c r="F38" s="187" t="str">
        <f t="shared" si="7"/>
        <v>QSFP+</v>
      </c>
      <c r="G38" s="74">
        <f>'Combined forecast'!G49</f>
        <v>101.84107594770762</v>
      </c>
      <c r="H38" s="74">
        <f>'Combined forecast'!H49</f>
        <v>98.843343304455885</v>
      </c>
      <c r="I38" s="74">
        <f>'Combined forecast'!I49</f>
        <v>83.918078288695057</v>
      </c>
      <c r="J38" s="74"/>
      <c r="K38" s="74"/>
      <c r="L38" s="74"/>
      <c r="M38" s="74"/>
      <c r="N38" s="74"/>
      <c r="O38" s="74"/>
      <c r="P38" s="74"/>
    </row>
    <row r="39" spans="2:16">
      <c r="B39" s="154" t="str">
        <f t="shared" si="7"/>
        <v>≤10G</v>
      </c>
      <c r="C39" s="151" t="str">
        <f t="shared" si="7"/>
        <v>40G</v>
      </c>
      <c r="D39" s="151" t="str">
        <f t="shared" si="7"/>
        <v>AOC</v>
      </c>
      <c r="E39" s="151" t="str">
        <f t="shared" si="7"/>
        <v>4:1</v>
      </c>
      <c r="F39" s="187" t="str">
        <f t="shared" si="7"/>
        <v>QSFP+/SFP+</v>
      </c>
      <c r="G39" s="74">
        <f>'Combined forecast'!G50</f>
        <v>160</v>
      </c>
      <c r="H39" s="74">
        <f>'Combined forecast'!H50</f>
        <v>155</v>
      </c>
      <c r="I39" s="74">
        <f>'Combined forecast'!I50</f>
        <v>182.91134780957208</v>
      </c>
      <c r="J39" s="74"/>
      <c r="K39" s="74"/>
      <c r="L39" s="74"/>
      <c r="M39" s="74"/>
      <c r="N39" s="74"/>
      <c r="O39" s="74"/>
      <c r="P39" s="74"/>
    </row>
    <row r="40" spans="2:16">
      <c r="B40" s="154" t="str">
        <f t="shared" si="7"/>
        <v>≤12.5G</v>
      </c>
      <c r="C40" s="151" t="str">
        <f t="shared" si="7"/>
        <v>150G</v>
      </c>
      <c r="D40" s="151" t="str">
        <f t="shared" si="7"/>
        <v>AOC</v>
      </c>
      <c r="E40" s="151">
        <f t="shared" si="7"/>
        <v>12</v>
      </c>
      <c r="F40" s="187" t="str">
        <f t="shared" si="7"/>
        <v>CXP</v>
      </c>
      <c r="G40" s="74">
        <f>'Combined forecast'!G51</f>
        <v>379.20111824867195</v>
      </c>
      <c r="H40" s="74">
        <f>'Combined forecast'!H51</f>
        <v>317.82665794839966</v>
      </c>
      <c r="I40" s="74">
        <f>'Combined forecast'!I51</f>
        <v>276.5825346951363</v>
      </c>
      <c r="J40" s="74"/>
      <c r="K40" s="74"/>
      <c r="L40" s="74"/>
      <c r="M40" s="74"/>
      <c r="N40" s="74"/>
      <c r="O40" s="74"/>
      <c r="P40" s="74"/>
    </row>
    <row r="41" spans="2:16">
      <c r="B41" s="154" t="str">
        <f t="shared" si="7"/>
        <v>≤12.5G</v>
      </c>
      <c r="C41" s="151" t="str">
        <f t="shared" si="7"/>
        <v>150G</v>
      </c>
      <c r="D41" s="151" t="str">
        <f t="shared" si="7"/>
        <v>XCVR</v>
      </c>
      <c r="E41" s="151">
        <f t="shared" si="7"/>
        <v>12</v>
      </c>
      <c r="F41" s="187" t="str">
        <f t="shared" si="7"/>
        <v>CXP</v>
      </c>
      <c r="G41" s="74">
        <f>'Combined forecast'!G52</f>
        <v>342.7488586381445</v>
      </c>
      <c r="H41" s="74">
        <f>'Combined forecast'!H52</f>
        <v>343.56395738203958</v>
      </c>
      <c r="I41" s="74">
        <f>'Combined forecast'!I52</f>
        <v>283.74591102730659</v>
      </c>
      <c r="J41" s="74"/>
      <c r="K41" s="74"/>
      <c r="L41" s="74"/>
      <c r="M41" s="74"/>
      <c r="N41" s="74"/>
      <c r="O41" s="74"/>
      <c r="P41" s="74"/>
    </row>
    <row r="42" spans="2:16">
      <c r="B42" s="154" t="str">
        <f t="shared" si="7"/>
        <v>12-14G</v>
      </c>
      <c r="C42" s="151" t="str">
        <f t="shared" si="7"/>
        <v>56G</v>
      </c>
      <c r="D42" s="151" t="str">
        <f t="shared" si="7"/>
        <v>AOC</v>
      </c>
      <c r="E42" s="151">
        <f t="shared" si="7"/>
        <v>4</v>
      </c>
      <c r="F42" s="187" t="str">
        <f t="shared" si="7"/>
        <v>QSFP+</v>
      </c>
      <c r="G42" s="74">
        <f>'Combined forecast'!G53</f>
        <v>135.19212280876991</v>
      </c>
      <c r="H42" s="74">
        <f>'Combined forecast'!H53</f>
        <v>135.81171439039514</v>
      </c>
      <c r="I42" s="74">
        <f>'Combined forecast'!I53</f>
        <v>113.08801812004543</v>
      </c>
      <c r="J42" s="74"/>
      <c r="K42" s="74"/>
      <c r="L42" s="74"/>
      <c r="M42" s="74"/>
      <c r="N42" s="74"/>
      <c r="O42" s="74"/>
      <c r="P42" s="74"/>
    </row>
    <row r="43" spans="2:16">
      <c r="B43" s="154" t="str">
        <f t="shared" si="7"/>
        <v>12G</v>
      </c>
      <c r="C43" s="151" t="str">
        <f t="shared" si="7"/>
        <v>48G</v>
      </c>
      <c r="D43" s="151" t="str">
        <f t="shared" si="7"/>
        <v>AOC</v>
      </c>
      <c r="E43" s="151">
        <f t="shared" si="7"/>
        <v>4</v>
      </c>
      <c r="F43" s="187" t="str">
        <f t="shared" si="7"/>
        <v>Mini-SAS HD</v>
      </c>
      <c r="G43" s="74">
        <f>'Combined forecast'!G54</f>
        <v>170</v>
      </c>
      <c r="H43" s="74">
        <f>'Combined forecast'!H54</f>
        <v>133.03030303030303</v>
      </c>
      <c r="I43" s="74">
        <f>'Combined forecast'!I54</f>
        <v>116.40151515151516</v>
      </c>
      <c r="J43" s="74"/>
      <c r="K43" s="74"/>
      <c r="L43" s="74"/>
      <c r="M43" s="74"/>
      <c r="N43" s="74"/>
      <c r="O43" s="74"/>
      <c r="P43" s="74"/>
    </row>
    <row r="44" spans="2:16">
      <c r="B44" s="154" t="str">
        <f t="shared" si="7"/>
        <v>25-28G</v>
      </c>
      <c r="C44" s="151" t="str">
        <f t="shared" si="7"/>
        <v>25G</v>
      </c>
      <c r="D44" s="151" t="str">
        <f t="shared" si="7"/>
        <v>AOC</v>
      </c>
      <c r="E44" s="151">
        <f t="shared" si="7"/>
        <v>1</v>
      </c>
      <c r="F44" s="187" t="str">
        <f t="shared" si="7"/>
        <v>SFP28</v>
      </c>
      <c r="G44" s="74">
        <f>'Combined forecast'!G55</f>
        <v>110</v>
      </c>
      <c r="H44" s="74">
        <f>'Combined forecast'!H55</f>
        <v>77.02469352835007</v>
      </c>
      <c r="I44" s="74">
        <f>'Combined forecast'!I55</f>
        <v>50.723149990247705</v>
      </c>
      <c r="J44" s="74"/>
      <c r="K44" s="74"/>
      <c r="L44" s="74"/>
      <c r="M44" s="74"/>
      <c r="N44" s="74"/>
      <c r="O44" s="74"/>
      <c r="P44" s="74"/>
    </row>
    <row r="45" spans="2:16">
      <c r="B45" s="154" t="str">
        <f t="shared" si="7"/>
        <v>25-28G, 50G, 100G</v>
      </c>
      <c r="C45" s="151" t="str">
        <f t="shared" si="7"/>
        <v>100G</v>
      </c>
      <c r="D45" s="151" t="str">
        <f t="shared" si="7"/>
        <v>AOC</v>
      </c>
      <c r="E45" s="151" t="str">
        <f t="shared" si="7"/>
        <v>1, 2, or 4</v>
      </c>
      <c r="F45" s="187" t="str">
        <f t="shared" si="7"/>
        <v>QSFP28, SFP-DD, SFP112</v>
      </c>
      <c r="G45" s="74">
        <f>'Combined forecast'!G56</f>
        <v>480</v>
      </c>
      <c r="H45" s="74">
        <f>'Combined forecast'!H56</f>
        <v>272</v>
      </c>
      <c r="I45" s="74">
        <f>'Combined forecast'!I56</f>
        <v>163.33917023226161</v>
      </c>
      <c r="J45" s="74"/>
      <c r="K45" s="74"/>
      <c r="L45" s="74"/>
      <c r="M45" s="74"/>
      <c r="N45" s="74"/>
      <c r="O45" s="74"/>
      <c r="P45" s="74"/>
    </row>
    <row r="46" spans="2:16">
      <c r="B46" s="154" t="str">
        <f t="shared" si="7"/>
        <v>25-28G</v>
      </c>
      <c r="C46" s="151" t="str">
        <f t="shared" si="7"/>
        <v>100G</v>
      </c>
      <c r="D46" s="151" t="str">
        <f t="shared" si="7"/>
        <v>AOC</v>
      </c>
      <c r="E46" s="151" t="str">
        <f t="shared" si="7"/>
        <v>4:1</v>
      </c>
      <c r="F46" s="187" t="str">
        <f t="shared" si="7"/>
        <v>QSFP28/SFP28</v>
      </c>
      <c r="G46" s="74"/>
      <c r="H46" s="74">
        <f>'Combined forecast'!H57</f>
        <v>350</v>
      </c>
      <c r="I46" s="74">
        <f>'Combined forecast'!I57</f>
        <v>290</v>
      </c>
      <c r="J46" s="74"/>
      <c r="K46" s="74"/>
      <c r="L46" s="74"/>
      <c r="M46" s="74"/>
      <c r="N46" s="74"/>
      <c r="O46" s="74"/>
      <c r="P46" s="74"/>
    </row>
    <row r="47" spans="2:16">
      <c r="B47" s="154" t="str">
        <f t="shared" si="7"/>
        <v>24G</v>
      </c>
      <c r="C47" s="151" t="str">
        <f t="shared" si="7"/>
        <v>96G</v>
      </c>
      <c r="D47" s="151" t="str">
        <f t="shared" si="7"/>
        <v>AOC</v>
      </c>
      <c r="E47" s="151">
        <f t="shared" si="7"/>
        <v>4</v>
      </c>
      <c r="F47" s="187" t="str">
        <f t="shared" si="7"/>
        <v>Mini-SAS HD</v>
      </c>
      <c r="G47" s="74"/>
      <c r="H47" s="74"/>
      <c r="I47" s="74"/>
      <c r="J47" s="74"/>
      <c r="K47" s="74"/>
      <c r="L47" s="74"/>
      <c r="M47" s="74"/>
      <c r="N47" s="74"/>
      <c r="O47" s="74"/>
      <c r="P47" s="74"/>
    </row>
    <row r="48" spans="2:16" ht="15" customHeight="1">
      <c r="B48" s="154" t="str">
        <f t="shared" si="7"/>
        <v>25-28G</v>
      </c>
      <c r="C48" s="151" t="str">
        <f t="shared" si="7"/>
        <v>300G</v>
      </c>
      <c r="D48" s="151" t="str">
        <f t="shared" si="7"/>
        <v>AOC</v>
      </c>
      <c r="E48" s="151">
        <f t="shared" si="7"/>
        <v>12</v>
      </c>
      <c r="F48" s="187" t="str">
        <f t="shared" si="7"/>
        <v>CXP28</v>
      </c>
      <c r="G48" s="74"/>
      <c r="H48" s="74">
        <f>'Combined forecast'!H59</f>
        <v>1665</v>
      </c>
      <c r="I48" s="74">
        <f>'Combined forecast'!I59</f>
        <v>1498.5</v>
      </c>
      <c r="J48" s="74"/>
      <c r="K48" s="74"/>
      <c r="L48" s="74"/>
      <c r="M48" s="74"/>
      <c r="N48" s="74"/>
      <c r="O48" s="74"/>
      <c r="P48" s="74"/>
    </row>
    <row r="49" spans="2:16" ht="15" customHeight="1">
      <c r="B49" s="154" t="str">
        <f t="shared" si="7"/>
        <v>25-28G</v>
      </c>
      <c r="C49" s="151" t="str">
        <f t="shared" si="7"/>
        <v>300G</v>
      </c>
      <c r="D49" s="151" t="str">
        <f t="shared" si="7"/>
        <v>XCVR</v>
      </c>
      <c r="E49" s="151">
        <f t="shared" si="7"/>
        <v>12</v>
      </c>
      <c r="F49" s="187" t="str">
        <f t="shared" si="7"/>
        <v>CXP28</v>
      </c>
      <c r="G49" s="74">
        <f>'Combined forecast'!G61</f>
        <v>433.125</v>
      </c>
      <c r="H49" s="74">
        <f>'Combined forecast'!H61</f>
        <v>400</v>
      </c>
      <c r="I49" s="74">
        <f>'Combined forecast'!I61</f>
        <v>360</v>
      </c>
      <c r="J49" s="74"/>
      <c r="K49" s="74"/>
      <c r="L49" s="74"/>
      <c r="M49" s="74"/>
      <c r="N49" s="74"/>
      <c r="O49" s="74"/>
      <c r="P49" s="74"/>
    </row>
    <row r="50" spans="2:16" s="26" customFormat="1" ht="15" customHeight="1">
      <c r="B50" s="154" t="str">
        <f t="shared" ref="B50:F54" si="8">B21</f>
        <v>50-56G</v>
      </c>
      <c r="C50" s="151" t="str">
        <f t="shared" si="8"/>
        <v>50G</v>
      </c>
      <c r="D50" s="151" t="str">
        <f t="shared" si="8"/>
        <v>AOC</v>
      </c>
      <c r="E50" s="151">
        <f t="shared" si="8"/>
        <v>1</v>
      </c>
      <c r="F50" s="187" t="str">
        <f t="shared" si="8"/>
        <v>SFP56</v>
      </c>
      <c r="G50" s="74"/>
      <c r="H50" s="74"/>
      <c r="I50" s="74"/>
      <c r="J50" s="74"/>
      <c r="K50" s="74"/>
      <c r="L50" s="74"/>
      <c r="M50" s="74"/>
      <c r="N50" s="74"/>
      <c r="O50" s="74"/>
      <c r="P50" s="74"/>
    </row>
    <row r="51" spans="2:16" s="26" customFormat="1">
      <c r="B51" s="154" t="str">
        <f t="shared" si="8"/>
        <v>50-56G</v>
      </c>
      <c r="C51" s="151" t="str">
        <f t="shared" si="8"/>
        <v>200G</v>
      </c>
      <c r="D51" s="151" t="str">
        <f t="shared" si="8"/>
        <v>AOC</v>
      </c>
      <c r="E51" s="151">
        <f t="shared" si="8"/>
        <v>4</v>
      </c>
      <c r="F51" s="187" t="str">
        <f t="shared" si="8"/>
        <v>QSFP56</v>
      </c>
      <c r="G51" s="74"/>
      <c r="H51" s="74"/>
      <c r="I51" s="74"/>
      <c r="J51" s="74"/>
      <c r="K51" s="74"/>
      <c r="L51" s="74"/>
      <c r="M51" s="74"/>
      <c r="N51" s="74"/>
      <c r="O51" s="74"/>
      <c r="P51" s="74"/>
    </row>
    <row r="52" spans="2:16">
      <c r="B52" s="154" t="str">
        <f t="shared" si="8"/>
        <v>50-56G, 100G</v>
      </c>
      <c r="C52" s="151" t="str">
        <f t="shared" si="8"/>
        <v>400G, 2x200G</v>
      </c>
      <c r="D52" s="151" t="str">
        <f t="shared" si="8"/>
        <v>AOC</v>
      </c>
      <c r="E52" s="151" t="str">
        <f t="shared" si="8"/>
        <v>4 or 8</v>
      </c>
      <c r="F52" s="187" t="str">
        <f t="shared" si="8"/>
        <v>QSFP-DD, OSFP, QSFP112</v>
      </c>
      <c r="G52" s="74"/>
      <c r="H52" s="74"/>
      <c r="I52" s="74"/>
      <c r="J52" s="74"/>
      <c r="K52" s="74"/>
      <c r="L52" s="74"/>
      <c r="M52" s="74"/>
      <c r="N52" s="74"/>
      <c r="O52" s="74"/>
      <c r="P52" s="74"/>
    </row>
    <row r="53" spans="2:16">
      <c r="B53" s="154" t="str">
        <f t="shared" si="8"/>
        <v>50-56G, 100G</v>
      </c>
      <c r="C53" s="151" t="str">
        <f t="shared" si="8"/>
        <v>400G, 2x200G</v>
      </c>
      <c r="D53" s="151" t="str">
        <f t="shared" si="8"/>
        <v>AOC</v>
      </c>
      <c r="E53" s="151" t="str">
        <f t="shared" si="8"/>
        <v>4:1 or 8:1</v>
      </c>
      <c r="F53" s="187" t="str">
        <f t="shared" si="8"/>
        <v>QSFP-DD, OSFP, QSFP112</v>
      </c>
      <c r="G53" s="74"/>
      <c r="H53" s="74"/>
      <c r="I53" s="74"/>
      <c r="J53" s="74"/>
      <c r="K53" s="74"/>
      <c r="L53" s="74"/>
      <c r="M53" s="74"/>
      <c r="N53" s="74"/>
      <c r="O53" s="74"/>
      <c r="P53" s="74"/>
    </row>
    <row r="54" spans="2:16">
      <c r="B54" s="154" t="str">
        <f t="shared" si="8"/>
        <v>100G</v>
      </c>
      <c r="C54" s="151" t="str">
        <f t="shared" si="8"/>
        <v>800G</v>
      </c>
      <c r="D54" s="151" t="str">
        <f t="shared" si="8"/>
        <v>AOC</v>
      </c>
      <c r="E54" s="151">
        <f t="shared" si="8"/>
        <v>8</v>
      </c>
      <c r="F54" s="187" t="str">
        <f t="shared" si="8"/>
        <v xml:space="preserve">QSFP-DD800, OSFP </v>
      </c>
      <c r="G54" s="74"/>
      <c r="H54" s="74"/>
      <c r="I54" s="74"/>
      <c r="J54" s="74"/>
      <c r="K54" s="74"/>
      <c r="L54" s="74"/>
      <c r="M54" s="74"/>
      <c r="N54" s="74"/>
      <c r="O54" s="74"/>
      <c r="P54" s="74"/>
    </row>
    <row r="55" spans="2:16">
      <c r="B55" s="99" t="s">
        <v>13</v>
      </c>
      <c r="C55" s="112" t="s">
        <v>59</v>
      </c>
      <c r="D55" s="112" t="s">
        <v>59</v>
      </c>
      <c r="E55" s="144" t="s">
        <v>59</v>
      </c>
      <c r="F55" s="104" t="s">
        <v>59</v>
      </c>
      <c r="G55" s="123">
        <f t="shared" ref="G55:I55" si="9">IF(G26=0,0,G80*10^6/G26)</f>
        <v>0</v>
      </c>
      <c r="H55" s="124">
        <f t="shared" si="9"/>
        <v>0</v>
      </c>
      <c r="I55" s="124">
        <f t="shared" si="9"/>
        <v>0</v>
      </c>
      <c r="J55" s="124"/>
      <c r="K55" s="124"/>
      <c r="L55" s="124"/>
      <c r="M55" s="124"/>
      <c r="N55" s="124"/>
      <c r="O55" s="124"/>
      <c r="P55" s="124"/>
    </row>
    <row r="57" spans="2:16">
      <c r="B57" s="97" t="str">
        <f>B7</f>
        <v>Lane Speed</v>
      </c>
      <c r="C57" s="98" t="str">
        <f>C7</f>
        <v>Agg. Speed</v>
      </c>
      <c r="D57" s="112" t="str">
        <f>D7</f>
        <v>Type</v>
      </c>
      <c r="E57" s="112" t="str">
        <f>E7</f>
        <v>Lanes</v>
      </c>
      <c r="F57" s="113" t="str">
        <f>F7</f>
        <v>Form Factor</v>
      </c>
      <c r="G57" s="90">
        <v>2016</v>
      </c>
      <c r="H57" s="91">
        <v>2017</v>
      </c>
      <c r="I57" s="91">
        <v>2018</v>
      </c>
      <c r="J57" s="91">
        <v>2019</v>
      </c>
      <c r="K57" s="91">
        <v>2020</v>
      </c>
      <c r="L57" s="91">
        <v>2021</v>
      </c>
      <c r="M57" s="91">
        <v>2022</v>
      </c>
      <c r="N57" s="91">
        <v>2023</v>
      </c>
      <c r="O57" s="91">
        <v>2024</v>
      </c>
      <c r="P57" s="91">
        <v>2025</v>
      </c>
    </row>
    <row r="58" spans="2:16">
      <c r="B58" s="105" t="str">
        <f t="shared" ref="B58:F60" si="10">B29</f>
        <v>All</v>
      </c>
      <c r="C58" s="93" t="str">
        <f t="shared" si="10"/>
        <v>All</v>
      </c>
      <c r="D58" s="93" t="str">
        <f t="shared" si="10"/>
        <v>AOC</v>
      </c>
      <c r="E58" s="93" t="str">
        <f t="shared" si="10"/>
        <v>Single</v>
      </c>
      <c r="F58" s="107" t="str">
        <f t="shared" si="10"/>
        <v>All</v>
      </c>
      <c r="G58" s="179">
        <f t="shared" ref="G58:I58" si="11">IF(G29=0,0,G87*10^6/G29)</f>
        <v>24.825811495409784</v>
      </c>
      <c r="H58" s="179">
        <f t="shared" si="11"/>
        <v>21.653272716531514</v>
      </c>
      <c r="I58" s="179">
        <f t="shared" si="11"/>
        <v>22.514940537711826</v>
      </c>
      <c r="J58" s="179"/>
      <c r="K58" s="179"/>
      <c r="L58" s="179"/>
      <c r="M58" s="179"/>
      <c r="N58" s="179"/>
      <c r="O58" s="179"/>
      <c r="P58" s="179"/>
    </row>
    <row r="59" spans="2:16">
      <c r="B59" s="106" t="str">
        <f t="shared" si="10"/>
        <v>All</v>
      </c>
      <c r="C59" s="89" t="str">
        <f t="shared" si="10"/>
        <v>All</v>
      </c>
      <c r="D59" s="89" t="str">
        <f t="shared" si="10"/>
        <v>AOC</v>
      </c>
      <c r="E59" s="89" t="str">
        <f t="shared" si="10"/>
        <v>Multi-</v>
      </c>
      <c r="F59" s="108" t="str">
        <f t="shared" si="10"/>
        <v>All</v>
      </c>
      <c r="G59" s="153">
        <f t="shared" ref="G59:I59" si="12">IF(G30=0,0,G88*10^6/G30)</f>
        <v>217.83162885822696</v>
      </c>
      <c r="H59" s="153">
        <f t="shared" si="12"/>
        <v>188.08108816551055</v>
      </c>
      <c r="I59" s="153">
        <f t="shared" si="12"/>
        <v>135.44788011095309</v>
      </c>
      <c r="J59" s="153"/>
      <c r="K59" s="153"/>
      <c r="L59" s="153"/>
      <c r="M59" s="153"/>
      <c r="N59" s="153"/>
      <c r="O59" s="153"/>
      <c r="P59" s="153"/>
    </row>
    <row r="60" spans="2:16">
      <c r="B60" s="109" t="str">
        <f t="shared" si="10"/>
        <v>All</v>
      </c>
      <c r="C60" s="85" t="str">
        <f t="shared" si="10"/>
        <v>All</v>
      </c>
      <c r="D60" s="85" t="str">
        <f t="shared" si="10"/>
        <v>XCVR</v>
      </c>
      <c r="E60" s="85" t="str">
        <f t="shared" si="10"/>
        <v>All</v>
      </c>
      <c r="F60" s="155" t="str">
        <f t="shared" si="10"/>
        <v>All</v>
      </c>
      <c r="G60" s="178">
        <f t="shared" ref="G60:I60" si="13">IF(G31=0,0,G89*10^6/G31)</f>
        <v>342.7488586381445</v>
      </c>
      <c r="H60" s="178">
        <f t="shared" si="13"/>
        <v>343.56395738203958</v>
      </c>
      <c r="I60" s="178">
        <f t="shared" si="13"/>
        <v>290.97652822555176</v>
      </c>
      <c r="J60" s="178"/>
      <c r="K60" s="178"/>
      <c r="L60" s="178"/>
      <c r="M60" s="178"/>
      <c r="N60" s="178"/>
      <c r="O60" s="178"/>
      <c r="P60" s="178"/>
    </row>
    <row r="61" spans="2:16">
      <c r="B61" s="99" t="s">
        <v>13</v>
      </c>
      <c r="C61" s="112" t="s">
        <v>59</v>
      </c>
      <c r="D61" s="112" t="s">
        <v>59</v>
      </c>
      <c r="E61" s="144" t="s">
        <v>59</v>
      </c>
      <c r="F61" s="104" t="s">
        <v>59</v>
      </c>
      <c r="G61" s="123">
        <f t="shared" ref="G61:I61" si="14">IF(G32=0,0,G90*10^6/G32)</f>
        <v>91.481097291939321</v>
      </c>
      <c r="H61" s="124">
        <f t="shared" si="14"/>
        <v>51.45658242399643</v>
      </c>
      <c r="I61" s="124">
        <f t="shared" si="14"/>
        <v>38.015458264284078</v>
      </c>
      <c r="J61" s="124"/>
      <c r="K61" s="124"/>
      <c r="L61" s="124"/>
      <c r="M61" s="124"/>
      <c r="N61" s="124"/>
      <c r="O61" s="124"/>
      <c r="P61" s="124"/>
    </row>
    <row r="62" spans="2:16">
      <c r="B62" s="89"/>
      <c r="C62" s="89"/>
      <c r="D62" s="79"/>
      <c r="E62" s="21"/>
      <c r="F62" s="86"/>
      <c r="G62" s="118"/>
      <c r="H62" s="118"/>
      <c r="I62" s="118"/>
      <c r="J62" s="118"/>
      <c r="K62" s="118"/>
      <c r="L62" s="118"/>
      <c r="M62" s="118"/>
      <c r="N62" s="118"/>
      <c r="O62" s="118"/>
      <c r="P62" s="118"/>
    </row>
    <row r="64" spans="2:16" ht="21">
      <c r="B64" s="24" t="s">
        <v>20</v>
      </c>
      <c r="C64" s="24"/>
      <c r="D64" s="13"/>
      <c r="K64" s="13" t="str">
        <f>B64</f>
        <v>Revenues</v>
      </c>
      <c r="L64" s="11" t="s">
        <v>15</v>
      </c>
    </row>
    <row r="65" spans="2:17">
      <c r="B65" s="97" t="str">
        <f>B7</f>
        <v>Lane Speed</v>
      </c>
      <c r="C65" s="98" t="str">
        <f>C7</f>
        <v>Agg. Speed</v>
      </c>
      <c r="D65" s="112" t="str">
        <f>D7</f>
        <v>Type</v>
      </c>
      <c r="E65" s="112" t="str">
        <f>E7</f>
        <v>Lanes</v>
      </c>
      <c r="F65" s="113" t="str">
        <f>F7</f>
        <v>Form Factor</v>
      </c>
      <c r="G65" s="87">
        <v>2016</v>
      </c>
      <c r="H65" s="87">
        <v>2017</v>
      </c>
      <c r="I65" s="87">
        <v>2018</v>
      </c>
      <c r="J65" s="87">
        <v>2019</v>
      </c>
      <c r="K65" s="87">
        <v>2020</v>
      </c>
      <c r="L65" s="87">
        <v>2021</v>
      </c>
      <c r="M65" s="87">
        <v>2022</v>
      </c>
      <c r="N65" s="87">
        <v>2023</v>
      </c>
      <c r="O65" s="87">
        <v>2024</v>
      </c>
      <c r="P65" s="87">
        <v>2025</v>
      </c>
    </row>
    <row r="66" spans="2:17">
      <c r="B66" s="105" t="str">
        <f t="shared" ref="B66:B78" si="15">B8</f>
        <v>≤10G</v>
      </c>
      <c r="C66" s="93" t="str">
        <f t="shared" ref="C66:C83" si="16">C8</f>
        <v>10G</v>
      </c>
      <c r="D66" s="93" t="str">
        <f t="shared" ref="D66:F78" si="17">D8</f>
        <v>AOC</v>
      </c>
      <c r="E66" s="93">
        <f t="shared" si="17"/>
        <v>1</v>
      </c>
      <c r="F66" s="107" t="str">
        <f t="shared" si="17"/>
        <v>SFP+</v>
      </c>
      <c r="G66" s="28">
        <f t="shared" ref="G66:I66" si="18">IF(G8=0,,G8*G37/10^6)</f>
        <v>40.21456932280806</v>
      </c>
      <c r="H66" s="28">
        <f t="shared" si="18"/>
        <v>60.527746000000008</v>
      </c>
      <c r="I66" s="28">
        <f t="shared" si="18"/>
        <v>66.906791699999971</v>
      </c>
      <c r="J66" s="28"/>
      <c r="K66" s="28"/>
      <c r="L66" s="28"/>
      <c r="M66" s="28"/>
      <c r="N66" s="28"/>
      <c r="O66" s="28"/>
      <c r="P66" s="28"/>
    </row>
    <row r="67" spans="2:17">
      <c r="B67" s="106" t="str">
        <f t="shared" si="15"/>
        <v>≤10G</v>
      </c>
      <c r="C67" s="89" t="str">
        <f t="shared" si="16"/>
        <v>40G</v>
      </c>
      <c r="D67" s="89" t="str">
        <f t="shared" si="17"/>
        <v>AOC</v>
      </c>
      <c r="E67" s="89">
        <f t="shared" si="17"/>
        <v>4</v>
      </c>
      <c r="F67" s="108" t="str">
        <f t="shared" si="17"/>
        <v>QSFP+</v>
      </c>
      <c r="G67" s="40">
        <f t="shared" ref="G67:I67" si="19">IF(G9=0,,G9*G38/10^6)</f>
        <v>34.523513699817194</v>
      </c>
      <c r="H67" s="40">
        <f t="shared" si="19"/>
        <v>20.354611999999992</v>
      </c>
      <c r="I67" s="40">
        <f t="shared" si="19"/>
        <v>24.887500560000007</v>
      </c>
      <c r="J67" s="40"/>
      <c r="K67" s="40"/>
      <c r="L67" s="40"/>
      <c r="M67" s="40"/>
      <c r="N67" s="40"/>
      <c r="O67" s="40"/>
      <c r="P67" s="40"/>
    </row>
    <row r="68" spans="2:17">
      <c r="B68" s="106" t="str">
        <f t="shared" si="15"/>
        <v>≤10G</v>
      </c>
      <c r="C68" s="89" t="str">
        <f t="shared" si="16"/>
        <v>40G</v>
      </c>
      <c r="D68" s="89" t="str">
        <f t="shared" si="17"/>
        <v>AOC</v>
      </c>
      <c r="E68" s="89" t="str">
        <f t="shared" si="17"/>
        <v>4:1</v>
      </c>
      <c r="F68" s="108" t="str">
        <f t="shared" si="17"/>
        <v>QSFP+/SFP+</v>
      </c>
      <c r="G68" s="40">
        <f t="shared" ref="G68:I68" si="20">IF(G10=0,,G10*G39/10^6)</f>
        <v>6.7839999999999998</v>
      </c>
      <c r="H68" s="40">
        <f t="shared" si="20"/>
        <v>5.7350000000000003</v>
      </c>
      <c r="I68" s="40">
        <f t="shared" si="20"/>
        <v>8.5222055171435827</v>
      </c>
      <c r="J68" s="40"/>
      <c r="K68" s="40"/>
      <c r="L68" s="40"/>
      <c r="M68" s="40"/>
      <c r="N68" s="40"/>
      <c r="O68" s="40"/>
      <c r="P68" s="40"/>
    </row>
    <row r="69" spans="2:17">
      <c r="B69" s="106" t="str">
        <f t="shared" si="15"/>
        <v>≤12.5G</v>
      </c>
      <c r="C69" s="89" t="str">
        <f t="shared" si="16"/>
        <v>150G</v>
      </c>
      <c r="D69" s="89" t="str">
        <f t="shared" si="17"/>
        <v>AOC</v>
      </c>
      <c r="E69" s="89">
        <f t="shared" si="17"/>
        <v>12</v>
      </c>
      <c r="F69" s="108" t="str">
        <f t="shared" si="17"/>
        <v>CXP</v>
      </c>
      <c r="G69" s="40">
        <f t="shared" ref="G69:I69" si="21">IF(G11=0,,G11*G40/10^6)</f>
        <v>45.894846770607558</v>
      </c>
      <c r="H69" s="40">
        <f t="shared" si="21"/>
        <v>28.678134999999997</v>
      </c>
      <c r="I69" s="40">
        <f t="shared" si="21"/>
        <v>15.246059059999999</v>
      </c>
      <c r="J69" s="40"/>
      <c r="K69" s="40"/>
      <c r="L69" s="40"/>
      <c r="M69" s="40"/>
      <c r="N69" s="40"/>
      <c r="O69" s="40"/>
      <c r="P69" s="40"/>
    </row>
    <row r="70" spans="2:17">
      <c r="B70" s="106" t="str">
        <f t="shared" si="15"/>
        <v>≤12.5G</v>
      </c>
      <c r="C70" s="89" t="str">
        <f t="shared" si="16"/>
        <v>150G</v>
      </c>
      <c r="D70" s="89" t="str">
        <f t="shared" si="17"/>
        <v>XCVR</v>
      </c>
      <c r="E70" s="89">
        <f t="shared" si="17"/>
        <v>12</v>
      </c>
      <c r="F70" s="108" t="str">
        <f t="shared" si="17"/>
        <v>CXP</v>
      </c>
      <c r="G70" s="40">
        <f t="shared" ref="G70:I70" si="22">IF(G12=0,,G12*G41/10^6)</f>
        <v>8.5687214659536135</v>
      </c>
      <c r="H70" s="40">
        <f t="shared" si="22"/>
        <v>5.6430379999999998</v>
      </c>
      <c r="I70" s="40">
        <f t="shared" si="22"/>
        <v>4.0629577000000028</v>
      </c>
      <c r="J70" s="40"/>
      <c r="K70" s="40"/>
      <c r="L70" s="40"/>
      <c r="M70" s="40"/>
      <c r="N70" s="40"/>
      <c r="O70" s="40"/>
      <c r="P70" s="40"/>
    </row>
    <row r="71" spans="2:17">
      <c r="B71" s="154" t="str">
        <f t="shared" si="15"/>
        <v>12-14G</v>
      </c>
      <c r="C71" s="151" t="str">
        <f t="shared" si="16"/>
        <v>56G</v>
      </c>
      <c r="D71" s="151" t="str">
        <f t="shared" si="17"/>
        <v>AOC</v>
      </c>
      <c r="E71" s="151">
        <f t="shared" si="17"/>
        <v>4</v>
      </c>
      <c r="F71" s="187" t="str">
        <f t="shared" si="17"/>
        <v>QSFP+</v>
      </c>
      <c r="G71" s="74">
        <f t="shared" ref="G71:I71" si="23">IF(G13=0,,G13*G42/10^6)</f>
        <v>21.655615000000001</v>
      </c>
      <c r="H71" s="74">
        <f t="shared" si="23"/>
        <v>18.634046272934164</v>
      </c>
      <c r="I71" s="74">
        <f t="shared" si="23"/>
        <v>8.9574757392525584</v>
      </c>
      <c r="J71" s="74"/>
      <c r="K71" s="74"/>
      <c r="L71" s="74"/>
      <c r="M71" s="74"/>
      <c r="N71" s="74"/>
      <c r="O71" s="74"/>
      <c r="P71" s="74"/>
    </row>
    <row r="72" spans="2:17">
      <c r="B72" s="154" t="str">
        <f t="shared" si="15"/>
        <v>12G</v>
      </c>
      <c r="C72" s="151" t="str">
        <f t="shared" si="16"/>
        <v>48G</v>
      </c>
      <c r="D72" s="151" t="str">
        <f t="shared" si="17"/>
        <v>AOC</v>
      </c>
      <c r="E72" s="151">
        <f t="shared" si="17"/>
        <v>4</v>
      </c>
      <c r="F72" s="187" t="str">
        <f t="shared" si="17"/>
        <v>Mini-SAS HD</v>
      </c>
      <c r="G72" s="74">
        <f t="shared" ref="G72:I72" si="24">IF(G14=0,,G14*G43/10^6)</f>
        <v>4.3520000000000003</v>
      </c>
      <c r="H72" s="74">
        <f t="shared" si="24"/>
        <v>4.8556060606060605</v>
      </c>
      <c r="I72" s="74">
        <f t="shared" si="24"/>
        <v>5.5872727272727278</v>
      </c>
      <c r="J72" s="74"/>
      <c r="K72" s="74"/>
      <c r="L72" s="74"/>
      <c r="M72" s="74"/>
      <c r="N72" s="74"/>
      <c r="O72" s="74"/>
      <c r="P72" s="74"/>
    </row>
    <row r="73" spans="2:17">
      <c r="B73" s="154" t="str">
        <f t="shared" si="15"/>
        <v>25-28G</v>
      </c>
      <c r="C73" s="151" t="str">
        <f t="shared" si="16"/>
        <v>25G</v>
      </c>
      <c r="D73" s="151" t="str">
        <f t="shared" si="17"/>
        <v>AOC</v>
      </c>
      <c r="E73" s="151">
        <f t="shared" si="17"/>
        <v>1</v>
      </c>
      <c r="F73" s="187" t="str">
        <f t="shared" si="17"/>
        <v>SFP28</v>
      </c>
      <c r="G73" s="217">
        <f t="shared" ref="G73:I73" si="25">IF(G15=0,,G15*G44/10^6)</f>
        <v>1.1000000000000001</v>
      </c>
      <c r="H73" s="74">
        <f t="shared" si="25"/>
        <v>13.144417999999996</v>
      </c>
      <c r="I73" s="74">
        <f t="shared" si="25"/>
        <v>52.011518000000002</v>
      </c>
      <c r="J73" s="74"/>
      <c r="K73" s="74"/>
      <c r="L73" s="74"/>
      <c r="M73" s="74"/>
      <c r="N73" s="74"/>
      <c r="O73" s="74"/>
      <c r="P73" s="74"/>
    </row>
    <row r="74" spans="2:17">
      <c r="B74" s="106" t="str">
        <f t="shared" si="15"/>
        <v>25-28G, 50G, 100G</v>
      </c>
      <c r="C74" s="89" t="str">
        <f t="shared" si="16"/>
        <v>100G</v>
      </c>
      <c r="D74" s="89" t="str">
        <f t="shared" si="17"/>
        <v>AOC</v>
      </c>
      <c r="E74" s="89" t="str">
        <f t="shared" si="17"/>
        <v>1, 2, or 4</v>
      </c>
      <c r="F74" s="108" t="str">
        <f t="shared" si="17"/>
        <v>QSFP28, SFP-DD, SFP112</v>
      </c>
      <c r="G74" s="40">
        <f t="shared" ref="G74:I74" si="26">IF(G16=0,,G16*G45/10^6)</f>
        <v>67.2</v>
      </c>
      <c r="H74" s="40">
        <f t="shared" si="26"/>
        <v>53.504848000000003</v>
      </c>
      <c r="I74" s="40">
        <f t="shared" si="26"/>
        <v>44.266548524645216</v>
      </c>
      <c r="J74" s="40"/>
      <c r="K74" s="40"/>
      <c r="L74" s="40"/>
      <c r="M74" s="40"/>
      <c r="N74" s="40"/>
      <c r="O74" s="40"/>
      <c r="P74" s="40"/>
    </row>
    <row r="75" spans="2:17">
      <c r="B75" s="106" t="str">
        <f t="shared" si="15"/>
        <v>25-28G</v>
      </c>
      <c r="C75" s="89" t="str">
        <f t="shared" si="16"/>
        <v>100G</v>
      </c>
      <c r="D75" s="89" t="str">
        <f t="shared" si="17"/>
        <v>AOC</v>
      </c>
      <c r="E75" s="89" t="str">
        <f t="shared" si="17"/>
        <v>4:1</v>
      </c>
      <c r="F75" s="108" t="str">
        <f t="shared" si="17"/>
        <v>QSFP28/SFP28</v>
      </c>
      <c r="G75" s="40"/>
      <c r="H75" s="40">
        <f t="shared" ref="H75:I75" si="27">IF(H17=0,,H17*H46/10^6)</f>
        <v>1.2250000000000001</v>
      </c>
      <c r="I75" s="40">
        <f t="shared" si="27"/>
        <v>0.78329000000000004</v>
      </c>
      <c r="J75" s="40"/>
      <c r="K75" s="40"/>
      <c r="L75" s="40"/>
      <c r="M75" s="40"/>
      <c r="N75" s="40"/>
      <c r="O75" s="40"/>
      <c r="P75" s="40"/>
    </row>
    <row r="76" spans="2:17">
      <c r="B76" s="106" t="str">
        <f t="shared" si="15"/>
        <v>24G</v>
      </c>
      <c r="C76" s="89" t="str">
        <f t="shared" si="16"/>
        <v>96G</v>
      </c>
      <c r="D76" s="89" t="str">
        <f t="shared" si="17"/>
        <v>AOC</v>
      </c>
      <c r="E76" s="89">
        <f t="shared" si="17"/>
        <v>4</v>
      </c>
      <c r="F76" s="108" t="str">
        <f t="shared" si="17"/>
        <v>Mini-SAS HD</v>
      </c>
      <c r="G76" s="40"/>
      <c r="H76" s="40">
        <f t="shared" ref="H76:I76" si="28">IF(H18=0,,H18*H47/10^6)</f>
        <v>0</v>
      </c>
      <c r="I76" s="40">
        <f t="shared" si="28"/>
        <v>0</v>
      </c>
      <c r="J76" s="40"/>
      <c r="K76" s="40"/>
      <c r="L76" s="40"/>
      <c r="M76" s="40"/>
      <c r="N76" s="40"/>
      <c r="O76" s="40"/>
      <c r="P76" s="40"/>
    </row>
    <row r="77" spans="2:17">
      <c r="B77" s="106" t="str">
        <f t="shared" si="15"/>
        <v>25-28G</v>
      </c>
      <c r="C77" s="89" t="str">
        <f t="shared" si="16"/>
        <v>300G</v>
      </c>
      <c r="D77" s="89" t="str">
        <f t="shared" si="17"/>
        <v>AOC</v>
      </c>
      <c r="E77" s="89">
        <f t="shared" si="17"/>
        <v>12</v>
      </c>
      <c r="F77" s="108" t="str">
        <f t="shared" si="17"/>
        <v>CXP28</v>
      </c>
      <c r="G77" s="122">
        <f>IF(G19=0,,G19*G48/10^6)</f>
        <v>0</v>
      </c>
      <c r="H77" s="40">
        <f t="shared" ref="H77:I77" si="29">IF(H19=0,,H19*H48/10^6)</f>
        <v>0</v>
      </c>
      <c r="I77" s="40">
        <f t="shared" si="29"/>
        <v>0</v>
      </c>
      <c r="J77" s="40"/>
      <c r="K77" s="40"/>
      <c r="L77" s="40"/>
      <c r="M77" s="40"/>
      <c r="N77" s="40"/>
      <c r="O77" s="40"/>
      <c r="P77" s="40"/>
    </row>
    <row r="78" spans="2:17" ht="15" customHeight="1">
      <c r="B78" s="106" t="str">
        <f t="shared" si="15"/>
        <v>25-28G</v>
      </c>
      <c r="C78" s="89" t="str">
        <f t="shared" si="16"/>
        <v>300G</v>
      </c>
      <c r="D78" s="89" t="str">
        <f t="shared" si="17"/>
        <v>XCVR</v>
      </c>
      <c r="E78" s="89">
        <f t="shared" si="17"/>
        <v>12</v>
      </c>
      <c r="F78" s="108" t="str">
        <f t="shared" si="17"/>
        <v>CXP28</v>
      </c>
      <c r="G78" s="122">
        <f>IF(G20=0,,G20*G49/10^6)</f>
        <v>0</v>
      </c>
      <c r="H78" s="122">
        <f t="shared" ref="H78:I78" si="30">IF(H20=0,,H20*H49/10^6)</f>
        <v>0</v>
      </c>
      <c r="I78" s="40">
        <f t="shared" si="30"/>
        <v>0.54</v>
      </c>
      <c r="J78" s="40"/>
      <c r="K78" s="40"/>
      <c r="L78" s="40"/>
      <c r="M78" s="40"/>
      <c r="N78" s="40"/>
      <c r="O78" s="40"/>
      <c r="P78" s="40"/>
    </row>
    <row r="79" spans="2:17" s="26" customFormat="1">
      <c r="B79" s="154" t="str">
        <f t="shared" ref="B79:B83" si="31">B21</f>
        <v>50-56G</v>
      </c>
      <c r="C79" s="151" t="str">
        <f t="shared" si="16"/>
        <v>50G</v>
      </c>
      <c r="D79" s="151" t="str">
        <f t="shared" ref="D79:F83" si="32">D21</f>
        <v>AOC</v>
      </c>
      <c r="E79" s="151">
        <f t="shared" si="32"/>
        <v>1</v>
      </c>
      <c r="F79" s="187" t="str">
        <f t="shared" si="32"/>
        <v>SFP56</v>
      </c>
      <c r="G79" s="74"/>
      <c r="H79" s="74"/>
      <c r="I79" s="217">
        <f t="shared" ref="I79" si="33">IF(I21=0,,I21*I50/10^6)</f>
        <v>0</v>
      </c>
      <c r="J79" s="74"/>
      <c r="K79" s="74"/>
      <c r="L79" s="74"/>
      <c r="M79" s="74"/>
      <c r="N79" s="74"/>
      <c r="O79" s="74"/>
      <c r="P79" s="74"/>
      <c r="Q79" s="11"/>
    </row>
    <row r="80" spans="2:17" s="26" customFormat="1" ht="15" customHeight="1">
      <c r="B80" s="154" t="str">
        <f t="shared" si="31"/>
        <v>50-56G</v>
      </c>
      <c r="C80" s="151" t="str">
        <f t="shared" si="16"/>
        <v>200G</v>
      </c>
      <c r="D80" s="151" t="str">
        <f t="shared" si="32"/>
        <v>AOC</v>
      </c>
      <c r="E80" s="151">
        <f t="shared" si="32"/>
        <v>4</v>
      </c>
      <c r="F80" s="187" t="str">
        <f t="shared" si="32"/>
        <v>QSFP56</v>
      </c>
      <c r="G80" s="217"/>
      <c r="H80" s="217"/>
      <c r="I80" s="74">
        <f t="shared" ref="I80" si="34">IF(I22=0,,I22*I51/10^6)</f>
        <v>0</v>
      </c>
      <c r="J80" s="74"/>
      <c r="K80" s="74"/>
      <c r="L80" s="74"/>
      <c r="M80" s="74"/>
      <c r="N80" s="74"/>
      <c r="O80" s="74"/>
      <c r="P80" s="74"/>
      <c r="Q80" s="11"/>
    </row>
    <row r="81" spans="2:16">
      <c r="B81" s="106" t="str">
        <f t="shared" si="31"/>
        <v>50-56G, 100G</v>
      </c>
      <c r="C81" s="89" t="str">
        <f t="shared" si="16"/>
        <v>400G, 2x200G</v>
      </c>
      <c r="D81" s="89" t="str">
        <f t="shared" si="32"/>
        <v>AOC</v>
      </c>
      <c r="E81" s="89" t="str">
        <f t="shared" si="32"/>
        <v>4 or 8</v>
      </c>
      <c r="F81" s="108" t="str">
        <f t="shared" si="32"/>
        <v>QSFP-DD, OSFP, QSFP112</v>
      </c>
      <c r="G81" s="122">
        <f>IF(G23=0,,G23*G52/10^6)</f>
        <v>0</v>
      </c>
      <c r="H81" s="40">
        <f>IF(H23=0,,H23*H52/10^6)</f>
        <v>0</v>
      </c>
      <c r="I81" s="40">
        <f t="shared" ref="I81" si="35">IF(I23=0,,I23*I52/10^6)</f>
        <v>0</v>
      </c>
      <c r="J81" s="40"/>
      <c r="K81" s="40"/>
      <c r="L81" s="40"/>
      <c r="M81" s="40"/>
      <c r="N81" s="40"/>
      <c r="O81" s="40"/>
      <c r="P81" s="40"/>
    </row>
    <row r="82" spans="2:16" ht="15" customHeight="1">
      <c r="B82" s="106" t="str">
        <f t="shared" si="31"/>
        <v>50-56G, 100G</v>
      </c>
      <c r="C82" s="89" t="str">
        <f t="shared" si="16"/>
        <v>400G, 2x200G</v>
      </c>
      <c r="D82" s="89" t="str">
        <f t="shared" si="32"/>
        <v>AOC</v>
      </c>
      <c r="E82" s="89" t="str">
        <f t="shared" si="32"/>
        <v>4:1 or 8:1</v>
      </c>
      <c r="F82" s="108" t="str">
        <f t="shared" si="32"/>
        <v>QSFP-DD, OSFP, QSFP112</v>
      </c>
      <c r="G82" s="122">
        <f>IF(G24=0,,G24*G53/10^6)</f>
        <v>0</v>
      </c>
      <c r="H82" s="122">
        <f>IF(H24=0,,H24*H53/10^6)</f>
        <v>0</v>
      </c>
      <c r="I82" s="40">
        <f t="shared" ref="I82" si="36">IF(I24=0,,I24*I53/10^6)</f>
        <v>0</v>
      </c>
      <c r="J82" s="40"/>
      <c r="K82" s="40"/>
      <c r="L82" s="40"/>
      <c r="M82" s="40"/>
      <c r="N82" s="40"/>
      <c r="O82" s="40"/>
      <c r="P82" s="40"/>
    </row>
    <row r="83" spans="2:16">
      <c r="B83" s="109" t="str">
        <f t="shared" si="31"/>
        <v>100G</v>
      </c>
      <c r="C83" s="85" t="str">
        <f t="shared" si="16"/>
        <v>800G</v>
      </c>
      <c r="D83" s="85" t="str">
        <f t="shared" si="32"/>
        <v>AOC</v>
      </c>
      <c r="E83" s="85">
        <f t="shared" si="32"/>
        <v>8</v>
      </c>
      <c r="F83" s="155" t="str">
        <f t="shared" si="32"/>
        <v xml:space="preserve">QSFP-DD800, OSFP </v>
      </c>
      <c r="G83" s="111"/>
      <c r="H83" s="111"/>
      <c r="I83" s="111">
        <f t="shared" ref="I83" si="37">IF(I25=0,,I25*I54/10^6)</f>
        <v>0</v>
      </c>
      <c r="J83" s="111"/>
      <c r="K83" s="111"/>
      <c r="L83" s="111"/>
      <c r="M83" s="111"/>
      <c r="N83" s="111"/>
      <c r="O83" s="111"/>
      <c r="P83" s="111"/>
    </row>
    <row r="84" spans="2:16">
      <c r="B84" s="161" t="s">
        <v>118</v>
      </c>
      <c r="C84" s="162"/>
      <c r="D84" s="162"/>
      <c r="E84" s="162"/>
      <c r="F84" s="162"/>
      <c r="G84" s="124">
        <f t="shared" ref="G84:I84" si="38">SUM(G66:G83)</f>
        <v>230.29326625918645</v>
      </c>
      <c r="H84" s="124">
        <f t="shared" si="38"/>
        <v>212.30244933354021</v>
      </c>
      <c r="I84" s="124">
        <f t="shared" si="38"/>
        <v>231.77161952831403</v>
      </c>
      <c r="J84" s="124"/>
      <c r="K84" s="124"/>
      <c r="L84" s="124"/>
      <c r="M84" s="124"/>
      <c r="N84" s="124"/>
      <c r="O84" s="124"/>
      <c r="P84" s="124"/>
    </row>
    <row r="85" spans="2:16">
      <c r="B85" s="89"/>
      <c r="C85" s="89"/>
      <c r="D85" s="89"/>
    </row>
    <row r="86" spans="2:16" ht="18.75" customHeight="1">
      <c r="B86" s="97" t="str">
        <f>B7</f>
        <v>Lane Speed</v>
      </c>
      <c r="C86" s="98" t="str">
        <f>C7</f>
        <v>Agg. Speed</v>
      </c>
      <c r="D86" s="112" t="str">
        <f>D7</f>
        <v>Type</v>
      </c>
      <c r="E86" s="112" t="str">
        <f>E7</f>
        <v>Lanes</v>
      </c>
      <c r="F86" s="113" t="str">
        <f>F7</f>
        <v>Form Factor</v>
      </c>
      <c r="G86" s="90">
        <v>2016</v>
      </c>
      <c r="H86" s="91">
        <v>2017</v>
      </c>
      <c r="I86" s="91">
        <v>2018</v>
      </c>
      <c r="J86" s="91">
        <v>2019</v>
      </c>
      <c r="K86" s="91">
        <v>2020</v>
      </c>
      <c r="L86" s="91">
        <v>2021</v>
      </c>
      <c r="M86" s="91">
        <v>2022</v>
      </c>
      <c r="N86" s="91">
        <v>2023</v>
      </c>
      <c r="O86" s="91">
        <v>2024</v>
      </c>
      <c r="P86" s="91">
        <v>2025</v>
      </c>
    </row>
    <row r="87" spans="2:16">
      <c r="B87" s="105" t="str">
        <f t="shared" ref="B87:F89" si="39">B29</f>
        <v>All</v>
      </c>
      <c r="C87" s="93" t="str">
        <f t="shared" si="39"/>
        <v>All</v>
      </c>
      <c r="D87" s="93" t="str">
        <f t="shared" si="39"/>
        <v>AOC</v>
      </c>
      <c r="E87" s="93" t="str">
        <f t="shared" si="39"/>
        <v>Single</v>
      </c>
      <c r="F87" s="107" t="str">
        <f t="shared" si="39"/>
        <v>All</v>
      </c>
      <c r="G87" s="114">
        <f>G66+G73+G79</f>
        <v>41.314569322808062</v>
      </c>
      <c r="H87" s="114">
        <f t="shared" ref="H87:I87" si="40">H66+H73+H79</f>
        <v>73.672164000000009</v>
      </c>
      <c r="I87" s="114">
        <f t="shared" si="40"/>
        <v>118.91830969999998</v>
      </c>
      <c r="J87" s="114"/>
      <c r="K87" s="114"/>
      <c r="L87" s="114"/>
      <c r="M87" s="114"/>
      <c r="N87" s="114"/>
      <c r="O87" s="114"/>
      <c r="P87" s="114"/>
    </row>
    <row r="88" spans="2:16">
      <c r="B88" s="106" t="str">
        <f t="shared" si="39"/>
        <v>All</v>
      </c>
      <c r="C88" s="89" t="str">
        <f t="shared" si="39"/>
        <v>All</v>
      </c>
      <c r="D88" s="89" t="str">
        <f t="shared" si="39"/>
        <v>AOC</v>
      </c>
      <c r="E88" s="89" t="str">
        <f t="shared" si="39"/>
        <v>Multi-</v>
      </c>
      <c r="F88" s="108" t="str">
        <f t="shared" si="39"/>
        <v>All</v>
      </c>
      <c r="G88" s="118">
        <f>G84-G87-G89</f>
        <v>180.40997547042477</v>
      </c>
      <c r="H88" s="118">
        <f t="shared" ref="H88:I88" si="41">H84-H87-H89</f>
        <v>132.98724733354021</v>
      </c>
      <c r="I88" s="118">
        <f t="shared" si="41"/>
        <v>108.25035212831405</v>
      </c>
      <c r="J88" s="118"/>
      <c r="K88" s="118"/>
      <c r="L88" s="118"/>
      <c r="M88" s="118"/>
      <c r="N88" s="118"/>
      <c r="O88" s="118"/>
      <c r="P88" s="118"/>
    </row>
    <row r="89" spans="2:16">
      <c r="B89" s="106" t="str">
        <f t="shared" si="39"/>
        <v>All</v>
      </c>
      <c r="C89" s="89" t="str">
        <f t="shared" si="39"/>
        <v>All</v>
      </c>
      <c r="D89" s="89" t="str">
        <f t="shared" si="39"/>
        <v>XCVR</v>
      </c>
      <c r="E89" s="89" t="str">
        <f t="shared" si="39"/>
        <v>All</v>
      </c>
      <c r="F89" s="155" t="str">
        <f t="shared" si="39"/>
        <v>All</v>
      </c>
      <c r="G89" s="118">
        <f>G78+G70</f>
        <v>8.5687214659536135</v>
      </c>
      <c r="H89" s="118">
        <f t="shared" ref="H89:I89" si="42">H78+H70</f>
        <v>5.6430379999999998</v>
      </c>
      <c r="I89" s="118">
        <f t="shared" si="42"/>
        <v>4.6029577000000028</v>
      </c>
      <c r="J89" s="118"/>
      <c r="K89" s="118"/>
      <c r="L89" s="118"/>
      <c r="M89" s="118"/>
      <c r="N89" s="118"/>
      <c r="O89" s="118"/>
      <c r="P89" s="118"/>
    </row>
    <row r="90" spans="2:16">
      <c r="B90" s="99" t="s">
        <v>13</v>
      </c>
      <c r="C90" s="112" t="s">
        <v>59</v>
      </c>
      <c r="D90" s="112" t="s">
        <v>59</v>
      </c>
      <c r="E90" s="144" t="s">
        <v>59</v>
      </c>
      <c r="F90" s="144" t="s">
        <v>59</v>
      </c>
      <c r="G90" s="123">
        <f>SUM(G87:G89)</f>
        <v>230.29326625918645</v>
      </c>
      <c r="H90" s="124">
        <f t="shared" ref="H90:I90" si="43">SUM(H87:H89)</f>
        <v>212.30244933354021</v>
      </c>
      <c r="I90" s="124">
        <f t="shared" si="43"/>
        <v>231.77161952831403</v>
      </c>
      <c r="J90" s="124"/>
      <c r="K90" s="124"/>
      <c r="L90" s="124"/>
      <c r="M90" s="124"/>
      <c r="N90" s="124"/>
      <c r="O90" s="124"/>
      <c r="P90" s="124"/>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sheetPr>
  <dimension ref="B2:U23"/>
  <sheetViews>
    <sheetView showGridLines="0" zoomScale="80" zoomScaleNormal="80" zoomScalePageLayoutView="80" workbookViewId="0">
      <selection activeCell="J21" sqref="J21:P22"/>
    </sheetView>
  </sheetViews>
  <sheetFormatPr baseColWidth="10" defaultColWidth="8.83203125" defaultRowHeight="14"/>
  <cols>
    <col min="1" max="1" width="4.5" style="11" customWidth="1"/>
    <col min="2" max="3" width="10.83203125" style="11" customWidth="1"/>
    <col min="4" max="5" width="8.83203125" style="11"/>
    <col min="6" max="6" width="11.5" style="11" customWidth="1"/>
    <col min="7" max="8" width="12" style="11" bestFit="1" customWidth="1"/>
    <col min="9" max="16" width="12" style="11" customWidth="1"/>
    <col min="17" max="17" width="6.1640625" style="11" customWidth="1"/>
    <col min="18" max="18" width="25.33203125" style="11" customWidth="1"/>
    <col min="19" max="19" width="9.1640625" style="11" bestFit="1" customWidth="1"/>
    <col min="20" max="23" width="8.83203125" style="11"/>
    <col min="24" max="31" width="10.5" style="11" customWidth="1"/>
    <col min="32" max="16384" width="8.83203125" style="11"/>
  </cols>
  <sheetData>
    <row r="2" spans="2:21" ht="24">
      <c r="B2" s="5" t="str">
        <f>Introduction!B2</f>
        <v>LightCounting High-Speed Cables Forecast</v>
      </c>
      <c r="C2" s="5"/>
      <c r="Q2" s="15" t="s">
        <v>16</v>
      </c>
      <c r="T2" s="19"/>
      <c r="U2" s="19"/>
    </row>
    <row r="3" spans="2:21" ht="16">
      <c r="B3" s="215" t="str">
        <f>Introduction!B3</f>
        <v>Sample template for illustrative purposes only (December 2020)</v>
      </c>
      <c r="C3" s="215"/>
      <c r="P3" s="17"/>
    </row>
    <row r="4" spans="2:21">
      <c r="P4" s="18"/>
    </row>
    <row r="5" spans="2:21" ht="18">
      <c r="B5" s="5" t="s">
        <v>209</v>
      </c>
      <c r="C5" s="5"/>
      <c r="P5" s="18"/>
    </row>
    <row r="6" spans="2:21" ht="21">
      <c r="B6" s="23" t="s">
        <v>22</v>
      </c>
      <c r="C6" s="23"/>
      <c r="H6" s="22" t="s">
        <v>21</v>
      </c>
    </row>
    <row r="7" spans="2:21">
      <c r="B7" s="97" t="str">
        <f>'AOC forecast'!B7</f>
        <v>Lane Speed</v>
      </c>
      <c r="C7" s="98" t="str">
        <f>'AOC forecast'!C7</f>
        <v>Agg. Speed</v>
      </c>
      <c r="D7" s="112" t="str">
        <f>'AOC forecast'!D7</f>
        <v>Type</v>
      </c>
      <c r="E7" s="112" t="str">
        <f>'AOC forecast'!E7</f>
        <v>Lanes</v>
      </c>
      <c r="F7" s="113" t="str">
        <f>'AOC forecast'!F7</f>
        <v>Form Factor</v>
      </c>
      <c r="G7" s="87">
        <v>2016</v>
      </c>
      <c r="H7" s="87">
        <v>2017</v>
      </c>
      <c r="I7" s="87">
        <v>2018</v>
      </c>
      <c r="J7" s="87">
        <v>2019</v>
      </c>
      <c r="K7" s="87">
        <v>2020</v>
      </c>
      <c r="L7" s="87">
        <v>2021</v>
      </c>
      <c r="M7" s="87">
        <v>2022</v>
      </c>
      <c r="N7" s="87">
        <v>2023</v>
      </c>
      <c r="O7" s="87">
        <v>2024</v>
      </c>
      <c r="P7" s="87">
        <v>2025</v>
      </c>
      <c r="R7" s="169" t="s">
        <v>108</v>
      </c>
    </row>
    <row r="8" spans="2:21">
      <c r="B8" s="154" t="str">
        <f>Segmentation!B32</f>
        <v>25-28G</v>
      </c>
      <c r="C8" s="151" t="str">
        <f>Segmentation!C32</f>
        <v>100G-600G</v>
      </c>
      <c r="D8" s="151" t="str">
        <f>Segmentation!D32</f>
        <v>EOM</v>
      </c>
      <c r="E8" s="151" t="str">
        <f>Segmentation!E32</f>
        <v>4,8,12,16,24</v>
      </c>
      <c r="F8" s="187" t="str">
        <f>Segmentation!F32</f>
        <v>XCVR</v>
      </c>
      <c r="G8" s="46">
        <f>'Combined forecast'!G20</f>
        <v>53000</v>
      </c>
      <c r="H8" s="46">
        <f>'Combined forecast'!H20</f>
        <v>118091</v>
      </c>
      <c r="I8" s="46">
        <f>'Combined forecast'!I20</f>
        <v>166270</v>
      </c>
      <c r="J8" s="46"/>
      <c r="K8" s="46"/>
      <c r="L8" s="46"/>
      <c r="M8" s="46"/>
      <c r="N8" s="46"/>
      <c r="O8" s="46"/>
      <c r="P8" s="46"/>
      <c r="R8" s="101" t="str">
        <f>D8&amp;" "&amp;E8&amp;"x"&amp;B8&amp;" "&amp;" "&amp;F8</f>
        <v>EOM 4,8,12,16,24x25-28G  XCVR</v>
      </c>
    </row>
    <row r="9" spans="2:21" ht="13.5" customHeight="1">
      <c r="B9" s="154" t="str">
        <f>Segmentation!B36</f>
        <v>50-56G</v>
      </c>
      <c r="C9" s="151" t="str">
        <f>Segmentation!C36</f>
        <v>200G - 1.3T</v>
      </c>
      <c r="D9" s="151" t="str">
        <f>Segmentation!D36</f>
        <v>EOM</v>
      </c>
      <c r="E9" s="151" t="str">
        <f>Segmentation!E36</f>
        <v>8,12,16,24</v>
      </c>
      <c r="F9" s="187" t="str">
        <f>Segmentation!F36</f>
        <v>TBD</v>
      </c>
      <c r="G9" s="46"/>
      <c r="H9" s="46"/>
      <c r="I9" s="46"/>
      <c r="J9" s="46"/>
      <c r="K9" s="46"/>
      <c r="L9" s="46"/>
      <c r="M9" s="46"/>
      <c r="N9" s="46"/>
      <c r="O9" s="46"/>
      <c r="P9" s="46"/>
      <c r="Q9" s="26"/>
      <c r="R9" s="102" t="str">
        <f>D9&amp;" "&amp;E9&amp;"x"&amp;B9&amp;" "&amp;" "&amp;F9</f>
        <v>EOM 8,12,16,24x50-56G  TBD</v>
      </c>
      <c r="S9" s="18"/>
      <c r="T9" s="149"/>
    </row>
    <row r="10" spans="2:21">
      <c r="B10" s="99" t="s">
        <v>13</v>
      </c>
      <c r="C10" s="112" t="s">
        <v>59</v>
      </c>
      <c r="D10" s="112" t="s">
        <v>59</v>
      </c>
      <c r="E10" s="144" t="s">
        <v>59</v>
      </c>
      <c r="F10" s="104" t="s">
        <v>59</v>
      </c>
      <c r="G10" s="96">
        <f t="shared" ref="G10:P10" si="0">SUM(G8:G9)</f>
        <v>53000</v>
      </c>
      <c r="H10" s="96">
        <f t="shared" si="0"/>
        <v>118091</v>
      </c>
      <c r="I10" s="96">
        <f t="shared" si="0"/>
        <v>166270</v>
      </c>
      <c r="J10" s="96">
        <f t="shared" si="0"/>
        <v>0</v>
      </c>
      <c r="K10" s="96">
        <f t="shared" si="0"/>
        <v>0</v>
      </c>
      <c r="L10" s="96">
        <f t="shared" si="0"/>
        <v>0</v>
      </c>
      <c r="M10" s="96">
        <f t="shared" si="0"/>
        <v>0</v>
      </c>
      <c r="N10" s="96">
        <f t="shared" si="0"/>
        <v>0</v>
      </c>
      <c r="O10" s="96">
        <f t="shared" si="0"/>
        <v>0</v>
      </c>
      <c r="P10" s="96">
        <f t="shared" si="0"/>
        <v>0</v>
      </c>
    </row>
    <row r="12" spans="2:21" customFormat="1" ht="13"/>
    <row r="13" spans="2:21" customFormat="1" ht="13"/>
    <row r="14" spans="2:21">
      <c r="B14" s="171" t="str">
        <f t="shared" ref="B14:F16" si="1">B7</f>
        <v>Lane Speed</v>
      </c>
      <c r="C14" s="223" t="str">
        <f t="shared" si="1"/>
        <v>Agg. Speed</v>
      </c>
      <c r="D14" s="172" t="str">
        <f t="shared" si="1"/>
        <v>Type</v>
      </c>
      <c r="E14" s="172" t="str">
        <f t="shared" si="1"/>
        <v>Lanes</v>
      </c>
      <c r="F14" s="197" t="str">
        <f t="shared" si="1"/>
        <v>Form Factor</v>
      </c>
      <c r="G14" s="30">
        <v>2016</v>
      </c>
      <c r="H14" s="30">
        <v>2017</v>
      </c>
      <c r="I14" s="30">
        <v>2018</v>
      </c>
      <c r="J14" s="30">
        <v>2019</v>
      </c>
      <c r="K14" s="30">
        <v>2020</v>
      </c>
      <c r="L14" s="30">
        <v>2021</v>
      </c>
      <c r="M14" s="30">
        <v>2022</v>
      </c>
      <c r="N14" s="30">
        <v>2023</v>
      </c>
      <c r="O14" s="30">
        <v>2024</v>
      </c>
      <c r="P14" s="30">
        <v>2025</v>
      </c>
    </row>
    <row r="15" spans="2:21" ht="15" customHeight="1">
      <c r="B15" s="154" t="str">
        <f t="shared" si="1"/>
        <v>25-28G</v>
      </c>
      <c r="C15" s="151" t="str">
        <f t="shared" si="1"/>
        <v>100G-600G</v>
      </c>
      <c r="D15" s="151" t="str">
        <f t="shared" si="1"/>
        <v>EOM</v>
      </c>
      <c r="E15" s="151" t="str">
        <f t="shared" si="1"/>
        <v>4,8,12,16,24</v>
      </c>
      <c r="F15" s="187" t="str">
        <f t="shared" si="1"/>
        <v>XCVR</v>
      </c>
      <c r="G15" s="74">
        <f>'Combined forecast'!G60</f>
        <v>458.28301165637117</v>
      </c>
      <c r="H15" s="74">
        <f>'Combined forecast'!H60</f>
        <v>419</v>
      </c>
      <c r="I15" s="74">
        <f>'Combined forecast'!I60</f>
        <v>377</v>
      </c>
      <c r="J15" s="74"/>
      <c r="K15" s="74"/>
      <c r="L15" s="74"/>
      <c r="M15" s="74"/>
      <c r="N15" s="74"/>
      <c r="O15" s="74"/>
      <c r="P15" s="74"/>
    </row>
    <row r="16" spans="2:21">
      <c r="B16" s="173" t="str">
        <f t="shared" si="1"/>
        <v>50-56G</v>
      </c>
      <c r="C16" s="174" t="str">
        <f t="shared" si="1"/>
        <v>200G - 1.3T</v>
      </c>
      <c r="D16" s="174" t="str">
        <f t="shared" si="1"/>
        <v>EOM</v>
      </c>
      <c r="E16" s="174" t="str">
        <f t="shared" si="1"/>
        <v>8,12,16,24</v>
      </c>
      <c r="F16" s="188" t="str">
        <f t="shared" si="1"/>
        <v>TBD</v>
      </c>
      <c r="G16" s="75"/>
      <c r="H16" s="75"/>
      <c r="I16" s="75"/>
      <c r="J16" s="75"/>
      <c r="K16" s="75"/>
      <c r="L16" s="75"/>
      <c r="M16" s="75"/>
      <c r="N16" s="75"/>
      <c r="O16" s="75"/>
      <c r="P16" s="75"/>
    </row>
    <row r="17" spans="2:16">
      <c r="B17" s="151"/>
      <c r="C17" s="151"/>
      <c r="D17" s="151"/>
      <c r="E17" s="151"/>
      <c r="F17" s="151"/>
      <c r="G17" s="46"/>
      <c r="H17" s="324"/>
      <c r="I17" s="324"/>
      <c r="J17" s="324"/>
      <c r="K17" s="324"/>
      <c r="L17" s="324"/>
      <c r="M17" s="324"/>
      <c r="N17" s="324"/>
      <c r="O17" s="324"/>
      <c r="P17" s="324"/>
    </row>
    <row r="19" spans="2:16" ht="21">
      <c r="B19" s="24" t="s">
        <v>20</v>
      </c>
      <c r="C19" s="24"/>
      <c r="D19" s="13"/>
      <c r="H19" s="11" t="s">
        <v>15</v>
      </c>
    </row>
    <row r="20" spans="2:16">
      <c r="B20" s="97" t="str">
        <f t="shared" ref="B20:F22" si="2">B7</f>
        <v>Lane Speed</v>
      </c>
      <c r="C20" s="112" t="str">
        <f t="shared" si="2"/>
        <v>Agg. Speed</v>
      </c>
      <c r="D20" s="112" t="str">
        <f t="shared" si="2"/>
        <v>Type</v>
      </c>
      <c r="E20" s="112" t="str">
        <f t="shared" si="2"/>
        <v>Lanes</v>
      </c>
      <c r="F20" s="113" t="str">
        <f t="shared" si="2"/>
        <v>Form Factor</v>
      </c>
      <c r="G20" s="87">
        <v>2016</v>
      </c>
      <c r="H20" s="87">
        <v>2017</v>
      </c>
      <c r="I20" s="87">
        <v>2018</v>
      </c>
      <c r="J20" s="87">
        <v>2019</v>
      </c>
      <c r="K20" s="87">
        <v>2020</v>
      </c>
      <c r="L20" s="87">
        <v>2021</v>
      </c>
      <c r="M20" s="87">
        <v>2022</v>
      </c>
      <c r="N20" s="87">
        <v>2023</v>
      </c>
      <c r="O20" s="87">
        <v>2024</v>
      </c>
      <c r="P20" s="87">
        <v>2025</v>
      </c>
    </row>
    <row r="21" spans="2:16">
      <c r="B21" s="150" t="str">
        <f t="shared" si="2"/>
        <v>25-28G</v>
      </c>
      <c r="C21" s="148" t="str">
        <f t="shared" si="2"/>
        <v>100G-600G</v>
      </c>
      <c r="D21" s="148" t="str">
        <f t="shared" si="2"/>
        <v>EOM</v>
      </c>
      <c r="E21" s="89" t="str">
        <f t="shared" si="2"/>
        <v>4,8,12,16,24</v>
      </c>
      <c r="F21" s="196" t="str">
        <f t="shared" si="2"/>
        <v>XCVR</v>
      </c>
      <c r="G21" s="40">
        <f t="shared" ref="G21:I21" si="3">IF(G8=0,,G8*G15/10^6)</f>
        <v>24.28899961778767</v>
      </c>
      <c r="H21" s="40">
        <f t="shared" si="3"/>
        <v>49.480128999999998</v>
      </c>
      <c r="I21" s="40">
        <f t="shared" si="3"/>
        <v>62.683790000000002</v>
      </c>
      <c r="J21" s="40"/>
      <c r="K21" s="40"/>
      <c r="L21" s="40"/>
      <c r="M21" s="40"/>
      <c r="N21" s="40"/>
      <c r="O21" s="40"/>
      <c r="P21" s="40"/>
    </row>
    <row r="22" spans="2:16" ht="15" customHeight="1">
      <c r="B22" s="154" t="str">
        <f t="shared" si="2"/>
        <v>50-56G</v>
      </c>
      <c r="C22" s="151" t="str">
        <f t="shared" si="2"/>
        <v>200G - 1.3T</v>
      </c>
      <c r="D22" s="151" t="str">
        <f t="shared" si="2"/>
        <v>EOM</v>
      </c>
      <c r="E22" s="151" t="str">
        <f t="shared" si="2"/>
        <v>8,12,16,24</v>
      </c>
      <c r="F22" s="187" t="str">
        <f t="shared" si="2"/>
        <v>TBD</v>
      </c>
      <c r="G22" s="74"/>
      <c r="H22" s="74"/>
      <c r="I22" s="74"/>
      <c r="J22" s="74"/>
      <c r="K22" s="74"/>
      <c r="L22" s="74"/>
      <c r="M22" s="74"/>
      <c r="N22" s="74"/>
      <c r="O22" s="74"/>
      <c r="P22" s="74"/>
    </row>
    <row r="23" spans="2:16">
      <c r="B23" s="99" t="s">
        <v>13</v>
      </c>
      <c r="C23" s="112" t="s">
        <v>59</v>
      </c>
      <c r="D23" s="112" t="s">
        <v>59</v>
      </c>
      <c r="E23" s="144" t="s">
        <v>59</v>
      </c>
      <c r="F23" s="104" t="s">
        <v>59</v>
      </c>
      <c r="G23" s="124">
        <f t="shared" ref="G23:P23" si="4">SUM(G21:G22)</f>
        <v>24.28899961778767</v>
      </c>
      <c r="H23" s="124">
        <f t="shared" si="4"/>
        <v>49.480128999999998</v>
      </c>
      <c r="I23" s="124">
        <f t="shared" si="4"/>
        <v>62.683790000000002</v>
      </c>
      <c r="J23" s="124">
        <f t="shared" si="4"/>
        <v>0</v>
      </c>
      <c r="K23" s="124">
        <f t="shared" si="4"/>
        <v>0</v>
      </c>
      <c r="L23" s="124">
        <f t="shared" si="4"/>
        <v>0</v>
      </c>
      <c r="M23" s="124">
        <f t="shared" si="4"/>
        <v>0</v>
      </c>
      <c r="N23" s="124">
        <f t="shared" si="4"/>
        <v>0</v>
      </c>
      <c r="O23" s="124">
        <f t="shared" si="4"/>
        <v>0</v>
      </c>
      <c r="P23" s="124">
        <f t="shared" si="4"/>
        <v>0</v>
      </c>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sheetPr>
  <dimension ref="B2:O65"/>
  <sheetViews>
    <sheetView showGridLines="0" zoomScale="80" zoomScaleNormal="80" zoomScalePageLayoutView="80" workbookViewId="0">
      <selection activeCell="H56" sqref="H56:J65"/>
    </sheetView>
  </sheetViews>
  <sheetFormatPr baseColWidth="10" defaultColWidth="8.83203125" defaultRowHeight="14"/>
  <cols>
    <col min="1" max="1" width="4.5" style="72" customWidth="1"/>
    <col min="2" max="2" width="17.6640625" style="72" customWidth="1"/>
    <col min="3" max="5" width="9" style="72" bestFit="1" customWidth="1"/>
    <col min="6" max="10" width="10.5" style="72" customWidth="1"/>
    <col min="11" max="11" width="8.1640625" style="72" customWidth="1"/>
    <col min="12" max="12" width="8.83203125" style="72"/>
    <col min="13" max="13" width="2.5" style="72" customWidth="1"/>
    <col min="14" max="14" width="13.5" style="72" customWidth="1"/>
    <col min="15" max="15" width="10.1640625" style="72" bestFit="1" customWidth="1"/>
    <col min="16" max="16384" width="8.83203125" style="72"/>
  </cols>
  <sheetData>
    <row r="2" spans="2:15" ht="24">
      <c r="B2" s="5" t="str">
        <f>Introduction!B2</f>
        <v>LightCounting High-Speed Cables Forecast</v>
      </c>
      <c r="N2" s="19"/>
      <c r="O2" s="19"/>
    </row>
    <row r="3" spans="2:15" ht="16">
      <c r="B3" s="215" t="str">
        <f>Introduction!B3</f>
        <v>Sample template for illustrative purposes only (December 2020)</v>
      </c>
    </row>
    <row r="5" spans="2:15" ht="18">
      <c r="B5" s="5" t="s">
        <v>285</v>
      </c>
    </row>
    <row r="6" spans="2:15" ht="21">
      <c r="B6" s="23" t="s">
        <v>22</v>
      </c>
    </row>
    <row r="7" spans="2:15">
      <c r="B7" s="259" t="s">
        <v>286</v>
      </c>
      <c r="C7" s="97">
        <v>2018</v>
      </c>
      <c r="D7" s="98">
        <v>2019</v>
      </c>
      <c r="E7" s="98">
        <v>2020</v>
      </c>
      <c r="F7" s="98">
        <v>2021</v>
      </c>
      <c r="G7" s="98">
        <v>2022</v>
      </c>
      <c r="H7" s="98">
        <v>2023</v>
      </c>
      <c r="I7" s="98">
        <v>2024</v>
      </c>
      <c r="J7" s="98">
        <v>2025</v>
      </c>
    </row>
    <row r="8" spans="2:15">
      <c r="B8" s="334" t="s">
        <v>157</v>
      </c>
      <c r="C8" s="263"/>
      <c r="D8" s="264"/>
      <c r="E8" s="264"/>
      <c r="F8" s="264"/>
      <c r="G8" s="256">
        <v>20000</v>
      </c>
      <c r="H8" s="256"/>
      <c r="I8" s="256"/>
      <c r="J8" s="256"/>
    </row>
    <row r="9" spans="2:15">
      <c r="B9" s="335" t="s">
        <v>158</v>
      </c>
      <c r="C9" s="265"/>
      <c r="D9" s="266"/>
      <c r="E9" s="266"/>
      <c r="F9" s="266"/>
      <c r="G9" s="266">
        <v>10000</v>
      </c>
      <c r="H9" s="266"/>
      <c r="I9" s="266"/>
      <c r="J9" s="266"/>
    </row>
    <row r="10" spans="2:15">
      <c r="B10" s="334" t="s">
        <v>159</v>
      </c>
      <c r="C10" s="263"/>
      <c r="D10" s="264"/>
      <c r="E10" s="264"/>
      <c r="F10" s="264"/>
      <c r="G10" s="264"/>
      <c r="H10" s="256"/>
      <c r="I10" s="256"/>
      <c r="J10" s="256"/>
      <c r="K10" s="170"/>
    </row>
    <row r="11" spans="2:15">
      <c r="B11" s="335" t="s">
        <v>160</v>
      </c>
      <c r="C11" s="262"/>
      <c r="D11" s="256"/>
      <c r="E11" s="256"/>
      <c r="F11" s="256"/>
      <c r="G11" s="256"/>
      <c r="H11" s="256"/>
      <c r="I11" s="256"/>
      <c r="J11" s="256"/>
      <c r="K11" s="170"/>
    </row>
    <row r="12" spans="2:15">
      <c r="B12" s="244" t="s">
        <v>284</v>
      </c>
      <c r="C12" s="220"/>
      <c r="D12" s="221"/>
      <c r="E12" s="221"/>
      <c r="F12" s="221"/>
      <c r="G12" s="221">
        <f t="shared" ref="G12:J12" si="0">SUM(G8:G11)</f>
        <v>30000</v>
      </c>
      <c r="H12" s="221">
        <f t="shared" si="0"/>
        <v>0</v>
      </c>
      <c r="I12" s="221">
        <f t="shared" si="0"/>
        <v>0</v>
      </c>
      <c r="J12" s="221">
        <f t="shared" si="0"/>
        <v>0</v>
      </c>
      <c r="K12" s="170"/>
    </row>
    <row r="13" spans="2:15">
      <c r="B13" s="73"/>
      <c r="C13" s="170"/>
      <c r="D13" s="170"/>
      <c r="E13" s="170"/>
      <c r="F13" s="170"/>
      <c r="G13" s="170"/>
      <c r="H13" s="170"/>
      <c r="I13" s="170"/>
      <c r="J13" s="170"/>
      <c r="K13" s="170"/>
    </row>
    <row r="14" spans="2:15">
      <c r="B14" s="361" t="s">
        <v>217</v>
      </c>
      <c r="C14" s="260"/>
      <c r="D14" s="261"/>
      <c r="E14" s="261"/>
      <c r="F14" s="261"/>
      <c r="G14" s="261">
        <f t="shared" ref="G14:J14" si="1">SUM(G8:G9)</f>
        <v>30000</v>
      </c>
      <c r="H14" s="261">
        <f t="shared" si="1"/>
        <v>0</v>
      </c>
      <c r="I14" s="261">
        <f t="shared" si="1"/>
        <v>0</v>
      </c>
      <c r="J14" s="261">
        <f t="shared" si="1"/>
        <v>0</v>
      </c>
      <c r="K14" s="170"/>
    </row>
    <row r="15" spans="2:15">
      <c r="B15" s="363" t="s">
        <v>218</v>
      </c>
      <c r="C15" s="265"/>
      <c r="D15" s="266"/>
      <c r="E15" s="266"/>
      <c r="F15" s="266"/>
      <c r="G15" s="266"/>
      <c r="H15" s="266">
        <f t="shared" ref="H15:J15" si="2">SUM(H10:H11)</f>
        <v>0</v>
      </c>
      <c r="I15" s="266">
        <f t="shared" si="2"/>
        <v>0</v>
      </c>
      <c r="J15" s="266">
        <f t="shared" si="2"/>
        <v>0</v>
      </c>
    </row>
    <row r="16" spans="2:15">
      <c r="B16" s="244" t="s">
        <v>284</v>
      </c>
      <c r="C16" s="220"/>
      <c r="D16" s="221"/>
      <c r="E16" s="221"/>
      <c r="F16" s="221"/>
      <c r="G16" s="221">
        <f t="shared" ref="G16:J16" si="3">SUM(G14:G15)</f>
        <v>30000</v>
      </c>
      <c r="H16" s="221">
        <f t="shared" si="3"/>
        <v>0</v>
      </c>
      <c r="I16" s="221">
        <f t="shared" si="3"/>
        <v>0</v>
      </c>
      <c r="J16" s="221">
        <f t="shared" si="3"/>
        <v>0</v>
      </c>
    </row>
    <row r="17" spans="2:11">
      <c r="B17" s="73"/>
      <c r="C17" s="180"/>
      <c r="D17" s="180"/>
      <c r="E17" s="180"/>
      <c r="F17" s="180"/>
      <c r="G17" s="180"/>
      <c r="H17" s="180"/>
      <c r="I17" s="180"/>
      <c r="J17" s="180"/>
      <c r="K17" s="180"/>
    </row>
    <row r="18" spans="2:11">
      <c r="B18" s="331" t="s">
        <v>219</v>
      </c>
      <c r="C18" s="260"/>
      <c r="D18" s="261"/>
      <c r="E18" s="261"/>
      <c r="F18" s="261"/>
      <c r="G18" s="261">
        <f>G8+G10</f>
        <v>20000</v>
      </c>
      <c r="H18" s="261">
        <f t="shared" ref="H18:J18" si="4">H8+H10</f>
        <v>0</v>
      </c>
      <c r="I18" s="261">
        <f t="shared" si="4"/>
        <v>0</v>
      </c>
      <c r="J18" s="261">
        <f t="shared" si="4"/>
        <v>0</v>
      </c>
      <c r="K18" s="180"/>
    </row>
    <row r="19" spans="2:11">
      <c r="B19" s="333" t="s">
        <v>220</v>
      </c>
      <c r="C19" s="265"/>
      <c r="D19" s="266"/>
      <c r="E19" s="266"/>
      <c r="F19" s="266"/>
      <c r="G19" s="266">
        <f>+G9+G11</f>
        <v>10000</v>
      </c>
      <c r="H19" s="266">
        <f t="shared" ref="H19:J19" si="5">+H9+H11</f>
        <v>0</v>
      </c>
      <c r="I19" s="266">
        <f t="shared" si="5"/>
        <v>0</v>
      </c>
      <c r="J19" s="266">
        <f t="shared" si="5"/>
        <v>0</v>
      </c>
      <c r="K19" s="180"/>
    </row>
    <row r="20" spans="2:11">
      <c r="B20" s="244" t="s">
        <v>284</v>
      </c>
      <c r="C20" s="220"/>
      <c r="D20" s="221"/>
      <c r="E20" s="221"/>
      <c r="F20" s="221"/>
      <c r="G20" s="221">
        <f t="shared" ref="G20:J20" si="6">SUM(G18:G19)</f>
        <v>30000</v>
      </c>
      <c r="H20" s="221">
        <f t="shared" si="6"/>
        <v>0</v>
      </c>
      <c r="I20" s="221">
        <f t="shared" si="6"/>
        <v>0</v>
      </c>
      <c r="J20" s="221">
        <f t="shared" si="6"/>
        <v>0</v>
      </c>
      <c r="K20" s="180"/>
    </row>
    <row r="21" spans="2:11">
      <c r="B21" s="276"/>
      <c r="C21" s="256"/>
      <c r="D21" s="256"/>
      <c r="E21" s="256"/>
      <c r="F21" s="256"/>
      <c r="G21" s="256"/>
      <c r="H21" s="256"/>
      <c r="I21" s="256"/>
      <c r="J21" s="256"/>
      <c r="K21" s="180"/>
    </row>
    <row r="22" spans="2:11">
      <c r="B22" s="182"/>
    </row>
    <row r="23" spans="2:11">
      <c r="B23" s="330" t="s">
        <v>287</v>
      </c>
      <c r="C23" s="97">
        <v>2018</v>
      </c>
      <c r="D23" s="98">
        <v>2019</v>
      </c>
      <c r="E23" s="98">
        <v>2020</v>
      </c>
      <c r="F23" s="98">
        <v>2021</v>
      </c>
      <c r="G23" s="98">
        <v>2022</v>
      </c>
      <c r="H23" s="98">
        <v>2023</v>
      </c>
      <c r="I23" s="98">
        <v>2024</v>
      </c>
      <c r="J23" s="98">
        <v>2025</v>
      </c>
    </row>
    <row r="24" spans="2:11">
      <c r="B24" s="332" t="s">
        <v>157</v>
      </c>
      <c r="C24" s="176"/>
      <c r="D24" s="176"/>
      <c r="E24" s="176"/>
      <c r="F24" s="176"/>
      <c r="G24" s="176">
        <v>430.89081757759573</v>
      </c>
      <c r="H24" s="176"/>
      <c r="I24" s="176"/>
      <c r="J24" s="176"/>
    </row>
    <row r="25" spans="2:11">
      <c r="B25" s="363" t="s">
        <v>158</v>
      </c>
      <c r="C25" s="177"/>
      <c r="D25" s="177"/>
      <c r="E25" s="177"/>
      <c r="F25" s="177"/>
      <c r="G25" s="177">
        <v>733.7535179797153</v>
      </c>
      <c r="H25" s="177"/>
      <c r="I25" s="177"/>
      <c r="J25" s="177"/>
    </row>
    <row r="26" spans="2:11">
      <c r="B26" s="332" t="s">
        <v>159</v>
      </c>
      <c r="C26" s="176"/>
      <c r="D26" s="176"/>
      <c r="E26" s="176"/>
      <c r="F26" s="176"/>
      <c r="G26" s="176"/>
      <c r="H26" s="176"/>
      <c r="I26" s="176"/>
      <c r="J26" s="176"/>
    </row>
    <row r="27" spans="2:11">
      <c r="B27" s="333" t="s">
        <v>160</v>
      </c>
      <c r="C27" s="176"/>
      <c r="D27" s="176"/>
      <c r="E27" s="176"/>
      <c r="F27" s="176"/>
      <c r="G27" s="176"/>
      <c r="H27" s="176"/>
      <c r="I27" s="176"/>
      <c r="J27" s="176"/>
    </row>
    <row r="28" spans="2:11">
      <c r="B28" s="244" t="s">
        <v>284</v>
      </c>
      <c r="C28" s="224"/>
      <c r="D28" s="225"/>
      <c r="E28" s="225"/>
      <c r="F28" s="225"/>
      <c r="G28" s="225">
        <f>10^6*G44/G12</f>
        <v>531.84505104496884</v>
      </c>
      <c r="H28" s="225"/>
      <c r="I28" s="225"/>
      <c r="J28" s="225"/>
    </row>
    <row r="29" spans="2:11">
      <c r="B29" s="182"/>
      <c r="C29" s="78"/>
      <c r="D29" s="78"/>
      <c r="E29" s="78"/>
      <c r="F29" s="78"/>
      <c r="G29" s="78"/>
      <c r="H29" s="78"/>
      <c r="I29" s="78"/>
      <c r="J29" s="78"/>
    </row>
    <row r="30" spans="2:11">
      <c r="B30" s="361" t="str">
        <f t="shared" ref="B30:B36" si="7">B14</f>
        <v>800G total</v>
      </c>
      <c r="C30" s="229"/>
      <c r="D30" s="175"/>
      <c r="E30" s="175"/>
      <c r="F30" s="175"/>
      <c r="G30" s="175">
        <f>G46*10^6/G14</f>
        <v>531.84505104496884</v>
      </c>
      <c r="H30" s="175"/>
      <c r="I30" s="175"/>
      <c r="J30" s="175"/>
    </row>
    <row r="31" spans="2:11">
      <c r="B31" s="333" t="str">
        <f t="shared" si="7"/>
        <v>1.6Tb total</v>
      </c>
      <c r="C31" s="228"/>
      <c r="D31" s="177"/>
      <c r="E31" s="177"/>
      <c r="F31" s="177"/>
      <c r="G31" s="177"/>
      <c r="H31" s="177"/>
      <c r="I31" s="177"/>
      <c r="J31" s="177"/>
    </row>
    <row r="32" spans="2:11">
      <c r="B32" s="244" t="str">
        <f t="shared" si="7"/>
        <v>CPOs total</v>
      </c>
      <c r="C32" s="224"/>
      <c r="D32" s="225"/>
      <c r="E32" s="225"/>
      <c r="F32" s="225"/>
      <c r="G32" s="225">
        <f>G48*10^6/G16</f>
        <v>531.84505104496884</v>
      </c>
      <c r="H32" s="225"/>
      <c r="I32" s="225"/>
      <c r="J32" s="225"/>
    </row>
    <row r="33" spans="2:10">
      <c r="B33" s="182">
        <f t="shared" si="7"/>
        <v>0</v>
      </c>
      <c r="C33" s="78"/>
      <c r="D33" s="78"/>
      <c r="E33" s="78"/>
      <c r="F33" s="78"/>
      <c r="G33" s="78"/>
      <c r="H33" s="78"/>
      <c r="I33" s="78"/>
      <c r="J33" s="78"/>
    </row>
    <row r="34" spans="2:10">
      <c r="B34" s="331" t="str">
        <f t="shared" si="7"/>
        <v>30 m total</v>
      </c>
      <c r="C34" s="229"/>
      <c r="D34" s="175"/>
      <c r="E34" s="175"/>
      <c r="F34" s="175"/>
      <c r="G34" s="175"/>
      <c r="H34" s="175"/>
      <c r="I34" s="175"/>
      <c r="J34" s="175"/>
    </row>
    <row r="35" spans="2:10">
      <c r="B35" s="333" t="str">
        <f t="shared" si="7"/>
        <v>500 m total</v>
      </c>
      <c r="C35" s="228"/>
      <c r="D35" s="177"/>
      <c r="E35" s="177"/>
      <c r="F35" s="177"/>
      <c r="G35" s="177"/>
      <c r="H35" s="177"/>
      <c r="I35" s="177"/>
      <c r="J35" s="177"/>
    </row>
    <row r="36" spans="2:10">
      <c r="B36" s="244" t="str">
        <f t="shared" si="7"/>
        <v>CPOs total</v>
      </c>
      <c r="C36" s="224"/>
      <c r="D36" s="225"/>
      <c r="E36" s="225"/>
      <c r="F36" s="225"/>
      <c r="G36" s="225">
        <f>G52*10^6/G20</f>
        <v>531.84505104496884</v>
      </c>
      <c r="H36" s="225"/>
      <c r="I36" s="225"/>
      <c r="J36" s="225"/>
    </row>
    <row r="37" spans="2:10">
      <c r="B37" s="182"/>
    </row>
    <row r="38" spans="2:10">
      <c r="B38" s="182"/>
    </row>
    <row r="39" spans="2:10">
      <c r="B39" s="330" t="s">
        <v>288</v>
      </c>
      <c r="C39" s="97">
        <v>2018</v>
      </c>
      <c r="D39" s="98">
        <v>2019</v>
      </c>
      <c r="E39" s="98">
        <v>2020</v>
      </c>
      <c r="F39" s="98">
        <v>2021</v>
      </c>
      <c r="G39" s="98">
        <v>2022</v>
      </c>
      <c r="H39" s="98">
        <v>2023</v>
      </c>
      <c r="I39" s="98">
        <v>2024</v>
      </c>
      <c r="J39" s="98">
        <v>2025</v>
      </c>
    </row>
    <row r="40" spans="2:10">
      <c r="B40" s="334" t="s">
        <v>157</v>
      </c>
      <c r="C40" s="227"/>
      <c r="D40" s="176"/>
      <c r="E40" s="176"/>
      <c r="F40" s="176"/>
      <c r="G40" s="176">
        <f>IF(G8=0,,G8*G24/10^6)</f>
        <v>8.6178163515519142</v>
      </c>
      <c r="H40" s="176"/>
      <c r="I40" s="176"/>
      <c r="J40" s="176"/>
    </row>
    <row r="41" spans="2:10">
      <c r="B41" s="335" t="s">
        <v>158</v>
      </c>
      <c r="C41" s="228"/>
      <c r="D41" s="177"/>
      <c r="E41" s="177"/>
      <c r="F41" s="177"/>
      <c r="G41" s="177">
        <f>IF(G9=0,,G9*G25/10^6)</f>
        <v>7.3375351797971531</v>
      </c>
      <c r="H41" s="177"/>
      <c r="I41" s="177"/>
      <c r="J41" s="177"/>
    </row>
    <row r="42" spans="2:10">
      <c r="B42" s="334" t="s">
        <v>159</v>
      </c>
      <c r="C42" s="227"/>
      <c r="D42" s="176"/>
      <c r="E42" s="176"/>
      <c r="F42" s="176"/>
      <c r="G42" s="176"/>
      <c r="H42" s="176"/>
      <c r="I42" s="176"/>
      <c r="J42" s="176"/>
    </row>
    <row r="43" spans="2:10">
      <c r="B43" s="335" t="s">
        <v>160</v>
      </c>
      <c r="C43" s="227"/>
      <c r="D43" s="176"/>
      <c r="E43" s="176"/>
      <c r="F43" s="176"/>
      <c r="G43" s="177"/>
      <c r="H43" s="177"/>
      <c r="I43" s="177"/>
      <c r="J43" s="177"/>
    </row>
    <row r="44" spans="2:10">
      <c r="B44" s="244" t="s">
        <v>284</v>
      </c>
      <c r="C44" s="224"/>
      <c r="D44" s="225"/>
      <c r="E44" s="225"/>
      <c r="F44" s="225"/>
      <c r="G44" s="225">
        <f t="shared" ref="G44" si="8">SUM(G40:G43)</f>
        <v>15.955351531349066</v>
      </c>
      <c r="H44" s="225"/>
      <c r="I44" s="225"/>
      <c r="J44" s="225"/>
    </row>
    <row r="45" spans="2:10">
      <c r="B45" s="182"/>
      <c r="C45" s="78"/>
      <c r="D45" s="78"/>
      <c r="E45" s="78"/>
      <c r="F45" s="78"/>
      <c r="G45" s="78"/>
      <c r="H45" s="78"/>
      <c r="I45" s="78"/>
      <c r="J45" s="78"/>
    </row>
    <row r="46" spans="2:10">
      <c r="B46" s="361" t="str">
        <f>B14</f>
        <v>800G total</v>
      </c>
      <c r="C46" s="229"/>
      <c r="D46" s="175"/>
      <c r="E46" s="175"/>
      <c r="F46" s="175"/>
      <c r="G46" s="175">
        <f t="shared" ref="G46" si="9">SUM(G40:G41)</f>
        <v>15.955351531349066</v>
      </c>
      <c r="H46" s="175"/>
      <c r="I46" s="175"/>
      <c r="J46" s="175"/>
    </row>
    <row r="47" spans="2:10">
      <c r="B47" s="333" t="str">
        <f>B15</f>
        <v>1.6Tb total</v>
      </c>
      <c r="C47" s="228"/>
      <c r="D47" s="177"/>
      <c r="E47" s="177"/>
      <c r="F47" s="177"/>
      <c r="G47" s="177"/>
      <c r="H47" s="177"/>
      <c r="I47" s="177"/>
      <c r="J47" s="177"/>
    </row>
    <row r="48" spans="2:10">
      <c r="B48" s="244" t="str">
        <f>B16</f>
        <v>CPOs total</v>
      </c>
      <c r="C48" s="224"/>
      <c r="D48" s="225"/>
      <c r="E48" s="225"/>
      <c r="F48" s="225"/>
      <c r="G48" s="225">
        <f t="shared" ref="G48" si="10">SUM(G46:G47)</f>
        <v>15.955351531349066</v>
      </c>
      <c r="H48" s="225"/>
      <c r="I48" s="225"/>
      <c r="J48" s="225"/>
    </row>
    <row r="49" spans="2:10">
      <c r="B49" s="182"/>
      <c r="C49" s="78"/>
      <c r="D49" s="78"/>
      <c r="E49" s="78"/>
      <c r="F49" s="78"/>
      <c r="G49" s="78"/>
      <c r="H49" s="78"/>
      <c r="I49" s="78"/>
      <c r="J49" s="78"/>
    </row>
    <row r="50" spans="2:10">
      <c r="B50" s="331" t="str">
        <f>B18</f>
        <v>30 m total</v>
      </c>
      <c r="C50" s="229"/>
      <c r="D50" s="175"/>
      <c r="E50" s="175"/>
      <c r="F50" s="175"/>
      <c r="G50" s="175">
        <f>G40+G42</f>
        <v>8.6178163515519142</v>
      </c>
      <c r="H50" s="175"/>
      <c r="I50" s="175"/>
      <c r="J50" s="175"/>
    </row>
    <row r="51" spans="2:10">
      <c r="B51" s="333" t="str">
        <f>B19</f>
        <v>500 m total</v>
      </c>
      <c r="C51" s="228"/>
      <c r="D51" s="177"/>
      <c r="E51" s="177"/>
      <c r="F51" s="177"/>
      <c r="G51" s="177">
        <f>+G41+G43</f>
        <v>7.3375351797971531</v>
      </c>
      <c r="H51" s="177"/>
      <c r="I51" s="177"/>
      <c r="J51" s="177"/>
    </row>
    <row r="52" spans="2:10">
      <c r="B52" s="244" t="str">
        <f>B20</f>
        <v>CPOs total</v>
      </c>
      <c r="C52" s="224"/>
      <c r="D52" s="225"/>
      <c r="E52" s="225"/>
      <c r="F52" s="225"/>
      <c r="G52" s="225">
        <f t="shared" ref="G52" si="11">SUM(G50:G51)</f>
        <v>15.955351531349066</v>
      </c>
      <c r="H52" s="225"/>
      <c r="I52" s="225"/>
      <c r="J52" s="225"/>
    </row>
    <row r="53" spans="2:10">
      <c r="B53" s="182"/>
    </row>
    <row r="54" spans="2:10">
      <c r="B54" s="182"/>
    </row>
    <row r="55" spans="2:10">
      <c r="B55" s="330" t="s">
        <v>214</v>
      </c>
      <c r="C55" s="97">
        <v>2018</v>
      </c>
      <c r="D55" s="98">
        <v>2019</v>
      </c>
      <c r="E55" s="98">
        <v>2020</v>
      </c>
      <c r="F55" s="98">
        <v>2021</v>
      </c>
      <c r="G55" s="98">
        <v>2022</v>
      </c>
      <c r="H55" s="98">
        <v>2023</v>
      </c>
      <c r="I55" s="98">
        <v>2024</v>
      </c>
      <c r="J55" s="98">
        <v>2025</v>
      </c>
    </row>
    <row r="56" spans="2:10">
      <c r="B56" s="332" t="s">
        <v>157</v>
      </c>
      <c r="C56" s="344"/>
      <c r="D56" s="345"/>
      <c r="E56" s="345"/>
      <c r="F56" s="345"/>
      <c r="G56" s="272">
        <f t="shared" ref="G56" si="12">G24/800</f>
        <v>0.53861352197199464</v>
      </c>
      <c r="H56" s="272"/>
      <c r="I56" s="272"/>
      <c r="J56" s="272"/>
    </row>
    <row r="57" spans="2:10">
      <c r="B57" s="363" t="s">
        <v>158</v>
      </c>
      <c r="C57" s="346"/>
      <c r="D57" s="347"/>
      <c r="E57" s="347"/>
      <c r="F57" s="347"/>
      <c r="G57" s="273">
        <f t="shared" ref="G57" si="13">G25/800</f>
        <v>0.91719189747464414</v>
      </c>
      <c r="H57" s="273"/>
      <c r="I57" s="273"/>
      <c r="J57" s="273"/>
    </row>
    <row r="58" spans="2:10">
      <c r="B58" s="362" t="s">
        <v>159</v>
      </c>
      <c r="C58" s="344"/>
      <c r="D58" s="345"/>
      <c r="E58" s="345"/>
      <c r="F58" s="345"/>
      <c r="G58" s="272"/>
      <c r="H58" s="272"/>
      <c r="I58" s="272"/>
      <c r="J58" s="272"/>
    </row>
    <row r="59" spans="2:10">
      <c r="B59" s="333" t="s">
        <v>160</v>
      </c>
      <c r="C59" s="346"/>
      <c r="D59" s="347"/>
      <c r="E59" s="347"/>
      <c r="F59" s="347"/>
      <c r="G59" s="347"/>
      <c r="H59" s="273"/>
      <c r="I59" s="273"/>
      <c r="J59" s="273"/>
    </row>
    <row r="60" spans="2:10">
      <c r="B60" s="182"/>
    </row>
    <row r="61" spans="2:10">
      <c r="B61" s="361" t="str">
        <f>B14</f>
        <v>800G total</v>
      </c>
      <c r="C61" s="229"/>
      <c r="D61" s="175"/>
      <c r="E61" s="175"/>
      <c r="F61" s="175"/>
      <c r="G61" s="271">
        <f>AVERAGE(G56:G57)</f>
        <v>0.72790270972331939</v>
      </c>
      <c r="H61" s="271"/>
      <c r="I61" s="271"/>
      <c r="J61" s="271"/>
    </row>
    <row r="62" spans="2:10">
      <c r="B62" s="363" t="str">
        <f>B15</f>
        <v>1.6Tb total</v>
      </c>
      <c r="C62" s="228"/>
      <c r="D62" s="177"/>
      <c r="E62" s="177"/>
      <c r="F62" s="177"/>
      <c r="G62" s="177"/>
      <c r="H62" s="273"/>
      <c r="I62" s="273"/>
      <c r="J62" s="273"/>
    </row>
    <row r="63" spans="2:10">
      <c r="B63" s="182"/>
      <c r="C63" s="78"/>
      <c r="D63" s="78"/>
      <c r="E63" s="78"/>
      <c r="F63" s="78"/>
      <c r="G63" s="78"/>
      <c r="H63" s="80"/>
      <c r="I63" s="80"/>
      <c r="J63" s="80"/>
    </row>
    <row r="64" spans="2:10">
      <c r="B64" s="331" t="str">
        <f t="shared" ref="B64:B65" si="14">B50</f>
        <v>30 m total</v>
      </c>
      <c r="C64" s="229"/>
      <c r="D64" s="175"/>
      <c r="E64" s="175"/>
      <c r="F64" s="175"/>
      <c r="G64" s="274">
        <f>AVERAGE(G58,G56)</f>
        <v>0.53861352197199464</v>
      </c>
      <c r="H64" s="274"/>
      <c r="I64" s="274"/>
      <c r="J64" s="274"/>
    </row>
    <row r="65" spans="2:10">
      <c r="B65" s="333" t="str">
        <f t="shared" si="14"/>
        <v>500 m total</v>
      </c>
      <c r="C65" s="228"/>
      <c r="D65" s="177"/>
      <c r="E65" s="177"/>
      <c r="F65" s="177"/>
      <c r="G65" s="275">
        <f>AVERAGE(G59,G57)</f>
        <v>0.91719189747464414</v>
      </c>
      <c r="H65" s="275"/>
      <c r="I65" s="275"/>
      <c r="J65" s="275"/>
    </row>
  </sheetData>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Introduction</vt:lpstr>
      <vt:lpstr>Segmentation</vt:lpstr>
      <vt:lpstr>Methodology</vt:lpstr>
      <vt:lpstr>Dashboard</vt:lpstr>
      <vt:lpstr>Summary</vt:lpstr>
      <vt:lpstr>Combined forecast</vt:lpstr>
      <vt:lpstr>AOC forecast</vt:lpstr>
      <vt:lpstr>EOM forecast</vt:lpstr>
      <vt:lpstr>CPO forecast</vt:lpstr>
      <vt:lpstr>Copper cable forecast</vt:lpstr>
      <vt:lpstr>Segment forecast</vt:lpstr>
      <vt:lpstr>LongRevNew</vt:lpstr>
      <vt:lpstr>LongVolNew</vt:lpstr>
      <vt:lpstr>Price</vt:lpstr>
      <vt:lpstr>Revenue</vt:lpstr>
      <vt:lpstr>VolCore</vt:lpstr>
      <vt:lpstr>VolDCS</vt:lpstr>
      <vt:lpstr>VolHPC</vt:lpstr>
      <vt:lpstr>VolOther</vt:lpstr>
      <vt:lpstr>Volume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LightCounting Forecasting</dc:title>
  <dc:creator>john@lightcounting.com</dc:creator>
  <cp:lastModifiedBy>Vladimir Kozlov</cp:lastModifiedBy>
  <cp:lastPrinted>2015-12-01T16:46:00Z</cp:lastPrinted>
  <dcterms:created xsi:type="dcterms:W3CDTF">2009-02-04T20:40:14Z</dcterms:created>
  <dcterms:modified xsi:type="dcterms:W3CDTF">2020-12-08T20:55:33Z</dcterms:modified>
</cp:coreProperties>
</file>