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style1.xml" ContentType="application/vnd.ms-office.chartstyle+xml"/>
  <Override PartName="/xl/charts/colors1.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updateLinks="never" autoCompressPictures="0" defaultThemeVersion="124226"/>
  <mc:AlternateContent xmlns:mc="http://schemas.openxmlformats.org/markup-compatibility/2006">
    <mc:Choice Requires="x15">
      <x15ac:absPath xmlns:x15ac="http://schemas.microsoft.com/office/spreadsheetml/2010/11/ac" url="C:\Users\Stelyana Baleva\Documents\Publishing\"/>
    </mc:Choice>
  </mc:AlternateContent>
  <xr:revisionPtr revIDLastSave="0" documentId="13_ncr:1_{6C02C3B9-DAFF-4D74-BD89-FF85C179CBCF}" xr6:coauthVersionLast="47" xr6:coauthVersionMax="47" xr10:uidLastSave="{00000000-0000-0000-0000-000000000000}"/>
  <bookViews>
    <workbookView xWindow="-108" yWindow="-108" windowWidth="30936" windowHeight="16776" tabRatio="789" xr2:uid="{00000000-000D-0000-FFFF-FFFF00000000}"/>
  </bookViews>
  <sheets>
    <sheet name="Introduction" sheetId="9" r:id="rId1"/>
    <sheet name="Segmentation" sheetId="52" r:id="rId2"/>
    <sheet name="Methodology" sheetId="10" r:id="rId3"/>
    <sheet name="Dashboard" sheetId="46" r:id="rId4"/>
    <sheet name="Summary" sheetId="97" r:id="rId5"/>
    <sheet name="Combined forecast" sheetId="36" r:id="rId6"/>
    <sheet name="AOC forecast" sheetId="63" r:id="rId7"/>
    <sheet name="EOM forecast" sheetId="64" r:id="rId8"/>
    <sheet name="CPO forecast" sheetId="93" r:id="rId9"/>
    <sheet name="Copper cable forecast" sheetId="102" r:id="rId10"/>
    <sheet name="Segment forecast" sheetId="42" r:id="rId11"/>
  </sheets>
  <definedNames>
    <definedName name="Comments">#REF!</definedName>
    <definedName name="Comments_CU">#REF!</definedName>
    <definedName name="CommentsCPO">#REF!</definedName>
    <definedName name="CU_prod_names">'Copper cable forecast'!$P$8:$P$28</definedName>
    <definedName name="CU_revs_Dec2020">#REF!</definedName>
    <definedName name="CU_revs_Dec2021">#REF!</definedName>
    <definedName name="CU_revs_total">'Copper cable forecast'!$C$58:$N$78</definedName>
    <definedName name="CU_units_Dec2020">#REF!</definedName>
    <definedName name="CU_units_Dec2021">#REF!</definedName>
    <definedName name="CU_units_Server">#REF!</definedName>
    <definedName name="CU_units_total">'Copper cable forecast'!$C$8:$N$28</definedName>
    <definedName name="LongRevApr2020">#REF!</definedName>
    <definedName name="LongRevApr2021">#REF!</definedName>
    <definedName name="LongRevApr2022">#REF!</definedName>
    <definedName name="LongRevDec20">#REF!</definedName>
    <definedName name="LongRevDec2021">#REF!</definedName>
    <definedName name="LongRevNew">#REF!</definedName>
    <definedName name="LongRevOct2022">#REF!</definedName>
    <definedName name="LongVolApr2020">#REF!</definedName>
    <definedName name="LongVolApr2021">#REF!</definedName>
    <definedName name="LongVolApr2022">#REF!</definedName>
    <definedName name="LongVolDec20">#REF!</definedName>
    <definedName name="LongVolDec2021">#REF!</definedName>
    <definedName name="LongVolNew">#REF!</definedName>
    <definedName name="LongVolOct2022">#REF!</definedName>
    <definedName name="Price">'Combined forecast'!$B$69:$R$129</definedName>
    <definedName name="RevCPODec2020">#REF!</definedName>
    <definedName name="RevCPODec2021">#REF!</definedName>
    <definedName name="RevCPONew">#REF!</definedName>
    <definedName name="Revenue">'Combined forecast'!$G$131:$R$191</definedName>
    <definedName name="VolCore">'Segment forecast'!$G$151:$R$211</definedName>
    <definedName name="VolCPODec2020">#REF!</definedName>
    <definedName name="VolCPODec2021">#REF!</definedName>
    <definedName name="VolCPONew">#REF!</definedName>
    <definedName name="VolDCS">'Segment forecast'!$G$276:$R$336</definedName>
    <definedName name="VolHPC">'Segment forecast'!$G$89:$R$149</definedName>
    <definedName name="VolOther">'Segment forecast'!$G$213:$R$273</definedName>
    <definedName name="Volume">'Combined forecast'!$G$7:$R$67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2" i="97" l="1"/>
  <c r="M182" i="97"/>
  <c r="L182" i="97"/>
  <c r="K182" i="97"/>
  <c r="J182" i="97"/>
  <c r="I182" i="97"/>
  <c r="H182" i="97"/>
  <c r="G182" i="97"/>
  <c r="F182" i="97"/>
  <c r="E182" i="97"/>
  <c r="D182" i="97"/>
  <c r="B181" i="97" l="1"/>
  <c r="P246" i="97" l="1"/>
  <c r="Q246" i="97"/>
  <c r="R246" i="97"/>
  <c r="S246" i="97"/>
  <c r="T246" i="97"/>
  <c r="U246" i="97"/>
  <c r="V246" i="97"/>
  <c r="P245" i="97"/>
  <c r="B146" i="42" l="1"/>
  <c r="B208" i="42" s="1"/>
  <c r="B270" i="42" s="1"/>
  <c r="B333" i="42" s="1"/>
  <c r="B121" i="42"/>
  <c r="B245" i="42" s="1"/>
  <c r="B122" i="42"/>
  <c r="B246" i="42" s="1"/>
  <c r="B123" i="42"/>
  <c r="B124" i="42"/>
  <c r="H188" i="36"/>
  <c r="G188" i="36"/>
  <c r="B126" i="36"/>
  <c r="B188" i="36" s="1"/>
  <c r="H64" i="36"/>
  <c r="G64" i="36"/>
  <c r="B42" i="36"/>
  <c r="B104" i="36" s="1"/>
  <c r="B41" i="36"/>
  <c r="B165" i="36" s="1"/>
  <c r="B40" i="36"/>
  <c r="B102" i="36" s="1"/>
  <c r="B39" i="36"/>
  <c r="B163" i="36" s="1"/>
  <c r="B28" i="93"/>
  <c r="B76" i="93"/>
  <c r="B81" i="93"/>
  <c r="B58" i="93"/>
  <c r="H105" i="93"/>
  <c r="G105" i="93"/>
  <c r="G104" i="93"/>
  <c r="F103" i="93"/>
  <c r="G102" i="93"/>
  <c r="F102" i="93"/>
  <c r="B57" i="93"/>
  <c r="B80" i="93"/>
  <c r="H102" i="93" l="1"/>
  <c r="H103" i="93"/>
  <c r="G103" i="93"/>
  <c r="B185" i="42"/>
  <c r="H104" i="93"/>
  <c r="B184" i="42"/>
  <c r="B248" i="42"/>
  <c r="B247" i="42"/>
  <c r="B311" i="42"/>
  <c r="B374" i="42" s="1"/>
  <c r="B186" i="42"/>
  <c r="F105" i="93"/>
  <c r="B310" i="42"/>
  <c r="B373" i="42" s="1"/>
  <c r="F104" i="93"/>
  <c r="B309" i="42"/>
  <c r="B372" i="42" s="1"/>
  <c r="B183" i="42"/>
  <c r="B308" i="42"/>
  <c r="B371" i="42" s="1"/>
  <c r="B166" i="36"/>
  <c r="B103" i="36"/>
  <c r="B101" i="36"/>
  <c r="B164" i="36"/>
  <c r="I102" i="93" l="1"/>
  <c r="I105" i="93"/>
  <c r="I103" i="93"/>
  <c r="I104" i="93"/>
  <c r="J105" i="93" l="1"/>
  <c r="J104" i="93"/>
  <c r="J102" i="93"/>
  <c r="J103" i="93"/>
  <c r="I110" i="93"/>
  <c r="N211" i="97"/>
  <c r="J110" i="93" l="1"/>
  <c r="K104" i="93"/>
  <c r="K102" i="93"/>
  <c r="K103" i="93"/>
  <c r="K105" i="93"/>
  <c r="L102" i="93" l="1"/>
  <c r="K110" i="93"/>
  <c r="L105" i="93"/>
  <c r="L103" i="93"/>
  <c r="L104" i="93"/>
  <c r="L110" i="93" l="1"/>
  <c r="R391" i="42"/>
  <c r="Q391" i="42"/>
  <c r="P391" i="42"/>
  <c r="O391" i="42"/>
  <c r="N391" i="42"/>
  <c r="M391" i="42"/>
  <c r="L391" i="42"/>
  <c r="K391" i="42"/>
  <c r="J391" i="42"/>
  <c r="I391" i="42"/>
  <c r="H391" i="42"/>
  <c r="G391" i="42"/>
  <c r="B335" i="42"/>
  <c r="D271" i="42"/>
  <c r="D334" i="42" s="1"/>
  <c r="B271" i="42"/>
  <c r="B334" i="42" s="1"/>
  <c r="F269" i="42"/>
  <c r="F332" i="42" s="1"/>
  <c r="B263" i="42"/>
  <c r="B212" i="42"/>
  <c r="D209" i="42"/>
  <c r="B209" i="42"/>
  <c r="F207" i="42"/>
  <c r="F201" i="42"/>
  <c r="F210" i="42" s="1"/>
  <c r="E201" i="42"/>
  <c r="E210" i="42" s="1"/>
  <c r="D201" i="42"/>
  <c r="D210" i="42" s="1"/>
  <c r="C201" i="42"/>
  <c r="C210" i="42" s="1"/>
  <c r="C326" i="42" s="1"/>
  <c r="F147" i="42"/>
  <c r="F271" i="42" s="1"/>
  <c r="F334" i="42" s="1"/>
  <c r="E145" i="42"/>
  <c r="E207" i="42" s="1"/>
  <c r="D145" i="42"/>
  <c r="D207" i="42" s="1"/>
  <c r="C145" i="42"/>
  <c r="B145" i="42"/>
  <c r="B207" i="42" s="1"/>
  <c r="F144" i="42"/>
  <c r="E144" i="42"/>
  <c r="E268" i="42" s="1"/>
  <c r="E331" i="42" s="1"/>
  <c r="D144" i="42"/>
  <c r="C144" i="42"/>
  <c r="B144" i="42"/>
  <c r="B268" i="42" s="1"/>
  <c r="B331" i="42" s="1"/>
  <c r="F143" i="42"/>
  <c r="F267" i="42" s="1"/>
  <c r="F330" i="42" s="1"/>
  <c r="E143" i="42"/>
  <c r="D143" i="42"/>
  <c r="C143" i="42"/>
  <c r="B143" i="42"/>
  <c r="F142" i="42"/>
  <c r="E142" i="42"/>
  <c r="E204" i="42" s="1"/>
  <c r="D142" i="42"/>
  <c r="C142" i="42"/>
  <c r="B142" i="42"/>
  <c r="R141" i="42"/>
  <c r="Q141" i="42"/>
  <c r="P141" i="42"/>
  <c r="O141" i="42"/>
  <c r="N141" i="42"/>
  <c r="M141" i="42"/>
  <c r="L141" i="42"/>
  <c r="K141" i="42"/>
  <c r="J141" i="42"/>
  <c r="I141" i="42"/>
  <c r="H141" i="42"/>
  <c r="G141" i="42"/>
  <c r="F138" i="42"/>
  <c r="E138" i="42"/>
  <c r="D138" i="42"/>
  <c r="D262" i="42" s="1"/>
  <c r="C138" i="42"/>
  <c r="B138" i="42"/>
  <c r="B325" i="42" s="1"/>
  <c r="B388" i="42" s="1"/>
  <c r="F137" i="42"/>
  <c r="F199" i="42" s="1"/>
  <c r="E137" i="42"/>
  <c r="D137" i="42"/>
  <c r="C137" i="42"/>
  <c r="C324" i="42" s="1"/>
  <c r="C387" i="42" s="1"/>
  <c r="B137" i="42"/>
  <c r="B261" i="42" s="1"/>
  <c r="F136" i="42"/>
  <c r="F198" i="42" s="1"/>
  <c r="E136" i="42"/>
  <c r="D136" i="42"/>
  <c r="D323" i="42" s="1"/>
  <c r="D386" i="42" s="1"/>
  <c r="B136" i="42"/>
  <c r="B198" i="42" s="1"/>
  <c r="F135" i="42"/>
  <c r="E135" i="42"/>
  <c r="E322" i="42" s="1"/>
  <c r="E385" i="42" s="1"/>
  <c r="D135" i="42"/>
  <c r="C135" i="42"/>
  <c r="C197" i="42" s="1"/>
  <c r="B135" i="42"/>
  <c r="F134" i="42"/>
  <c r="E134" i="42"/>
  <c r="E258" i="42" s="1"/>
  <c r="D134" i="42"/>
  <c r="C134" i="42"/>
  <c r="B134" i="42"/>
  <c r="B196" i="42" s="1"/>
  <c r="F133" i="42"/>
  <c r="F195" i="42" s="1"/>
  <c r="E133" i="42"/>
  <c r="E195" i="42" s="1"/>
  <c r="D133" i="42"/>
  <c r="C133" i="42"/>
  <c r="B133" i="42"/>
  <c r="B195" i="42" s="1"/>
  <c r="F132" i="42"/>
  <c r="E132" i="42"/>
  <c r="E256" i="42" s="1"/>
  <c r="D132" i="42"/>
  <c r="C132" i="42"/>
  <c r="C256" i="42" s="1"/>
  <c r="B132" i="42"/>
  <c r="F131" i="42"/>
  <c r="E131" i="42"/>
  <c r="D131" i="42"/>
  <c r="C131" i="42"/>
  <c r="C193" i="42" s="1"/>
  <c r="B131" i="42"/>
  <c r="B318" i="42" s="1"/>
  <c r="B381" i="42" s="1"/>
  <c r="F130" i="42"/>
  <c r="E130" i="42"/>
  <c r="D130" i="42"/>
  <c r="C130" i="42"/>
  <c r="C317" i="42" s="1"/>
  <c r="C380" i="42" s="1"/>
  <c r="B130" i="42"/>
  <c r="B317" i="42" s="1"/>
  <c r="B380" i="42" s="1"/>
  <c r="F129" i="42"/>
  <c r="E129" i="42"/>
  <c r="E191" i="42" s="1"/>
  <c r="D129" i="42"/>
  <c r="C129" i="42"/>
  <c r="B129" i="42"/>
  <c r="B316" i="42" s="1"/>
  <c r="B379" i="42" s="1"/>
  <c r="F128" i="42"/>
  <c r="E128" i="42"/>
  <c r="D128" i="42"/>
  <c r="C128" i="42"/>
  <c r="C190" i="42" s="1"/>
  <c r="B128" i="42"/>
  <c r="B315" i="42" s="1"/>
  <c r="B378" i="42" s="1"/>
  <c r="F127" i="42"/>
  <c r="F314" i="42" s="1"/>
  <c r="F377" i="42" s="1"/>
  <c r="E127" i="42"/>
  <c r="D127" i="42"/>
  <c r="C127" i="42"/>
  <c r="B127" i="42"/>
  <c r="B189" i="42" s="1"/>
  <c r="F126" i="42"/>
  <c r="E126" i="42"/>
  <c r="D126" i="42"/>
  <c r="C126" i="42"/>
  <c r="B126" i="42"/>
  <c r="B250" i="42" s="1"/>
  <c r="F125" i="42"/>
  <c r="F312" i="42" s="1"/>
  <c r="F375" i="42" s="1"/>
  <c r="E125" i="42"/>
  <c r="E187" i="42" s="1"/>
  <c r="D125" i="42"/>
  <c r="C125" i="42"/>
  <c r="B125" i="42"/>
  <c r="F120" i="42"/>
  <c r="F307" i="42" s="1"/>
  <c r="F370" i="42" s="1"/>
  <c r="E120" i="42"/>
  <c r="E307" i="42" s="1"/>
  <c r="E370" i="42" s="1"/>
  <c r="D120" i="42"/>
  <c r="D244" i="42" s="1"/>
  <c r="C120" i="42"/>
  <c r="B120" i="42"/>
  <c r="F119" i="42"/>
  <c r="F243" i="42" s="1"/>
  <c r="E119" i="42"/>
  <c r="E181" i="42" s="1"/>
  <c r="D119" i="42"/>
  <c r="C119" i="42"/>
  <c r="B119" i="42"/>
  <c r="B181" i="42" s="1"/>
  <c r="F118" i="42"/>
  <c r="E118" i="42"/>
  <c r="D118" i="42"/>
  <c r="D180" i="42" s="1"/>
  <c r="C118" i="42"/>
  <c r="B118" i="42"/>
  <c r="B180" i="42" s="1"/>
  <c r="F117" i="42"/>
  <c r="F304" i="42" s="1"/>
  <c r="F367" i="42" s="1"/>
  <c r="E117" i="42"/>
  <c r="D117" i="42"/>
  <c r="C117" i="42"/>
  <c r="B117" i="42"/>
  <c r="F116" i="42"/>
  <c r="F240" i="42" s="1"/>
  <c r="E116" i="42"/>
  <c r="E303" i="42" s="1"/>
  <c r="E366" i="42" s="1"/>
  <c r="D116" i="42"/>
  <c r="D303" i="42" s="1"/>
  <c r="D366" i="42" s="1"/>
  <c r="C116" i="42"/>
  <c r="B116" i="42"/>
  <c r="F115" i="42"/>
  <c r="E115" i="42"/>
  <c r="D115" i="42"/>
  <c r="C115" i="42"/>
  <c r="B115" i="42"/>
  <c r="B302" i="42" s="1"/>
  <c r="B365" i="42" s="1"/>
  <c r="F114" i="42"/>
  <c r="E114" i="42"/>
  <c r="E301" i="42" s="1"/>
  <c r="E364" i="42" s="1"/>
  <c r="D114" i="42"/>
  <c r="C114" i="42"/>
  <c r="B114" i="42"/>
  <c r="B301" i="42" s="1"/>
  <c r="B364" i="42" s="1"/>
  <c r="F113" i="42"/>
  <c r="F300" i="42" s="1"/>
  <c r="F363" i="42" s="1"/>
  <c r="E113" i="42"/>
  <c r="E175" i="42" s="1"/>
  <c r="D113" i="42"/>
  <c r="C113" i="42"/>
  <c r="B113" i="42"/>
  <c r="F112" i="42"/>
  <c r="E112" i="42"/>
  <c r="D112" i="42"/>
  <c r="C112" i="42"/>
  <c r="C174" i="42" s="1"/>
  <c r="B112" i="42"/>
  <c r="B174" i="42" s="1"/>
  <c r="F111" i="42"/>
  <c r="E111" i="42"/>
  <c r="E298" i="42" s="1"/>
  <c r="E361" i="42" s="1"/>
  <c r="D111" i="42"/>
  <c r="D298" i="42" s="1"/>
  <c r="D361" i="42" s="1"/>
  <c r="C111" i="42"/>
  <c r="B111" i="42"/>
  <c r="B235" i="42" s="1"/>
  <c r="F89" i="42"/>
  <c r="F141" i="42" s="1"/>
  <c r="E89" i="42"/>
  <c r="E141" i="42" s="1"/>
  <c r="D89" i="42"/>
  <c r="C89" i="42"/>
  <c r="C151" i="42" s="1"/>
  <c r="C203" i="42" s="1"/>
  <c r="B89" i="42"/>
  <c r="B151" i="42" s="1"/>
  <c r="B203" i="42" s="1"/>
  <c r="B73" i="42"/>
  <c r="B79" i="42" s="1"/>
  <c r="B53" i="42"/>
  <c r="B33" i="42"/>
  <c r="B39" i="42" s="1"/>
  <c r="B25" i="42"/>
  <c r="B19" i="42"/>
  <c r="B12" i="42"/>
  <c r="B32" i="42" s="1"/>
  <c r="B38" i="42" s="1"/>
  <c r="B11" i="42"/>
  <c r="B150" i="42" s="1"/>
  <c r="B10" i="42"/>
  <c r="B76" i="42" s="1"/>
  <c r="B3" i="42"/>
  <c r="B2" i="42"/>
  <c r="G71" i="102"/>
  <c r="F71" i="102"/>
  <c r="E71" i="102"/>
  <c r="D71" i="102"/>
  <c r="C71" i="102"/>
  <c r="B71" i="102"/>
  <c r="G70" i="102"/>
  <c r="F70" i="102"/>
  <c r="E70" i="102"/>
  <c r="D70" i="102"/>
  <c r="H179" i="36" s="1"/>
  <c r="C70" i="102"/>
  <c r="G179" i="36" s="1"/>
  <c r="B70" i="102"/>
  <c r="N61" i="102"/>
  <c r="B57" i="102"/>
  <c r="B74" i="102" s="1"/>
  <c r="B52" i="102"/>
  <c r="B77" i="102" s="1"/>
  <c r="B51" i="102"/>
  <c r="B76" i="102" s="1"/>
  <c r="B50" i="102"/>
  <c r="B75" i="102" s="1"/>
  <c r="B49" i="102"/>
  <c r="H118" i="36"/>
  <c r="G118" i="36"/>
  <c r="B46" i="102"/>
  <c r="H117" i="36"/>
  <c r="G117" i="36"/>
  <c r="B45" i="102"/>
  <c r="H116" i="36"/>
  <c r="G116" i="36"/>
  <c r="H115" i="36"/>
  <c r="G115" i="36"/>
  <c r="H111" i="36"/>
  <c r="B32" i="102"/>
  <c r="P27" i="102"/>
  <c r="P26" i="102"/>
  <c r="P25" i="102"/>
  <c r="B24" i="102"/>
  <c r="P22" i="102"/>
  <c r="P21" i="102"/>
  <c r="I71" i="102"/>
  <c r="P20" i="102"/>
  <c r="G69" i="102"/>
  <c r="F69" i="102"/>
  <c r="E69" i="102"/>
  <c r="D69" i="102"/>
  <c r="C69" i="102"/>
  <c r="C133" i="97" s="1"/>
  <c r="F68" i="102"/>
  <c r="B68" i="102"/>
  <c r="E67" i="102"/>
  <c r="D67" i="102"/>
  <c r="E66" i="102"/>
  <c r="D66" i="102"/>
  <c r="P16" i="102"/>
  <c r="D65" i="102"/>
  <c r="B65" i="102"/>
  <c r="D64" i="102"/>
  <c r="C64" i="102"/>
  <c r="B64" i="102"/>
  <c r="P13" i="102"/>
  <c r="B37" i="102"/>
  <c r="B61" i="102"/>
  <c r="B60" i="102"/>
  <c r="B34" i="102"/>
  <c r="B58" i="102"/>
  <c r="B3" i="102"/>
  <c r="B2" i="102"/>
  <c r="B88" i="93"/>
  <c r="B87" i="93"/>
  <c r="B86" i="93"/>
  <c r="B85" i="93"/>
  <c r="B84" i="93"/>
  <c r="B83" i="93"/>
  <c r="B79" i="93"/>
  <c r="B78" i="93"/>
  <c r="B56" i="93"/>
  <c r="B55" i="93"/>
  <c r="J101" i="93"/>
  <c r="I101" i="93"/>
  <c r="H101" i="93"/>
  <c r="G101" i="93"/>
  <c r="F101" i="93"/>
  <c r="I100" i="93"/>
  <c r="G100" i="93"/>
  <c r="F100" i="93"/>
  <c r="G99" i="93"/>
  <c r="F99" i="93"/>
  <c r="I98" i="93"/>
  <c r="H98" i="93"/>
  <c r="G98" i="93"/>
  <c r="F98" i="93"/>
  <c r="H97" i="93"/>
  <c r="G97" i="93"/>
  <c r="F97" i="93"/>
  <c r="L96" i="93"/>
  <c r="K96" i="93"/>
  <c r="J96" i="93"/>
  <c r="I96" i="93"/>
  <c r="H96" i="93"/>
  <c r="G96" i="93"/>
  <c r="F96" i="93"/>
  <c r="G95" i="93"/>
  <c r="F95" i="93"/>
  <c r="F94" i="93"/>
  <c r="G93" i="93"/>
  <c r="F93" i="93"/>
  <c r="I67" i="93"/>
  <c r="B3" i="93"/>
  <c r="B2" i="93"/>
  <c r="I11" i="64"/>
  <c r="I28" i="64" s="1"/>
  <c r="H11" i="64"/>
  <c r="H28" i="64" s="1"/>
  <c r="G11" i="64"/>
  <c r="G28" i="64" s="1"/>
  <c r="F11" i="64"/>
  <c r="F28" i="64" s="1"/>
  <c r="E11" i="64"/>
  <c r="E20" i="64" s="1"/>
  <c r="D11" i="64"/>
  <c r="D28" i="64" s="1"/>
  <c r="C11" i="64"/>
  <c r="C28" i="64" s="1"/>
  <c r="B11" i="64"/>
  <c r="B20" i="64" s="1"/>
  <c r="F10" i="64"/>
  <c r="F19" i="64" s="1"/>
  <c r="E10" i="64"/>
  <c r="E27" i="64" s="1"/>
  <c r="D10" i="64"/>
  <c r="D27" i="64" s="1"/>
  <c r="C10" i="64"/>
  <c r="C27" i="64" s="1"/>
  <c r="B10" i="64"/>
  <c r="F9" i="64"/>
  <c r="E9" i="64"/>
  <c r="E26" i="64" s="1"/>
  <c r="D9" i="64"/>
  <c r="D26" i="64" s="1"/>
  <c r="C9" i="64"/>
  <c r="C26" i="64" s="1"/>
  <c r="B9" i="64"/>
  <c r="B18" i="64" s="1"/>
  <c r="F8" i="64"/>
  <c r="F25" i="64" s="1"/>
  <c r="E8" i="64"/>
  <c r="E25" i="64" s="1"/>
  <c r="D8" i="64"/>
  <c r="C8" i="64"/>
  <c r="B8" i="64"/>
  <c r="B3" i="64"/>
  <c r="B2" i="64"/>
  <c r="F83" i="63"/>
  <c r="E83" i="63"/>
  <c r="D83" i="63"/>
  <c r="C83" i="63"/>
  <c r="B83" i="63"/>
  <c r="F82" i="63"/>
  <c r="E82" i="63"/>
  <c r="D82" i="63"/>
  <c r="C82" i="63"/>
  <c r="B82" i="63"/>
  <c r="H76" i="63"/>
  <c r="G76" i="63"/>
  <c r="H75" i="63"/>
  <c r="D128" i="97" s="1"/>
  <c r="G75" i="63"/>
  <c r="C128" i="97" s="1"/>
  <c r="K60" i="63"/>
  <c r="F56" i="63"/>
  <c r="E56" i="63"/>
  <c r="D56" i="63"/>
  <c r="C56" i="63"/>
  <c r="B56" i="63"/>
  <c r="F55" i="63"/>
  <c r="E55" i="63"/>
  <c r="D55" i="63"/>
  <c r="C55" i="63"/>
  <c r="B55" i="63"/>
  <c r="K33" i="63"/>
  <c r="E89" i="97"/>
  <c r="F24" i="63"/>
  <c r="F78" i="63" s="1"/>
  <c r="E24" i="63"/>
  <c r="E51" i="63" s="1"/>
  <c r="D24" i="63"/>
  <c r="C24" i="63"/>
  <c r="B24" i="63"/>
  <c r="B51" i="63" s="1"/>
  <c r="E131" i="97"/>
  <c r="F23" i="63"/>
  <c r="F77" i="63" s="1"/>
  <c r="E23" i="63"/>
  <c r="D23" i="63"/>
  <c r="D50" i="63" s="1"/>
  <c r="C23" i="63"/>
  <c r="C77" i="63" s="1"/>
  <c r="B23" i="63"/>
  <c r="B77" i="63" s="1"/>
  <c r="F22" i="63"/>
  <c r="F49" i="63" s="1"/>
  <c r="E22" i="63"/>
  <c r="E49" i="63" s="1"/>
  <c r="D22" i="63"/>
  <c r="D76" i="63" s="1"/>
  <c r="C22" i="63"/>
  <c r="C76" i="63" s="1"/>
  <c r="B22" i="63"/>
  <c r="B76" i="63" s="1"/>
  <c r="F21" i="63"/>
  <c r="F75" i="63" s="1"/>
  <c r="E21" i="63"/>
  <c r="D21" i="63"/>
  <c r="C21" i="63"/>
  <c r="C48" i="63" s="1"/>
  <c r="B21" i="63"/>
  <c r="B48" i="63" s="1"/>
  <c r="F20" i="63"/>
  <c r="F47" i="63" s="1"/>
  <c r="E20" i="63"/>
  <c r="E47" i="63" s="1"/>
  <c r="D20" i="63"/>
  <c r="C20" i="63"/>
  <c r="C74" i="63" s="1"/>
  <c r="B20" i="63"/>
  <c r="F19" i="63"/>
  <c r="F73" i="63" s="1"/>
  <c r="E19" i="63"/>
  <c r="E46" i="63" s="1"/>
  <c r="D19" i="63"/>
  <c r="C19" i="63"/>
  <c r="C73" i="63" s="1"/>
  <c r="B19" i="63"/>
  <c r="B73" i="63" s="1"/>
  <c r="F18" i="63"/>
  <c r="E18" i="63"/>
  <c r="E45" i="63" s="1"/>
  <c r="D18" i="63"/>
  <c r="D72" i="63" s="1"/>
  <c r="C18" i="63"/>
  <c r="C45" i="63" s="1"/>
  <c r="B18" i="63"/>
  <c r="B72" i="63" s="1"/>
  <c r="F17" i="63"/>
  <c r="F71" i="63" s="1"/>
  <c r="E17" i="63"/>
  <c r="E44" i="63" s="1"/>
  <c r="D17" i="63"/>
  <c r="C17" i="63"/>
  <c r="C44" i="63" s="1"/>
  <c r="B17" i="63"/>
  <c r="B44" i="63" s="1"/>
  <c r="F16" i="63"/>
  <c r="E16" i="63"/>
  <c r="E70" i="63" s="1"/>
  <c r="D16" i="63"/>
  <c r="D70" i="63" s="1"/>
  <c r="C16" i="63"/>
  <c r="C43" i="63" s="1"/>
  <c r="B16" i="63"/>
  <c r="B70" i="63" s="1"/>
  <c r="F15" i="63"/>
  <c r="E15" i="63"/>
  <c r="D15" i="63"/>
  <c r="D69" i="63" s="1"/>
  <c r="C15" i="63"/>
  <c r="C42" i="63" s="1"/>
  <c r="B15" i="63"/>
  <c r="B69" i="63" s="1"/>
  <c r="F14" i="63"/>
  <c r="F41" i="63" s="1"/>
  <c r="E14" i="63"/>
  <c r="E68" i="63" s="1"/>
  <c r="D14" i="63"/>
  <c r="C14" i="63"/>
  <c r="C41" i="63" s="1"/>
  <c r="B14" i="63"/>
  <c r="B68" i="63" s="1"/>
  <c r="F13" i="63"/>
  <c r="F40" i="63" s="1"/>
  <c r="E13" i="63"/>
  <c r="E67" i="63" s="1"/>
  <c r="D13" i="63"/>
  <c r="D67" i="63" s="1"/>
  <c r="C13" i="63"/>
  <c r="C40" i="63" s="1"/>
  <c r="B13" i="63"/>
  <c r="B67" i="63" s="1"/>
  <c r="F12" i="63"/>
  <c r="F66" i="63" s="1"/>
  <c r="E12" i="63"/>
  <c r="D12" i="63"/>
  <c r="D39" i="63" s="1"/>
  <c r="C12" i="63"/>
  <c r="C39" i="63" s="1"/>
  <c r="B12" i="63"/>
  <c r="B39" i="63" s="1"/>
  <c r="F11" i="63"/>
  <c r="F65" i="63" s="1"/>
  <c r="E11" i="63"/>
  <c r="E65" i="63" s="1"/>
  <c r="D11" i="63"/>
  <c r="D38" i="63" s="1"/>
  <c r="C11" i="63"/>
  <c r="C65" i="63" s="1"/>
  <c r="B11" i="63"/>
  <c r="B65" i="63" s="1"/>
  <c r="F10" i="63"/>
  <c r="F64" i="63" s="1"/>
  <c r="E10" i="63"/>
  <c r="D10" i="63"/>
  <c r="D37" i="63" s="1"/>
  <c r="C10" i="63"/>
  <c r="C64" i="63" s="1"/>
  <c r="B10" i="63"/>
  <c r="F9" i="63"/>
  <c r="F63" i="63" s="1"/>
  <c r="E9" i="63"/>
  <c r="E63" i="63" s="1"/>
  <c r="D9" i="63"/>
  <c r="D36" i="63" s="1"/>
  <c r="C9" i="63"/>
  <c r="C36" i="63" s="1"/>
  <c r="B9" i="63"/>
  <c r="F8" i="63"/>
  <c r="F62" i="63" s="1"/>
  <c r="E8" i="63"/>
  <c r="E35" i="63" s="1"/>
  <c r="D8" i="63"/>
  <c r="D35" i="63" s="1"/>
  <c r="C8" i="63"/>
  <c r="C35" i="63" s="1"/>
  <c r="B8" i="63"/>
  <c r="F7" i="63"/>
  <c r="F54" i="63" s="1"/>
  <c r="E7" i="63"/>
  <c r="E81" i="63" s="1"/>
  <c r="D7" i="63"/>
  <c r="D7" i="64" s="1"/>
  <c r="C7" i="63"/>
  <c r="C7" i="64" s="1"/>
  <c r="B7" i="63"/>
  <c r="B61" i="63" s="1"/>
  <c r="K6" i="63"/>
  <c r="B3" i="63"/>
  <c r="B2" i="63"/>
  <c r="F190" i="36"/>
  <c r="E190" i="36"/>
  <c r="H187" i="36"/>
  <c r="G187" i="36"/>
  <c r="F183" i="36"/>
  <c r="E183" i="36"/>
  <c r="D183" i="36"/>
  <c r="C183" i="36"/>
  <c r="B183" i="36"/>
  <c r="F181" i="36"/>
  <c r="E181" i="36"/>
  <c r="D181" i="36"/>
  <c r="C181" i="36"/>
  <c r="B181" i="36"/>
  <c r="F180" i="36"/>
  <c r="E180" i="36"/>
  <c r="D180" i="36"/>
  <c r="C180" i="36"/>
  <c r="B180" i="36"/>
  <c r="F179" i="36"/>
  <c r="E179" i="36"/>
  <c r="D179" i="36"/>
  <c r="C179" i="36"/>
  <c r="B179" i="36"/>
  <c r="H178" i="36"/>
  <c r="F178" i="36"/>
  <c r="E178" i="36"/>
  <c r="D178" i="36"/>
  <c r="B178" i="36"/>
  <c r="G177" i="36"/>
  <c r="F177" i="36"/>
  <c r="E177" i="36"/>
  <c r="D177" i="36"/>
  <c r="C177" i="36"/>
  <c r="B177" i="36"/>
  <c r="G176" i="36"/>
  <c r="F176" i="36"/>
  <c r="E176" i="36"/>
  <c r="D176" i="36"/>
  <c r="C176" i="36"/>
  <c r="B176" i="36"/>
  <c r="F175" i="36"/>
  <c r="E175" i="36"/>
  <c r="D175" i="36"/>
  <c r="C175" i="36"/>
  <c r="B175" i="36"/>
  <c r="F174" i="36"/>
  <c r="E174" i="36"/>
  <c r="D174" i="36"/>
  <c r="C174" i="36"/>
  <c r="B174" i="36"/>
  <c r="F173" i="36"/>
  <c r="E173" i="36"/>
  <c r="D173" i="36"/>
  <c r="C173" i="36"/>
  <c r="B173" i="36"/>
  <c r="F172" i="36"/>
  <c r="E172" i="36"/>
  <c r="D172" i="36"/>
  <c r="C172" i="36"/>
  <c r="B172" i="36"/>
  <c r="F171" i="36"/>
  <c r="E171" i="36"/>
  <c r="D171" i="36"/>
  <c r="C171" i="36"/>
  <c r="B171" i="36"/>
  <c r="F170" i="36"/>
  <c r="E170" i="36"/>
  <c r="D170" i="36"/>
  <c r="C170" i="36"/>
  <c r="B170" i="36"/>
  <c r="F169" i="36"/>
  <c r="E169" i="36"/>
  <c r="D169" i="36"/>
  <c r="C169" i="36"/>
  <c r="B169" i="36"/>
  <c r="F168" i="36"/>
  <c r="E168" i="36"/>
  <c r="D168" i="36"/>
  <c r="C168" i="36"/>
  <c r="B168" i="36"/>
  <c r="F167" i="36"/>
  <c r="E167" i="36"/>
  <c r="D167" i="36"/>
  <c r="C167" i="36"/>
  <c r="B167" i="36"/>
  <c r="C162" i="36"/>
  <c r="C161" i="36"/>
  <c r="C160" i="36"/>
  <c r="F159" i="36"/>
  <c r="C159" i="36"/>
  <c r="C158" i="36"/>
  <c r="C157" i="36"/>
  <c r="F156" i="36"/>
  <c r="C156" i="36"/>
  <c r="C155" i="36"/>
  <c r="C154" i="36"/>
  <c r="F153" i="36"/>
  <c r="C153" i="36"/>
  <c r="H147" i="36"/>
  <c r="H146" i="36"/>
  <c r="G141" i="36"/>
  <c r="C130" i="36"/>
  <c r="D128" i="36"/>
  <c r="D190" i="36" s="1"/>
  <c r="C128" i="36"/>
  <c r="C190" i="36" s="1"/>
  <c r="B128" i="36"/>
  <c r="B190" i="36" s="1"/>
  <c r="F127" i="36"/>
  <c r="F189" i="36" s="1"/>
  <c r="E127" i="36"/>
  <c r="E189" i="36" s="1"/>
  <c r="D127" i="36"/>
  <c r="D189" i="36" s="1"/>
  <c r="C127" i="36"/>
  <c r="C189" i="36" s="1"/>
  <c r="B127" i="36"/>
  <c r="B189" i="36" s="1"/>
  <c r="F125" i="36"/>
  <c r="F187" i="36" s="1"/>
  <c r="E125" i="36"/>
  <c r="E187" i="36" s="1"/>
  <c r="D125" i="36"/>
  <c r="D187" i="36" s="1"/>
  <c r="C125" i="36"/>
  <c r="C187" i="36" s="1"/>
  <c r="B125" i="36"/>
  <c r="B187" i="36" s="1"/>
  <c r="F124" i="36"/>
  <c r="F186" i="36" s="1"/>
  <c r="E124" i="36"/>
  <c r="E186" i="36" s="1"/>
  <c r="D124" i="36"/>
  <c r="D186" i="36" s="1"/>
  <c r="C124" i="36"/>
  <c r="C186" i="36" s="1"/>
  <c r="B124" i="36"/>
  <c r="B186" i="36" s="1"/>
  <c r="F123" i="36"/>
  <c r="F185" i="36" s="1"/>
  <c r="E123" i="36"/>
  <c r="E185" i="36" s="1"/>
  <c r="D123" i="36"/>
  <c r="D185" i="36" s="1"/>
  <c r="C123" i="36"/>
  <c r="C185" i="36" s="1"/>
  <c r="B123" i="36"/>
  <c r="B185" i="36" s="1"/>
  <c r="F122" i="36"/>
  <c r="F184" i="36" s="1"/>
  <c r="E122" i="36"/>
  <c r="E184" i="36" s="1"/>
  <c r="D122" i="36"/>
  <c r="D184" i="36" s="1"/>
  <c r="C122" i="36"/>
  <c r="C184" i="36" s="1"/>
  <c r="B122" i="36"/>
  <c r="B184" i="36" s="1"/>
  <c r="D120" i="36"/>
  <c r="C120" i="36"/>
  <c r="B120" i="36"/>
  <c r="D119" i="36"/>
  <c r="C119" i="36"/>
  <c r="B119" i="36"/>
  <c r="D118" i="36"/>
  <c r="C118" i="36"/>
  <c r="B118" i="36"/>
  <c r="D117" i="36"/>
  <c r="C117" i="36"/>
  <c r="B117" i="36"/>
  <c r="D116" i="36"/>
  <c r="B116" i="36"/>
  <c r="D115" i="36"/>
  <c r="C115" i="36"/>
  <c r="B115" i="36"/>
  <c r="D114" i="36"/>
  <c r="C114" i="36"/>
  <c r="B114" i="36"/>
  <c r="D113" i="36"/>
  <c r="C113" i="36"/>
  <c r="B113" i="36"/>
  <c r="D112" i="36"/>
  <c r="C112" i="36"/>
  <c r="B112" i="36"/>
  <c r="D111" i="36"/>
  <c r="C111" i="36"/>
  <c r="B111" i="36"/>
  <c r="D110" i="36"/>
  <c r="C110" i="36"/>
  <c r="B110" i="36"/>
  <c r="D109" i="36"/>
  <c r="C109" i="36"/>
  <c r="B109" i="36"/>
  <c r="D108" i="36"/>
  <c r="C108" i="36"/>
  <c r="B108" i="36"/>
  <c r="D107" i="36"/>
  <c r="C107" i="36"/>
  <c r="B107" i="36"/>
  <c r="D106" i="36"/>
  <c r="C106" i="36"/>
  <c r="B106" i="36"/>
  <c r="D105" i="36"/>
  <c r="C105" i="36"/>
  <c r="B105" i="36"/>
  <c r="C100" i="36"/>
  <c r="C99" i="36"/>
  <c r="C98" i="36"/>
  <c r="F97" i="36"/>
  <c r="C97" i="36"/>
  <c r="C96" i="36"/>
  <c r="C95" i="36"/>
  <c r="F94" i="36"/>
  <c r="C94" i="36"/>
  <c r="C93" i="36"/>
  <c r="C92" i="36"/>
  <c r="F91" i="36"/>
  <c r="C91" i="36"/>
  <c r="K20" i="64"/>
  <c r="J20" i="64"/>
  <c r="K18" i="64"/>
  <c r="H18" i="64"/>
  <c r="G18" i="64"/>
  <c r="L19" i="64"/>
  <c r="K19" i="64"/>
  <c r="J19" i="64"/>
  <c r="I19" i="64"/>
  <c r="H19" i="64"/>
  <c r="G19" i="64"/>
  <c r="H45" i="63"/>
  <c r="H43" i="63"/>
  <c r="H42" i="63"/>
  <c r="G42" i="63"/>
  <c r="G41" i="63"/>
  <c r="G40" i="63"/>
  <c r="H39" i="63"/>
  <c r="G39" i="63"/>
  <c r="J17" i="64"/>
  <c r="I17" i="64"/>
  <c r="H17" i="64"/>
  <c r="G17" i="64"/>
  <c r="H38" i="63"/>
  <c r="G38" i="63"/>
  <c r="H37" i="63"/>
  <c r="G37" i="63"/>
  <c r="H36" i="63"/>
  <c r="G36" i="63"/>
  <c r="H35" i="63"/>
  <c r="F69" i="36"/>
  <c r="F131" i="36" s="1"/>
  <c r="E69" i="36"/>
  <c r="E131" i="36" s="1"/>
  <c r="D69" i="36"/>
  <c r="D131" i="36" s="1"/>
  <c r="C69" i="36"/>
  <c r="C131" i="36" s="1"/>
  <c r="B69" i="36"/>
  <c r="B131" i="36" s="1"/>
  <c r="T65" i="36"/>
  <c r="T63" i="36"/>
  <c r="H63" i="36"/>
  <c r="G63" i="36"/>
  <c r="T62" i="36"/>
  <c r="T61" i="36"/>
  <c r="T60" i="36"/>
  <c r="F59" i="36"/>
  <c r="E59" i="36"/>
  <c r="D59" i="36"/>
  <c r="D121" i="36" s="1"/>
  <c r="C59" i="36"/>
  <c r="C121" i="36" s="1"/>
  <c r="B59" i="36"/>
  <c r="B121" i="36" s="1"/>
  <c r="T58" i="36"/>
  <c r="T56" i="36"/>
  <c r="T55" i="36"/>
  <c r="C54" i="36"/>
  <c r="T53" i="36"/>
  <c r="T52" i="36"/>
  <c r="T51" i="36"/>
  <c r="T50" i="36"/>
  <c r="T49" i="36"/>
  <c r="T48" i="36"/>
  <c r="T47" i="36"/>
  <c r="T46" i="36"/>
  <c r="T45" i="36"/>
  <c r="T44" i="36"/>
  <c r="T43" i="36"/>
  <c r="F38" i="36"/>
  <c r="F162" i="36" s="1"/>
  <c r="E38" i="36"/>
  <c r="D38" i="36"/>
  <c r="B38" i="36"/>
  <c r="B162" i="36" s="1"/>
  <c r="F37" i="36"/>
  <c r="E37" i="36"/>
  <c r="D37" i="36"/>
  <c r="B37" i="36"/>
  <c r="F36" i="36"/>
  <c r="F98" i="36" s="1"/>
  <c r="E36" i="36"/>
  <c r="E160" i="36" s="1"/>
  <c r="D36" i="36"/>
  <c r="D160" i="36" s="1"/>
  <c r="B36" i="36"/>
  <c r="B160" i="36" s="1"/>
  <c r="E35" i="36"/>
  <c r="D35" i="36"/>
  <c r="B35" i="36"/>
  <c r="B159" i="36" s="1"/>
  <c r="F34" i="36"/>
  <c r="E34" i="36"/>
  <c r="E158" i="36" s="1"/>
  <c r="D34" i="36"/>
  <c r="D158" i="36" s="1"/>
  <c r="B34" i="36"/>
  <c r="B158" i="36" s="1"/>
  <c r="F33" i="36"/>
  <c r="E33" i="36"/>
  <c r="D33" i="36"/>
  <c r="B33" i="36"/>
  <c r="E32" i="36"/>
  <c r="D32" i="36"/>
  <c r="D156" i="36" s="1"/>
  <c r="B32" i="36"/>
  <c r="B156" i="36" s="1"/>
  <c r="F31" i="36"/>
  <c r="F155" i="36" s="1"/>
  <c r="E31" i="36"/>
  <c r="E155" i="36" s="1"/>
  <c r="D31" i="36"/>
  <c r="B31" i="36"/>
  <c r="F30" i="36"/>
  <c r="F154" i="36" s="1"/>
  <c r="E30" i="36"/>
  <c r="E154" i="36" s="1"/>
  <c r="D30" i="36"/>
  <c r="D92" i="36" s="1"/>
  <c r="B30" i="36"/>
  <c r="B92" i="36" s="1"/>
  <c r="E29" i="36"/>
  <c r="E91" i="36" s="1"/>
  <c r="D29" i="36"/>
  <c r="D153" i="36" s="1"/>
  <c r="B29" i="36"/>
  <c r="T28" i="36"/>
  <c r="F28" i="36"/>
  <c r="F110" i="42" s="1"/>
  <c r="E28" i="36"/>
  <c r="D28" i="36"/>
  <c r="D110" i="42" s="1"/>
  <c r="C28" i="36"/>
  <c r="C110" i="42" s="1"/>
  <c r="B28" i="36"/>
  <c r="T27" i="36"/>
  <c r="F27" i="36"/>
  <c r="F89" i="36" s="1"/>
  <c r="E27" i="36"/>
  <c r="E89" i="36" s="1"/>
  <c r="D27" i="36"/>
  <c r="C27" i="36"/>
  <c r="C109" i="42" s="1"/>
  <c r="B27" i="36"/>
  <c r="B109" i="42" s="1"/>
  <c r="T26" i="36"/>
  <c r="F26" i="36"/>
  <c r="E26" i="36"/>
  <c r="D26" i="36"/>
  <c r="D88" i="36" s="1"/>
  <c r="C26" i="36"/>
  <c r="C88" i="36" s="1"/>
  <c r="B26" i="36"/>
  <c r="B108" i="42" s="1"/>
  <c r="T25" i="36"/>
  <c r="G85" i="97"/>
  <c r="F85" i="97"/>
  <c r="F25" i="36"/>
  <c r="E25" i="36"/>
  <c r="D25" i="36"/>
  <c r="C25" i="36"/>
  <c r="B25" i="36"/>
  <c r="B107" i="42" s="1"/>
  <c r="T24" i="36"/>
  <c r="M11" i="64"/>
  <c r="J11" i="64"/>
  <c r="J28" i="64" s="1"/>
  <c r="F24" i="36"/>
  <c r="F106" i="42" s="1"/>
  <c r="E24" i="36"/>
  <c r="E86" i="36" s="1"/>
  <c r="D24" i="36"/>
  <c r="D86" i="36" s="1"/>
  <c r="C24" i="36"/>
  <c r="B24" i="36"/>
  <c r="F84" i="97"/>
  <c r="F23" i="36"/>
  <c r="F105" i="42" s="1"/>
  <c r="E23" i="36"/>
  <c r="E105" i="42" s="1"/>
  <c r="D23" i="36"/>
  <c r="D105" i="42" s="1"/>
  <c r="C23" i="36"/>
  <c r="B23" i="36"/>
  <c r="F22" i="36"/>
  <c r="F104" i="42" s="1"/>
  <c r="E22" i="36"/>
  <c r="E104" i="42" s="1"/>
  <c r="D22" i="36"/>
  <c r="D104" i="42" s="1"/>
  <c r="C22" i="36"/>
  <c r="B22" i="36"/>
  <c r="J9" i="64"/>
  <c r="G9" i="64"/>
  <c r="G26" i="64" s="1"/>
  <c r="F21" i="36"/>
  <c r="F103" i="42" s="1"/>
  <c r="E21" i="36"/>
  <c r="D21" i="36"/>
  <c r="D83" i="36" s="1"/>
  <c r="C21" i="36"/>
  <c r="C103" i="42" s="1"/>
  <c r="B21" i="36"/>
  <c r="B83" i="36" s="1"/>
  <c r="J10" i="64"/>
  <c r="G10" i="64"/>
  <c r="F20" i="36"/>
  <c r="E20" i="36"/>
  <c r="D20" i="36"/>
  <c r="D102" i="42" s="1"/>
  <c r="C20" i="36"/>
  <c r="B20" i="36"/>
  <c r="B82" i="36" s="1"/>
  <c r="H143" i="36"/>
  <c r="F19" i="36"/>
  <c r="E19" i="36"/>
  <c r="D19" i="36"/>
  <c r="D101" i="42" s="1"/>
  <c r="C19" i="36"/>
  <c r="C81" i="36" s="1"/>
  <c r="B19" i="36"/>
  <c r="B101" i="42" s="1"/>
  <c r="F18" i="36"/>
  <c r="E18" i="36"/>
  <c r="E100" i="42" s="1"/>
  <c r="D18" i="36"/>
  <c r="D100" i="42" s="1"/>
  <c r="C18" i="36"/>
  <c r="C100" i="42" s="1"/>
  <c r="B18" i="36"/>
  <c r="B100" i="42" s="1"/>
  <c r="T17" i="36"/>
  <c r="T16" i="63" s="1"/>
  <c r="F17" i="36"/>
  <c r="E17" i="36"/>
  <c r="D17" i="36"/>
  <c r="C17" i="36"/>
  <c r="C99" i="42" s="1"/>
  <c r="B17" i="36"/>
  <c r="B99" i="42" s="1"/>
  <c r="T16" i="36"/>
  <c r="D81" i="97"/>
  <c r="F16" i="36"/>
  <c r="E16" i="36"/>
  <c r="E140" i="36" s="1"/>
  <c r="D16" i="36"/>
  <c r="D140" i="36" s="1"/>
  <c r="C16" i="36"/>
  <c r="B16" i="36"/>
  <c r="B98" i="42" s="1"/>
  <c r="E77" i="97"/>
  <c r="F15" i="36"/>
  <c r="E15" i="36"/>
  <c r="D15" i="36"/>
  <c r="D77" i="36" s="1"/>
  <c r="C15" i="36"/>
  <c r="C97" i="42" s="1"/>
  <c r="B15" i="36"/>
  <c r="F14" i="36"/>
  <c r="F96" i="42" s="1"/>
  <c r="E14" i="36"/>
  <c r="E138" i="36" s="1"/>
  <c r="D14" i="36"/>
  <c r="C14" i="36"/>
  <c r="B14" i="36"/>
  <c r="B96" i="42" s="1"/>
  <c r="F13" i="36"/>
  <c r="E13" i="36"/>
  <c r="D13" i="36"/>
  <c r="C13" i="36"/>
  <c r="C95" i="42" s="1"/>
  <c r="B13" i="36"/>
  <c r="B95" i="42" s="1"/>
  <c r="K8" i="64"/>
  <c r="J8" i="64"/>
  <c r="I8" i="64"/>
  <c r="H8" i="64"/>
  <c r="F12" i="36"/>
  <c r="F94" i="42" s="1"/>
  <c r="E12" i="36"/>
  <c r="D12" i="36"/>
  <c r="C12" i="36"/>
  <c r="B12" i="36"/>
  <c r="B94" i="42" s="1"/>
  <c r="F11" i="36"/>
  <c r="E11" i="36"/>
  <c r="D11" i="36"/>
  <c r="C11" i="36"/>
  <c r="B11" i="36"/>
  <c r="B135" i="36" s="1"/>
  <c r="T10" i="36"/>
  <c r="T10" i="63" s="1"/>
  <c r="F10" i="36"/>
  <c r="E10" i="36"/>
  <c r="D10" i="36"/>
  <c r="C10" i="36"/>
  <c r="B10" i="36"/>
  <c r="G80" i="97"/>
  <c r="F80" i="97"/>
  <c r="E80" i="97"/>
  <c r="D80" i="97"/>
  <c r="C80" i="97"/>
  <c r="F9" i="36"/>
  <c r="E9" i="36"/>
  <c r="D9" i="36"/>
  <c r="D91" i="42" s="1"/>
  <c r="C9" i="36"/>
  <c r="C71" i="36" s="1"/>
  <c r="B9" i="36"/>
  <c r="B91" i="42" s="1"/>
  <c r="F76" i="97"/>
  <c r="C76" i="97"/>
  <c r="F8" i="36"/>
  <c r="F70" i="36" s="1"/>
  <c r="E8" i="36"/>
  <c r="E90" i="42" s="1"/>
  <c r="D8" i="36"/>
  <c r="D90" i="42" s="1"/>
  <c r="C8" i="36"/>
  <c r="B8" i="36"/>
  <c r="B3" i="36"/>
  <c r="B2" i="36"/>
  <c r="B303" i="97"/>
  <c r="B310" i="97" s="1"/>
  <c r="H246" i="97"/>
  <c r="G246" i="97"/>
  <c r="F246" i="97"/>
  <c r="E246" i="97"/>
  <c r="D246" i="97"/>
  <c r="C246" i="97"/>
  <c r="P244" i="97"/>
  <c r="P243" i="97"/>
  <c r="P216" i="97"/>
  <c r="P215" i="97"/>
  <c r="P214" i="97"/>
  <c r="P213" i="97"/>
  <c r="P212" i="97"/>
  <c r="P211" i="97"/>
  <c r="P210" i="97"/>
  <c r="P209" i="97"/>
  <c r="P208" i="97"/>
  <c r="B295" i="97"/>
  <c r="B302" i="97" s="1"/>
  <c r="B309" i="97" s="1"/>
  <c r="B180" i="97"/>
  <c r="B294" i="97" s="1"/>
  <c r="B301" i="97" s="1"/>
  <c r="B308" i="97" s="1"/>
  <c r="B179" i="97"/>
  <c r="B293" i="97" s="1"/>
  <c r="B300" i="97" s="1"/>
  <c r="B307" i="97" s="1"/>
  <c r="D132" i="97"/>
  <c r="C132" i="97"/>
  <c r="D131" i="97"/>
  <c r="C131" i="97"/>
  <c r="B130" i="97"/>
  <c r="B129" i="97"/>
  <c r="B128" i="97"/>
  <c r="B126" i="97"/>
  <c r="B125" i="97"/>
  <c r="B122" i="97"/>
  <c r="B121" i="97"/>
  <c r="B120" i="97"/>
  <c r="B119" i="97"/>
  <c r="D89" i="97"/>
  <c r="C89" i="97"/>
  <c r="D88" i="97"/>
  <c r="C88" i="97"/>
  <c r="D85" i="97"/>
  <c r="C85" i="97"/>
  <c r="D84" i="97"/>
  <c r="C84" i="97"/>
  <c r="B3" i="97"/>
  <c r="B2" i="97"/>
  <c r="B3" i="46"/>
  <c r="B2" i="46"/>
  <c r="B3" i="10"/>
  <c r="B2" i="10"/>
  <c r="H63" i="52"/>
  <c r="H62" i="52"/>
  <c r="C61" i="52"/>
  <c r="C136" i="42" s="1"/>
  <c r="H60" i="52"/>
  <c r="H59" i="52"/>
  <c r="H58" i="52"/>
  <c r="H57" i="52"/>
  <c r="H56" i="52"/>
  <c r="H55" i="52"/>
  <c r="H54" i="52"/>
  <c r="H53" i="52"/>
  <c r="H52" i="52"/>
  <c r="H51" i="52"/>
  <c r="H50" i="52"/>
  <c r="H48" i="52"/>
  <c r="H47" i="52"/>
  <c r="H46" i="52"/>
  <c r="H45" i="52"/>
  <c r="H44" i="52"/>
  <c r="T38" i="36" s="1"/>
  <c r="H43" i="52"/>
  <c r="B16" i="93" s="1"/>
  <c r="B69" i="93" s="1"/>
  <c r="B100" i="93" s="1"/>
  <c r="H42" i="52"/>
  <c r="H41" i="52"/>
  <c r="H40" i="52"/>
  <c r="B13" i="93" s="1"/>
  <c r="B66" i="93" s="1"/>
  <c r="B97" i="93" s="1"/>
  <c r="H39" i="52"/>
  <c r="H38" i="52"/>
  <c r="H37" i="52"/>
  <c r="H36" i="52"/>
  <c r="B9" i="93" s="1"/>
  <c r="B62" i="93" s="1"/>
  <c r="B93" i="93" s="1"/>
  <c r="H35" i="52"/>
  <c r="B8" i="93" s="1"/>
  <c r="B38" i="93" s="1"/>
  <c r="H29" i="52"/>
  <c r="T23" i="36" s="1"/>
  <c r="H28" i="52"/>
  <c r="H27" i="52"/>
  <c r="H26" i="52"/>
  <c r="H25" i="52"/>
  <c r="H24" i="52"/>
  <c r="H21" i="52"/>
  <c r="T15" i="36" s="1"/>
  <c r="H20" i="52"/>
  <c r="H19" i="52"/>
  <c r="H18" i="52"/>
  <c r="H17" i="52"/>
  <c r="T11" i="36" s="1"/>
  <c r="H15" i="52"/>
  <c r="H14" i="52"/>
  <c r="T8" i="36" s="1"/>
  <c r="B3" i="52"/>
  <c r="B2" i="52"/>
  <c r="H374" i="42"/>
  <c r="G374" i="42"/>
  <c r="H373" i="42"/>
  <c r="G373" i="42"/>
  <c r="H372" i="42"/>
  <c r="G372" i="42"/>
  <c r="H360" i="42"/>
  <c r="G360" i="42"/>
  <c r="H359" i="42"/>
  <c r="G359" i="42"/>
  <c r="L359" i="42"/>
  <c r="K345" i="42"/>
  <c r="J345" i="42"/>
  <c r="H114" i="36"/>
  <c r="G114" i="36"/>
  <c r="H113" i="36"/>
  <c r="G113" i="36"/>
  <c r="H112" i="36"/>
  <c r="G112" i="36"/>
  <c r="G111" i="36"/>
  <c r="G110" i="36"/>
  <c r="G109" i="36"/>
  <c r="G108" i="36"/>
  <c r="G105" i="36"/>
  <c r="M20" i="64"/>
  <c r="L20" i="64"/>
  <c r="L18" i="64"/>
  <c r="I18" i="64"/>
  <c r="F27" i="64" l="1"/>
  <c r="H208" i="42"/>
  <c r="C214" i="97"/>
  <c r="C87" i="97" s="1"/>
  <c r="G173" i="36"/>
  <c r="H176" i="36"/>
  <c r="E28" i="64"/>
  <c r="Q216" i="97"/>
  <c r="D214" i="97"/>
  <c r="D87" i="97" s="1"/>
  <c r="D130" i="97"/>
  <c r="E214" i="97"/>
  <c r="E87" i="97" s="1"/>
  <c r="E130" i="97"/>
  <c r="S216" i="97"/>
  <c r="C215" i="97"/>
  <c r="B28" i="64"/>
  <c r="B39" i="93"/>
  <c r="E18" i="64"/>
  <c r="R216" i="97"/>
  <c r="C20" i="64"/>
  <c r="B43" i="93"/>
  <c r="G208" i="42"/>
  <c r="G51" i="42"/>
  <c r="D25" i="64"/>
  <c r="D17" i="64"/>
  <c r="C65" i="102"/>
  <c r="C213" i="97"/>
  <c r="C86" i="97" s="1"/>
  <c r="F134" i="97"/>
  <c r="G134" i="97"/>
  <c r="D68" i="102"/>
  <c r="H70" i="102"/>
  <c r="H216" i="97"/>
  <c r="H51" i="42"/>
  <c r="U216" i="97"/>
  <c r="F92" i="93"/>
  <c r="F114" i="93"/>
  <c r="C66" i="102"/>
  <c r="C130" i="97" s="1"/>
  <c r="E68" i="102"/>
  <c r="E215" i="97"/>
  <c r="I70" i="102"/>
  <c r="W216" i="97" s="1"/>
  <c r="G180" i="36"/>
  <c r="B18" i="93"/>
  <c r="T39" i="36"/>
  <c r="K17" i="64"/>
  <c r="K25" i="64" s="1"/>
  <c r="B61" i="93"/>
  <c r="B92" i="93" s="1"/>
  <c r="B19" i="93"/>
  <c r="T40" i="36"/>
  <c r="F26" i="64"/>
  <c r="F18" i="64"/>
  <c r="B10" i="93"/>
  <c r="B20" i="93"/>
  <c r="T41" i="36"/>
  <c r="H174" i="36"/>
  <c r="T32" i="36"/>
  <c r="B11" i="93"/>
  <c r="B21" i="93"/>
  <c r="T42" i="36"/>
  <c r="C25" i="64"/>
  <c r="C17" i="64"/>
  <c r="H100" i="93"/>
  <c r="G72" i="93"/>
  <c r="F72" i="93"/>
  <c r="T35" i="36"/>
  <c r="B14" i="93"/>
  <c r="D18" i="64"/>
  <c r="B46" i="93"/>
  <c r="G146" i="42"/>
  <c r="G52" i="42"/>
  <c r="T36" i="36"/>
  <c r="B15" i="93"/>
  <c r="G27" i="64"/>
  <c r="Q242" i="97" s="1"/>
  <c r="C134" i="97"/>
  <c r="B12" i="93"/>
  <c r="H146" i="42"/>
  <c r="H52" i="42"/>
  <c r="D129" i="97"/>
  <c r="D134" i="97"/>
  <c r="F133" i="97"/>
  <c r="K350" i="42"/>
  <c r="B17" i="93"/>
  <c r="E134" i="97"/>
  <c r="G332" i="42"/>
  <c r="H371" i="42"/>
  <c r="H333" i="42"/>
  <c r="J350" i="42"/>
  <c r="G333" i="42"/>
  <c r="G371" i="42"/>
  <c r="D31" i="46"/>
  <c r="D30" i="46"/>
  <c r="B16" i="42"/>
  <c r="B191" i="42"/>
  <c r="B22" i="42"/>
  <c r="B70" i="42"/>
  <c r="B82" i="42" s="1"/>
  <c r="B18" i="42"/>
  <c r="B30" i="42"/>
  <c r="B36" i="42" s="1"/>
  <c r="C192" i="42"/>
  <c r="D182" i="42"/>
  <c r="C254" i="42"/>
  <c r="F175" i="42"/>
  <c r="E182" i="42"/>
  <c r="B190" i="42"/>
  <c r="E85" i="97"/>
  <c r="H347" i="42"/>
  <c r="E88" i="97"/>
  <c r="H139" i="36"/>
  <c r="I62" i="36"/>
  <c r="G138" i="36"/>
  <c r="D40" i="63"/>
  <c r="E74" i="63"/>
  <c r="B42" i="63"/>
  <c r="T19" i="63"/>
  <c r="F27" i="63"/>
  <c r="F46" i="63"/>
  <c r="F85" i="36"/>
  <c r="C50" i="63"/>
  <c r="C72" i="63"/>
  <c r="E76" i="63"/>
  <c r="D61" i="63"/>
  <c r="B75" i="36"/>
  <c r="F90" i="36"/>
  <c r="B133" i="36"/>
  <c r="F147" i="36"/>
  <c r="B66" i="63"/>
  <c r="G346" i="42"/>
  <c r="B137" i="36"/>
  <c r="E36" i="63"/>
  <c r="D45" i="63"/>
  <c r="C66" i="63"/>
  <c r="C81" i="63"/>
  <c r="B154" i="36"/>
  <c r="D81" i="63"/>
  <c r="B96" i="36"/>
  <c r="H89" i="97"/>
  <c r="D94" i="36"/>
  <c r="E142" i="36"/>
  <c r="T17" i="63"/>
  <c r="B34" i="63"/>
  <c r="E40" i="63"/>
  <c r="B45" i="63"/>
  <c r="F61" i="63"/>
  <c r="F81" i="63"/>
  <c r="B75" i="63"/>
  <c r="H62" i="36"/>
  <c r="E92" i="36"/>
  <c r="F93" i="36"/>
  <c r="D132" i="36"/>
  <c r="D143" i="36"/>
  <c r="T14" i="63"/>
  <c r="F34" i="63"/>
  <c r="B41" i="63"/>
  <c r="B50" i="63"/>
  <c r="C62" i="63"/>
  <c r="F7" i="64"/>
  <c r="F24" i="64" s="1"/>
  <c r="B71" i="63"/>
  <c r="D142" i="36"/>
  <c r="F44" i="63"/>
  <c r="C75" i="63"/>
  <c r="E147" i="42"/>
  <c r="E271" i="42" s="1"/>
  <c r="E334" i="42" s="1"/>
  <c r="F213" i="42"/>
  <c r="E269" i="42"/>
  <c r="E332" i="42" s="1"/>
  <c r="G113" i="93"/>
  <c r="K101" i="93"/>
  <c r="K116" i="93" s="1"/>
  <c r="I116" i="93"/>
  <c r="L101" i="93"/>
  <c r="L116" i="93" s="1"/>
  <c r="B262" i="42"/>
  <c r="B193" i="42"/>
  <c r="B255" i="42"/>
  <c r="B253" i="42"/>
  <c r="D100" i="36"/>
  <c r="D162" i="36"/>
  <c r="E70" i="36"/>
  <c r="E93" i="36"/>
  <c r="E98" i="36"/>
  <c r="H140" i="36"/>
  <c r="E77" i="63"/>
  <c r="E50" i="63"/>
  <c r="C269" i="42"/>
  <c r="C332" i="42" s="1"/>
  <c r="C147" i="42"/>
  <c r="C271" i="42" s="1"/>
  <c r="C334" i="42" s="1"/>
  <c r="C207" i="42"/>
  <c r="C242" i="97"/>
  <c r="E162" i="36"/>
  <c r="E100" i="36"/>
  <c r="E37" i="63"/>
  <c r="E64" i="63"/>
  <c r="D257" i="42"/>
  <c r="E324" i="42"/>
  <c r="E387" i="42" s="1"/>
  <c r="E199" i="42"/>
  <c r="E261" i="42"/>
  <c r="F100" i="42"/>
  <c r="F287" i="42" s="1"/>
  <c r="F350" i="42" s="1"/>
  <c r="F142" i="36"/>
  <c r="F95" i="36"/>
  <c r="F157" i="36"/>
  <c r="D96" i="36"/>
  <c r="F45" i="63"/>
  <c r="F72" i="63"/>
  <c r="E272" i="42"/>
  <c r="E335" i="42" s="1"/>
  <c r="E263" i="42"/>
  <c r="E326" i="42"/>
  <c r="B19" i="64"/>
  <c r="B27" i="64"/>
  <c r="C302" i="42"/>
  <c r="C365" i="42" s="1"/>
  <c r="C177" i="42"/>
  <c r="C306" i="42"/>
  <c r="C369" i="42" s="1"/>
  <c r="C243" i="42"/>
  <c r="J27" i="64"/>
  <c r="T242" i="97" s="1"/>
  <c r="F242" i="97"/>
  <c r="D109" i="42"/>
  <c r="D233" i="42" s="1"/>
  <c r="D151" i="36"/>
  <c r="F80" i="36"/>
  <c r="D302" i="42"/>
  <c r="D365" i="42" s="1"/>
  <c r="D239" i="42"/>
  <c r="D177" i="42"/>
  <c r="D181" i="42"/>
  <c r="D161" i="36"/>
  <c r="D99" i="36"/>
  <c r="F92" i="36"/>
  <c r="H61" i="52"/>
  <c r="D97" i="42"/>
  <c r="D284" i="42" s="1"/>
  <c r="D347" i="42" s="1"/>
  <c r="D139" i="36"/>
  <c r="B103" i="42"/>
  <c r="B290" i="42" s="1"/>
  <c r="B353" i="42" s="1"/>
  <c r="B145" i="36"/>
  <c r="E110" i="42"/>
  <c r="E172" i="42" s="1"/>
  <c r="E90" i="36"/>
  <c r="C83" i="36"/>
  <c r="D147" i="36"/>
  <c r="E69" i="63"/>
  <c r="E42" i="63"/>
  <c r="D71" i="63"/>
  <c r="T37" i="36"/>
  <c r="C98" i="42"/>
  <c r="C285" i="42" s="1"/>
  <c r="C348" i="42" s="1"/>
  <c r="C140" i="36"/>
  <c r="C101" i="42"/>
  <c r="C288" i="42" s="1"/>
  <c r="C351" i="42" s="1"/>
  <c r="C143" i="36"/>
  <c r="C102" i="42"/>
  <c r="C289" i="42" s="1"/>
  <c r="C352" i="42" s="1"/>
  <c r="C144" i="36"/>
  <c r="F69" i="63"/>
  <c r="F42" i="63"/>
  <c r="D44" i="63"/>
  <c r="G116" i="93"/>
  <c r="G68" i="102"/>
  <c r="G215" i="97"/>
  <c r="H71" i="102"/>
  <c r="D173" i="42"/>
  <c r="C82" i="36"/>
  <c r="D98" i="36"/>
  <c r="D43" i="63"/>
  <c r="D46" i="63"/>
  <c r="H116" i="93"/>
  <c r="B52" i="42"/>
  <c r="B58" i="42" s="1"/>
  <c r="B141" i="42"/>
  <c r="T8" i="63"/>
  <c r="T18" i="63"/>
  <c r="C34" i="63"/>
  <c r="D41" i="63"/>
  <c r="E61" i="63"/>
  <c r="E71" i="63"/>
  <c r="C19" i="64"/>
  <c r="H99" i="93"/>
  <c r="E173" i="42"/>
  <c r="D34" i="63"/>
  <c r="E41" i="63"/>
  <c r="D68" i="63"/>
  <c r="E19" i="64"/>
  <c r="F116" i="93"/>
  <c r="F182" i="42"/>
  <c r="F113" i="93"/>
  <c r="B24" i="42"/>
  <c r="D62" i="63"/>
  <c r="F68" i="63"/>
  <c r="E72" i="63"/>
  <c r="P8" i="102"/>
  <c r="F187" i="42"/>
  <c r="E235" i="42"/>
  <c r="B74" i="36"/>
  <c r="D81" i="36"/>
  <c r="T22" i="63"/>
  <c r="F37" i="63"/>
  <c r="D63" i="63"/>
  <c r="F76" i="63"/>
  <c r="E17" i="64"/>
  <c r="E84" i="36"/>
  <c r="C38" i="63"/>
  <c r="D73" i="63"/>
  <c r="F17" i="64"/>
  <c r="E178" i="42"/>
  <c r="F241" i="42"/>
  <c r="F84" i="36"/>
  <c r="B43" i="63"/>
  <c r="C46" i="63"/>
  <c r="C70" i="63"/>
  <c r="C18" i="64"/>
  <c r="G115" i="93"/>
  <c r="F178" i="42"/>
  <c r="B200" i="42"/>
  <c r="E266" i="42"/>
  <c r="E329" i="42" s="1"/>
  <c r="H105" i="36"/>
  <c r="D213" i="97"/>
  <c r="D86" i="97" s="1"/>
  <c r="D215" i="97"/>
  <c r="I216" i="97"/>
  <c r="R215" i="97"/>
  <c r="T216" i="97"/>
  <c r="H180" i="36"/>
  <c r="F215" i="97"/>
  <c r="Q214" i="97"/>
  <c r="H175" i="36"/>
  <c r="R214" i="97"/>
  <c r="T215" i="97"/>
  <c r="S214" i="97"/>
  <c r="G178" i="36"/>
  <c r="Q215" i="97"/>
  <c r="R213" i="97"/>
  <c r="H173" i="36"/>
  <c r="B35" i="102"/>
  <c r="B63" i="102"/>
  <c r="P11" i="102"/>
  <c r="B33" i="102"/>
  <c r="B36" i="102"/>
  <c r="P18" i="102"/>
  <c r="B41" i="102"/>
  <c r="B66" i="102"/>
  <c r="P10" i="102"/>
  <c r="P14" i="102"/>
  <c r="P15" i="102"/>
  <c r="G81" i="97"/>
  <c r="K62" i="36"/>
  <c r="K360" i="42"/>
  <c r="H88" i="97"/>
  <c r="H77" i="97"/>
  <c r="M364" i="42"/>
  <c r="M17" i="64"/>
  <c r="N20" i="64"/>
  <c r="M19" i="64"/>
  <c r="M18" i="64"/>
  <c r="H109" i="36"/>
  <c r="J346" i="42"/>
  <c r="J347" i="42"/>
  <c r="K352" i="42"/>
  <c r="G344" i="42"/>
  <c r="J353" i="42"/>
  <c r="H344" i="42"/>
  <c r="K353" i="42"/>
  <c r="H350" i="42"/>
  <c r="J354" i="42"/>
  <c r="O374" i="42"/>
  <c r="H108" i="36"/>
  <c r="H345" i="42"/>
  <c r="I350" i="42"/>
  <c r="I345" i="42"/>
  <c r="H351" i="42"/>
  <c r="H110" i="36"/>
  <c r="I351" i="42"/>
  <c r="G107" i="36"/>
  <c r="H107" i="36"/>
  <c r="L356" i="42"/>
  <c r="L360" i="42"/>
  <c r="G343" i="42"/>
  <c r="I346" i="42"/>
  <c r="I347" i="42"/>
  <c r="J352" i="42"/>
  <c r="M360" i="42"/>
  <c r="G106" i="36"/>
  <c r="G345" i="42"/>
  <c r="R345" i="42"/>
  <c r="G350" i="42"/>
  <c r="G351" i="42"/>
  <c r="I352" i="42"/>
  <c r="I353" i="42"/>
  <c r="I354" i="42"/>
  <c r="I355" i="42"/>
  <c r="K359" i="42"/>
  <c r="N374" i="42"/>
  <c r="H343" i="42"/>
  <c r="I344" i="42"/>
  <c r="K346" i="42"/>
  <c r="K347" i="42"/>
  <c r="J351" i="42"/>
  <c r="L354" i="42"/>
  <c r="I343" i="42"/>
  <c r="J344" i="42"/>
  <c r="K351" i="42"/>
  <c r="J343" i="42"/>
  <c r="K344" i="42"/>
  <c r="G358" i="42"/>
  <c r="O367" i="42"/>
  <c r="I374" i="42"/>
  <c r="G349" i="42"/>
  <c r="K343" i="42"/>
  <c r="H358" i="42"/>
  <c r="G357" i="42"/>
  <c r="I358" i="42"/>
  <c r="H346" i="42"/>
  <c r="G352" i="42"/>
  <c r="G353" i="42"/>
  <c r="G354" i="42"/>
  <c r="G355" i="42"/>
  <c r="H357" i="42"/>
  <c r="J358" i="42"/>
  <c r="J18" i="64"/>
  <c r="G347" i="42"/>
  <c r="H352" i="42"/>
  <c r="H353" i="42"/>
  <c r="H354" i="42"/>
  <c r="H355" i="42"/>
  <c r="I357" i="42"/>
  <c r="K358" i="42"/>
  <c r="J359" i="42"/>
  <c r="J360" i="42"/>
  <c r="J374" i="42"/>
  <c r="H332" i="42"/>
  <c r="G207" i="42"/>
  <c r="H207" i="42"/>
  <c r="B105" i="42"/>
  <c r="B85" i="36"/>
  <c r="B147" i="36"/>
  <c r="C105" i="42"/>
  <c r="C85" i="36"/>
  <c r="C147" i="36"/>
  <c r="C104" i="42"/>
  <c r="C84" i="36"/>
  <c r="C146" i="36"/>
  <c r="D95" i="42"/>
  <c r="D75" i="36"/>
  <c r="D137" i="36"/>
  <c r="E103" i="42"/>
  <c r="E145" i="36"/>
  <c r="E83" i="36"/>
  <c r="E94" i="42"/>
  <c r="E136" i="36"/>
  <c r="E74" i="36"/>
  <c r="T14" i="36"/>
  <c r="T31" i="36"/>
  <c r="D94" i="42"/>
  <c r="D74" i="36"/>
  <c r="D136" i="36"/>
  <c r="F102" i="42"/>
  <c r="F82" i="36"/>
  <c r="F144" i="36"/>
  <c r="D103" i="42"/>
  <c r="D145" i="36"/>
  <c r="B104" i="42"/>
  <c r="B84" i="36"/>
  <c r="B146" i="36"/>
  <c r="B91" i="36"/>
  <c r="B153" i="36"/>
  <c r="D155" i="36"/>
  <c r="D93" i="36"/>
  <c r="C116" i="36"/>
  <c r="C178" i="36"/>
  <c r="T54" i="36"/>
  <c r="H41" i="63"/>
  <c r="G35" i="63"/>
  <c r="G132" i="36"/>
  <c r="E95" i="42"/>
  <c r="E75" i="36"/>
  <c r="E137" i="36"/>
  <c r="H40" i="63"/>
  <c r="H138" i="36"/>
  <c r="D92" i="42"/>
  <c r="D72" i="36"/>
  <c r="D134" i="36"/>
  <c r="D106" i="42"/>
  <c r="D148" i="36"/>
  <c r="F96" i="36"/>
  <c r="F158" i="36"/>
  <c r="F100" i="36"/>
  <c r="E91" i="42"/>
  <c r="E133" i="36"/>
  <c r="E71" i="36"/>
  <c r="E92" i="42"/>
  <c r="E134" i="36"/>
  <c r="E72" i="36"/>
  <c r="E106" i="42"/>
  <c r="E148" i="36"/>
  <c r="B161" i="36"/>
  <c r="B99" i="36"/>
  <c r="F91" i="42"/>
  <c r="F133" i="36"/>
  <c r="F71" i="36"/>
  <c r="H141" i="36"/>
  <c r="D93" i="42"/>
  <c r="D135" i="36"/>
  <c r="C96" i="42"/>
  <c r="C138" i="36"/>
  <c r="C76" i="36"/>
  <c r="B97" i="42"/>
  <c r="B77" i="36"/>
  <c r="B139" i="36"/>
  <c r="E101" i="42"/>
  <c r="E81" i="36"/>
  <c r="E143" i="36"/>
  <c r="E107" i="42"/>
  <c r="E149" i="36"/>
  <c r="E87" i="36"/>
  <c r="B157" i="36"/>
  <c r="B95" i="36"/>
  <c r="D159" i="36"/>
  <c r="D97" i="36"/>
  <c r="H60" i="36"/>
  <c r="H132" i="36"/>
  <c r="E93" i="42"/>
  <c r="E135" i="36"/>
  <c r="E73" i="36"/>
  <c r="D96" i="42"/>
  <c r="D76" i="36"/>
  <c r="D138" i="36"/>
  <c r="H142" i="36"/>
  <c r="F101" i="42"/>
  <c r="F81" i="36"/>
  <c r="F143" i="36"/>
  <c r="F107" i="42"/>
  <c r="F87" i="36"/>
  <c r="F149" i="36"/>
  <c r="E159" i="36"/>
  <c r="E97" i="36"/>
  <c r="T13" i="36"/>
  <c r="T30" i="36"/>
  <c r="J88" i="97"/>
  <c r="I60" i="36"/>
  <c r="E102" i="42"/>
  <c r="E82" i="36"/>
  <c r="E144" i="36"/>
  <c r="B155" i="36"/>
  <c r="B93" i="36"/>
  <c r="D73" i="36"/>
  <c r="D278" i="42"/>
  <c r="D341" i="42" s="1"/>
  <c r="D215" i="42"/>
  <c r="D153" i="42"/>
  <c r="C92" i="42"/>
  <c r="C134" i="36"/>
  <c r="C93" i="42"/>
  <c r="C73" i="36"/>
  <c r="C135" i="36"/>
  <c r="C94" i="42"/>
  <c r="C74" i="36"/>
  <c r="C282" i="42"/>
  <c r="C345" i="42" s="1"/>
  <c r="C157" i="42"/>
  <c r="C219" i="42"/>
  <c r="B283" i="42"/>
  <c r="B346" i="42" s="1"/>
  <c r="B220" i="42"/>
  <c r="B158" i="42"/>
  <c r="J28" i="63"/>
  <c r="F99" i="42"/>
  <c r="F141" i="36"/>
  <c r="E224" i="42"/>
  <c r="E162" i="42"/>
  <c r="E287" i="42"/>
  <c r="E350" i="42" s="1"/>
  <c r="D226" i="42"/>
  <c r="D289" i="42"/>
  <c r="D352" i="42" s="1"/>
  <c r="D164" i="42"/>
  <c r="C290" i="42"/>
  <c r="C353" i="42" s="1"/>
  <c r="C227" i="42"/>
  <c r="C165" i="42"/>
  <c r="C106" i="42"/>
  <c r="C148" i="36"/>
  <c r="D107" i="42"/>
  <c r="D149" i="36"/>
  <c r="D87" i="36"/>
  <c r="J60" i="36"/>
  <c r="G62" i="36"/>
  <c r="E80" i="36"/>
  <c r="D84" i="36"/>
  <c r="C86" i="36"/>
  <c r="D90" i="36"/>
  <c r="H133" i="36"/>
  <c r="G137" i="36"/>
  <c r="B140" i="36"/>
  <c r="B143" i="36"/>
  <c r="F146" i="36"/>
  <c r="C151" i="36"/>
  <c r="F43" i="63"/>
  <c r="F70" i="63"/>
  <c r="T21" i="63"/>
  <c r="D48" i="63"/>
  <c r="G63" i="63"/>
  <c r="F92" i="42"/>
  <c r="F134" i="36"/>
  <c r="F93" i="42"/>
  <c r="F135" i="36"/>
  <c r="F218" i="42"/>
  <c r="F156" i="42"/>
  <c r="F281" i="42"/>
  <c r="F344" i="42" s="1"/>
  <c r="F95" i="42"/>
  <c r="F137" i="36"/>
  <c r="E96" i="42"/>
  <c r="E76" i="36"/>
  <c r="C159" i="42"/>
  <c r="C284" i="42"/>
  <c r="C347" i="42" s="1"/>
  <c r="C221" i="42"/>
  <c r="B285" i="42"/>
  <c r="B348" i="42" s="1"/>
  <c r="B222" i="42"/>
  <c r="B160" i="42"/>
  <c r="G143" i="36"/>
  <c r="F290" i="42"/>
  <c r="F353" i="42" s="1"/>
  <c r="F227" i="42"/>
  <c r="F165" i="42"/>
  <c r="D228" i="42"/>
  <c r="D291" i="42"/>
  <c r="D354" i="42" s="1"/>
  <c r="D166" i="42"/>
  <c r="D292" i="42"/>
  <c r="D355" i="42" s="1"/>
  <c r="D229" i="42"/>
  <c r="D167" i="42"/>
  <c r="F293" i="42"/>
  <c r="F356" i="42" s="1"/>
  <c r="F230" i="42"/>
  <c r="F168" i="42"/>
  <c r="B110" i="42"/>
  <c r="B152" i="36"/>
  <c r="T29" i="36"/>
  <c r="D157" i="36"/>
  <c r="D95" i="36"/>
  <c r="J62" i="36"/>
  <c r="C75" i="36"/>
  <c r="B79" i="36"/>
  <c r="F86" i="36"/>
  <c r="B89" i="36"/>
  <c r="D144" i="36"/>
  <c r="E147" i="36"/>
  <c r="B150" i="36"/>
  <c r="D154" i="36"/>
  <c r="B63" i="63"/>
  <c r="B36" i="63"/>
  <c r="H69" i="63"/>
  <c r="B47" i="63"/>
  <c r="B74" i="63"/>
  <c r="E48" i="63"/>
  <c r="E75" i="63"/>
  <c r="E128" i="97"/>
  <c r="D75" i="63"/>
  <c r="K60" i="36"/>
  <c r="H63" i="63"/>
  <c r="G135" i="36"/>
  <c r="G8" i="64"/>
  <c r="G136" i="36"/>
  <c r="C222" i="42"/>
  <c r="H10" i="64"/>
  <c r="H144" i="36"/>
  <c r="E291" i="42"/>
  <c r="E354" i="42" s="1"/>
  <c r="E228" i="42"/>
  <c r="E166" i="42"/>
  <c r="E229" i="42"/>
  <c r="E167" i="42"/>
  <c r="E292" i="42"/>
  <c r="E355" i="42" s="1"/>
  <c r="B171" i="42"/>
  <c r="B233" i="42"/>
  <c r="B296" i="42"/>
  <c r="B359" i="42" s="1"/>
  <c r="C234" i="42"/>
  <c r="C297" i="42"/>
  <c r="C360" i="42" s="1"/>
  <c r="C172" i="42"/>
  <c r="E95" i="36"/>
  <c r="E157" i="36"/>
  <c r="E161" i="36"/>
  <c r="E99" i="36"/>
  <c r="G61" i="36"/>
  <c r="F73" i="36"/>
  <c r="F75" i="36"/>
  <c r="C79" i="36"/>
  <c r="B81" i="36"/>
  <c r="D82" i="36"/>
  <c r="F83" i="36"/>
  <c r="C89" i="36"/>
  <c r="B149" i="36"/>
  <c r="B90" i="42"/>
  <c r="B70" i="36"/>
  <c r="B132" i="36"/>
  <c r="H64" i="63"/>
  <c r="H65" i="63"/>
  <c r="H137" i="36"/>
  <c r="E97" i="42"/>
  <c r="E77" i="36"/>
  <c r="D98" i="42"/>
  <c r="D78" i="36"/>
  <c r="I10" i="64"/>
  <c r="H9" i="64"/>
  <c r="H26" i="64" s="1"/>
  <c r="H145" i="36"/>
  <c r="F166" i="42"/>
  <c r="F228" i="42"/>
  <c r="F291" i="42"/>
  <c r="F354" i="42" s="1"/>
  <c r="K11" i="64"/>
  <c r="K28" i="64" s="1"/>
  <c r="B295" i="42"/>
  <c r="B358" i="42" s="1"/>
  <c r="B170" i="42"/>
  <c r="B232" i="42"/>
  <c r="C233" i="42"/>
  <c r="C171" i="42"/>
  <c r="C296" i="42"/>
  <c r="C359" i="42" s="1"/>
  <c r="D234" i="42"/>
  <c r="D297" i="42"/>
  <c r="D360" i="42" s="1"/>
  <c r="D172" i="42"/>
  <c r="F161" i="36"/>
  <c r="F99" i="36"/>
  <c r="H61" i="36"/>
  <c r="G125" i="36"/>
  <c r="C72" i="36"/>
  <c r="B78" i="36"/>
  <c r="F79" i="36"/>
  <c r="B87" i="36"/>
  <c r="D89" i="36"/>
  <c r="E96" i="36"/>
  <c r="G134" i="36"/>
  <c r="C139" i="36"/>
  <c r="C145" i="36"/>
  <c r="F148" i="36"/>
  <c r="F160" i="36"/>
  <c r="T20" i="63"/>
  <c r="T20" i="36"/>
  <c r="C260" i="42"/>
  <c r="C323" i="42"/>
  <c r="C386" i="42" s="1"/>
  <c r="C198" i="42"/>
  <c r="C90" i="42"/>
  <c r="C132" i="36"/>
  <c r="I25" i="64"/>
  <c r="F97" i="42"/>
  <c r="F139" i="36"/>
  <c r="E98" i="42"/>
  <c r="E78" i="36"/>
  <c r="B223" i="42"/>
  <c r="B286" i="42"/>
  <c r="B349" i="42" s="1"/>
  <c r="B161" i="42"/>
  <c r="T18" i="36"/>
  <c r="T19" i="36"/>
  <c r="I9" i="64"/>
  <c r="I26" i="64" s="1"/>
  <c r="L11" i="64"/>
  <c r="L28" i="64" s="1"/>
  <c r="C108" i="42"/>
  <c r="C150" i="36"/>
  <c r="E234" i="42"/>
  <c r="T33" i="36"/>
  <c r="I61" i="36"/>
  <c r="H125" i="36"/>
  <c r="C78" i="36"/>
  <c r="D85" i="36"/>
  <c r="D91" i="36"/>
  <c r="H134" i="36"/>
  <c r="B136" i="36"/>
  <c r="B141" i="36"/>
  <c r="G144" i="36"/>
  <c r="C152" i="36"/>
  <c r="E153" i="36"/>
  <c r="E66" i="63"/>
  <c r="E39" i="63"/>
  <c r="D277" i="42"/>
  <c r="D340" i="42" s="1"/>
  <c r="D152" i="42"/>
  <c r="D214" i="42"/>
  <c r="J12" i="64"/>
  <c r="J25" i="64"/>
  <c r="T12" i="36"/>
  <c r="G28" i="63"/>
  <c r="G139" i="36"/>
  <c r="F98" i="42"/>
  <c r="F140" i="36"/>
  <c r="C223" i="42"/>
  <c r="C286" i="42"/>
  <c r="C349" i="42" s="1"/>
  <c r="C161" i="42"/>
  <c r="B224" i="42"/>
  <c r="B287" i="42"/>
  <c r="B350" i="42" s="1"/>
  <c r="B162" i="42"/>
  <c r="K10" i="64"/>
  <c r="M28" i="64"/>
  <c r="D108" i="42"/>
  <c r="D150" i="36"/>
  <c r="E109" i="42"/>
  <c r="E151" i="36"/>
  <c r="F297" i="42"/>
  <c r="F360" i="42" s="1"/>
  <c r="F234" i="42"/>
  <c r="F172" i="42"/>
  <c r="G60" i="36"/>
  <c r="J61" i="36"/>
  <c r="C70" i="36"/>
  <c r="D71" i="36"/>
  <c r="B76" i="36"/>
  <c r="C77" i="36"/>
  <c r="F78" i="36"/>
  <c r="B80" i="36"/>
  <c r="E85" i="36"/>
  <c r="B94" i="36"/>
  <c r="B97" i="36"/>
  <c r="H135" i="36"/>
  <c r="C136" i="36"/>
  <c r="E139" i="36"/>
  <c r="C141" i="36"/>
  <c r="D152" i="36"/>
  <c r="B35" i="63"/>
  <c r="B62" i="63"/>
  <c r="C51" i="63"/>
  <c r="C78" i="63"/>
  <c r="T9" i="36"/>
  <c r="G140" i="36"/>
  <c r="D99" i="42"/>
  <c r="D79" i="36"/>
  <c r="C287" i="42"/>
  <c r="C350" i="42" s="1"/>
  <c r="C224" i="42"/>
  <c r="C162" i="42"/>
  <c r="B288" i="42"/>
  <c r="B351" i="42" s="1"/>
  <c r="B225" i="42"/>
  <c r="B163" i="42"/>
  <c r="B102" i="42"/>
  <c r="B144" i="36"/>
  <c r="K9" i="64"/>
  <c r="K26" i="64" s="1"/>
  <c r="B294" i="42"/>
  <c r="B357" i="42" s="1"/>
  <c r="B231" i="42"/>
  <c r="B169" i="42"/>
  <c r="E108" i="42"/>
  <c r="E88" i="36"/>
  <c r="E150" i="36"/>
  <c r="F109" i="42"/>
  <c r="F151" i="36"/>
  <c r="T34" i="36"/>
  <c r="K61" i="36"/>
  <c r="D70" i="36"/>
  <c r="F72" i="36"/>
  <c r="C80" i="36"/>
  <c r="B90" i="36"/>
  <c r="D133" i="36"/>
  <c r="F136" i="36"/>
  <c r="C137" i="36"/>
  <c r="B138" i="36"/>
  <c r="D141" i="36"/>
  <c r="B142" i="36"/>
  <c r="F145" i="36"/>
  <c r="D146" i="36"/>
  <c r="E152" i="36"/>
  <c r="T9" i="63"/>
  <c r="D65" i="63"/>
  <c r="T11" i="63"/>
  <c r="D51" i="63"/>
  <c r="T24" i="63"/>
  <c r="D78" i="63"/>
  <c r="F90" i="42"/>
  <c r="F132" i="36"/>
  <c r="C91" i="42"/>
  <c r="C133" i="36"/>
  <c r="B92" i="42"/>
  <c r="B72" i="36"/>
  <c r="B134" i="36"/>
  <c r="B93" i="42"/>
  <c r="B73" i="36"/>
  <c r="B281" i="42"/>
  <c r="B344" i="42" s="1"/>
  <c r="B156" i="42"/>
  <c r="B218" i="42"/>
  <c r="B219" i="42"/>
  <c r="B157" i="42"/>
  <c r="B282" i="42"/>
  <c r="B345" i="42" s="1"/>
  <c r="E99" i="42"/>
  <c r="E79" i="36"/>
  <c r="D287" i="42"/>
  <c r="D350" i="42" s="1"/>
  <c r="D224" i="42"/>
  <c r="D162" i="42"/>
  <c r="T21" i="36"/>
  <c r="T22" i="36"/>
  <c r="B106" i="42"/>
  <c r="B86" i="36"/>
  <c r="B148" i="36"/>
  <c r="C107" i="42"/>
  <c r="C149" i="36"/>
  <c r="C87" i="36"/>
  <c r="F108" i="42"/>
  <c r="F88" i="36"/>
  <c r="F150" i="36"/>
  <c r="E94" i="36"/>
  <c r="E156" i="36"/>
  <c r="F74" i="36"/>
  <c r="F77" i="36"/>
  <c r="D80" i="36"/>
  <c r="B88" i="36"/>
  <c r="C90" i="36"/>
  <c r="B98" i="36"/>
  <c r="B100" i="36"/>
  <c r="G133" i="36"/>
  <c r="E141" i="36"/>
  <c r="C142" i="36"/>
  <c r="E146" i="36"/>
  <c r="B151" i="36"/>
  <c r="F152" i="36"/>
  <c r="B64" i="63"/>
  <c r="B37" i="63"/>
  <c r="F39" i="63"/>
  <c r="G64" i="63"/>
  <c r="H132" i="97"/>
  <c r="B38" i="63"/>
  <c r="B46" i="63"/>
  <c r="F51" i="63"/>
  <c r="C63" i="63"/>
  <c r="D64" i="63"/>
  <c r="C67" i="63"/>
  <c r="E73" i="63"/>
  <c r="B81" i="63"/>
  <c r="E38" i="63"/>
  <c r="E62" i="63"/>
  <c r="F67" i="63"/>
  <c r="C71" i="63"/>
  <c r="B25" i="64"/>
  <c r="T8" i="64"/>
  <c r="B17" i="64"/>
  <c r="P19" i="102"/>
  <c r="B69" i="102"/>
  <c r="B44" i="102"/>
  <c r="C37" i="63"/>
  <c r="F38" i="63"/>
  <c r="D42" i="63"/>
  <c r="E43" i="63"/>
  <c r="F48" i="63"/>
  <c r="D66" i="63"/>
  <c r="H131" i="97"/>
  <c r="B78" i="63"/>
  <c r="F138" i="36"/>
  <c r="T12" i="63"/>
  <c r="T13" i="63"/>
  <c r="T23" i="63"/>
  <c r="B40" i="63"/>
  <c r="F50" i="63"/>
  <c r="B7" i="64"/>
  <c r="B54" i="63"/>
  <c r="B27" i="63"/>
  <c r="T15" i="63"/>
  <c r="C47" i="63"/>
  <c r="B49" i="63"/>
  <c r="C61" i="63"/>
  <c r="D74" i="63"/>
  <c r="J116" i="93"/>
  <c r="C16" i="64"/>
  <c r="C24" i="64"/>
  <c r="C27" i="63"/>
  <c r="D47" i="63"/>
  <c r="C49" i="63"/>
  <c r="C54" i="63"/>
  <c r="G66" i="63"/>
  <c r="E78" i="63"/>
  <c r="E132" i="36"/>
  <c r="D16" i="64"/>
  <c r="D24" i="64"/>
  <c r="D27" i="63"/>
  <c r="F36" i="63"/>
  <c r="D49" i="63"/>
  <c r="D54" i="63"/>
  <c r="C69" i="63"/>
  <c r="F74" i="63"/>
  <c r="E277" i="42"/>
  <c r="E340" i="42" s="1"/>
  <c r="E152" i="42"/>
  <c r="E214" i="42"/>
  <c r="B215" i="42"/>
  <c r="B153" i="42"/>
  <c r="B278" i="42"/>
  <c r="B341" i="42" s="1"/>
  <c r="H25" i="64"/>
  <c r="F283" i="42"/>
  <c r="F346" i="42" s="1"/>
  <c r="F158" i="42"/>
  <c r="F220" i="42"/>
  <c r="D288" i="42"/>
  <c r="D351" i="42" s="1"/>
  <c r="D225" i="42"/>
  <c r="D163" i="42"/>
  <c r="J26" i="64"/>
  <c r="F292" i="42"/>
  <c r="F355" i="42" s="1"/>
  <c r="F229" i="42"/>
  <c r="F167" i="42"/>
  <c r="B71" i="36"/>
  <c r="F76" i="36"/>
  <c r="H136" i="36"/>
  <c r="E7" i="64"/>
  <c r="E34" i="63"/>
  <c r="E27" i="63"/>
  <c r="F35" i="63"/>
  <c r="E54" i="63"/>
  <c r="C68" i="63"/>
  <c r="D77" i="63"/>
  <c r="D324" i="42"/>
  <c r="D387" i="42" s="1"/>
  <c r="D261" i="42"/>
  <c r="D199" i="42"/>
  <c r="B267" i="42"/>
  <c r="B330" i="42" s="1"/>
  <c r="B205" i="42"/>
  <c r="B26" i="64"/>
  <c r="F115" i="93"/>
  <c r="B44" i="42"/>
  <c r="T9" i="64"/>
  <c r="P9" i="102"/>
  <c r="B59" i="102"/>
  <c r="F108" i="93"/>
  <c r="C313" i="42"/>
  <c r="C376" i="42" s="1"/>
  <c r="C250" i="42"/>
  <c r="C188" i="42"/>
  <c r="F112" i="93"/>
  <c r="B42" i="102"/>
  <c r="B67" i="102"/>
  <c r="P17" i="102"/>
  <c r="C241" i="42"/>
  <c r="C304" i="42"/>
  <c r="C367" i="42" s="1"/>
  <c r="C179" i="42"/>
  <c r="B65" i="42"/>
  <c r="B59" i="42"/>
  <c r="F20" i="64"/>
  <c r="D19" i="64"/>
  <c r="D20" i="64"/>
  <c r="B39" i="102"/>
  <c r="B42" i="42"/>
  <c r="B85" i="42"/>
  <c r="E302" i="42"/>
  <c r="E365" i="42" s="1"/>
  <c r="E177" i="42"/>
  <c r="E239" i="42"/>
  <c r="D179" i="42"/>
  <c r="D241" i="42"/>
  <c r="D304" i="42"/>
  <c r="D367" i="42" s="1"/>
  <c r="D188" i="42"/>
  <c r="D250" i="42"/>
  <c r="C325" i="42"/>
  <c r="C388" i="42" s="1"/>
  <c r="C200" i="42"/>
  <c r="C262" i="42"/>
  <c r="B62" i="102"/>
  <c r="B71" i="42"/>
  <c r="E260" i="42"/>
  <c r="E198" i="42"/>
  <c r="E323" i="42"/>
  <c r="E386" i="42" s="1"/>
  <c r="C267" i="42"/>
  <c r="C330" i="42" s="1"/>
  <c r="C205" i="42"/>
  <c r="P12" i="102"/>
  <c r="C238" i="42"/>
  <c r="C301" i="42"/>
  <c r="C364" i="42" s="1"/>
  <c r="C176" i="42"/>
  <c r="D318" i="42"/>
  <c r="D381" i="42" s="1"/>
  <c r="D193" i="42"/>
  <c r="D255" i="42"/>
  <c r="T10" i="64"/>
  <c r="B38" i="102"/>
  <c r="B43" i="102"/>
  <c r="B45" i="42"/>
  <c r="B50" i="42"/>
  <c r="B62" i="42" s="1"/>
  <c r="B88" i="42"/>
  <c r="E318" i="42"/>
  <c r="E381" i="42" s="1"/>
  <c r="E255" i="42"/>
  <c r="E193" i="42"/>
  <c r="F322" i="42"/>
  <c r="F385" i="42" s="1"/>
  <c r="F259" i="42"/>
  <c r="F197" i="42"/>
  <c r="T11" i="64"/>
  <c r="B17" i="42"/>
  <c r="B56" i="42"/>
  <c r="E299" i="42"/>
  <c r="E362" i="42" s="1"/>
  <c r="E236" i="42"/>
  <c r="E174" i="42"/>
  <c r="B40" i="102"/>
  <c r="B72" i="42"/>
  <c r="B275" i="42"/>
  <c r="B31" i="42"/>
  <c r="B51" i="42"/>
  <c r="F299" i="42"/>
  <c r="F362" i="42" s="1"/>
  <c r="F174" i="42"/>
  <c r="F236" i="42"/>
  <c r="E242" i="42"/>
  <c r="E305" i="42"/>
  <c r="E368" i="42" s="1"/>
  <c r="E180" i="42"/>
  <c r="B266" i="42"/>
  <c r="B329" i="42" s="1"/>
  <c r="B204" i="42"/>
  <c r="D313" i="42"/>
  <c r="D376" i="42" s="1"/>
  <c r="B23" i="42"/>
  <c r="C328" i="42"/>
  <c r="C339" i="42"/>
  <c r="C213" i="42"/>
  <c r="C265" i="42"/>
  <c r="C276" i="42"/>
  <c r="C141" i="42"/>
  <c r="F180" i="42"/>
  <c r="F242" i="42"/>
  <c r="F305" i="42"/>
  <c r="F368" i="42" s="1"/>
  <c r="C268" i="42"/>
  <c r="C331" i="42" s="1"/>
  <c r="C206" i="42"/>
  <c r="AB211" i="97"/>
  <c r="D328" i="42"/>
  <c r="D339" i="42"/>
  <c r="D213" i="42"/>
  <c r="D265" i="42"/>
  <c r="D276" i="42"/>
  <c r="D141" i="42"/>
  <c r="D151" i="42"/>
  <c r="D203" i="42" s="1"/>
  <c r="D206" i="42"/>
  <c r="D268" i="42"/>
  <c r="D331" i="42" s="1"/>
  <c r="B173" i="42"/>
  <c r="B298" i="42"/>
  <c r="B361" i="42" s="1"/>
  <c r="D301" i="42"/>
  <c r="D364" i="42" s="1"/>
  <c r="D238" i="42"/>
  <c r="F239" i="42"/>
  <c r="F302" i="42"/>
  <c r="F365" i="42" s="1"/>
  <c r="F177" i="42"/>
  <c r="E241" i="42"/>
  <c r="E304" i="42"/>
  <c r="E367" i="42" s="1"/>
  <c r="B312" i="42"/>
  <c r="B375" i="42" s="1"/>
  <c r="B187" i="42"/>
  <c r="B249" i="42"/>
  <c r="E250" i="42"/>
  <c r="E188" i="42"/>
  <c r="E313" i="42"/>
  <c r="E376" i="42" s="1"/>
  <c r="C316" i="42"/>
  <c r="C379" i="42" s="1"/>
  <c r="C253" i="42"/>
  <c r="D317" i="42"/>
  <c r="D380" i="42" s="1"/>
  <c r="D192" i="42"/>
  <c r="D254" i="42"/>
  <c r="F318" i="42"/>
  <c r="F381" i="42" s="1"/>
  <c r="F255" i="42"/>
  <c r="C266" i="42"/>
  <c r="C329" i="42" s="1"/>
  <c r="C204" i="42"/>
  <c r="D205" i="42"/>
  <c r="D267" i="42"/>
  <c r="D330" i="42" s="1"/>
  <c r="C191" i="42"/>
  <c r="C235" i="42"/>
  <c r="C173" i="42"/>
  <c r="C298" i="42"/>
  <c r="C361" i="42" s="1"/>
  <c r="B175" i="42"/>
  <c r="B237" i="42"/>
  <c r="B300" i="42"/>
  <c r="B363" i="42" s="1"/>
  <c r="E176" i="42"/>
  <c r="E238" i="42"/>
  <c r="B182" i="42"/>
  <c r="B307" i="42"/>
  <c r="B370" i="42" s="1"/>
  <c r="B244" i="42"/>
  <c r="C187" i="42"/>
  <c r="C312" i="42"/>
  <c r="C375" i="42" s="1"/>
  <c r="F188" i="42"/>
  <c r="F250" i="42"/>
  <c r="F313" i="42"/>
  <c r="F376" i="42" s="1"/>
  <c r="D316" i="42"/>
  <c r="D379" i="42" s="1"/>
  <c r="D191" i="42"/>
  <c r="D253" i="42"/>
  <c r="E317" i="42"/>
  <c r="E380" i="42" s="1"/>
  <c r="E192" i="42"/>
  <c r="E254" i="42"/>
  <c r="B319" i="42"/>
  <c r="B382" i="42" s="1"/>
  <c r="B256" i="42"/>
  <c r="B194" i="42"/>
  <c r="F325" i="42"/>
  <c r="F388" i="42" s="1"/>
  <c r="F262" i="42"/>
  <c r="D266" i="42"/>
  <c r="D329" i="42" s="1"/>
  <c r="D204" i="42"/>
  <c r="E267" i="42"/>
  <c r="E330" i="42" s="1"/>
  <c r="E205" i="42"/>
  <c r="F268" i="42"/>
  <c r="F331" i="42" s="1"/>
  <c r="F206" i="42"/>
  <c r="F151" i="42"/>
  <c r="F203" i="42" s="1"/>
  <c r="D176" i="42"/>
  <c r="C237" i="42"/>
  <c r="C300" i="42"/>
  <c r="C363" i="42" s="1"/>
  <c r="F176" i="42"/>
  <c r="F238" i="42"/>
  <c r="F301" i="42"/>
  <c r="F364" i="42" s="1"/>
  <c r="C244" i="42"/>
  <c r="C307" i="42"/>
  <c r="C370" i="42" s="1"/>
  <c r="C182" i="42"/>
  <c r="D187" i="42"/>
  <c r="D249" i="42"/>
  <c r="D312" i="42"/>
  <c r="D375" i="42" s="1"/>
  <c r="E316" i="42"/>
  <c r="E379" i="42" s="1"/>
  <c r="E253" i="42"/>
  <c r="F317" i="42"/>
  <c r="F380" i="42" s="1"/>
  <c r="F254" i="42"/>
  <c r="C319" i="42"/>
  <c r="C382" i="42" s="1"/>
  <c r="C194" i="42"/>
  <c r="B320" i="42"/>
  <c r="B383" i="42" s="1"/>
  <c r="B257" i="42"/>
  <c r="B206" i="42"/>
  <c r="B328" i="42"/>
  <c r="B339" i="42"/>
  <c r="B213" i="42"/>
  <c r="B265" i="42"/>
  <c r="D300" i="42"/>
  <c r="D363" i="42" s="1"/>
  <c r="B306" i="42"/>
  <c r="B369" i="42" s="1"/>
  <c r="B243" i="42"/>
  <c r="E249" i="42"/>
  <c r="E312" i="42"/>
  <c r="E375" i="42" s="1"/>
  <c r="B314" i="42"/>
  <c r="B377" i="42" s="1"/>
  <c r="B251" i="42"/>
  <c r="D315" i="42"/>
  <c r="D378" i="42" s="1"/>
  <c r="D190" i="42"/>
  <c r="D252" i="42"/>
  <c r="F316" i="42"/>
  <c r="F379" i="42" s="1"/>
  <c r="F253" i="42"/>
  <c r="F191" i="42"/>
  <c r="D319" i="42"/>
  <c r="D382" i="42" s="1"/>
  <c r="D194" i="42"/>
  <c r="D256" i="42"/>
  <c r="C320" i="42"/>
  <c r="C383" i="42" s="1"/>
  <c r="C257" i="42"/>
  <c r="C195" i="42"/>
  <c r="B258" i="42"/>
  <c r="B321" i="42"/>
  <c r="B384" i="42" s="1"/>
  <c r="F266" i="42"/>
  <c r="F329" i="42" s="1"/>
  <c r="F204" i="42"/>
  <c r="B177" i="42"/>
  <c r="F192" i="42"/>
  <c r="F200" i="42"/>
  <c r="D237" i="42"/>
  <c r="B276" i="42"/>
  <c r="D307" i="42"/>
  <c r="D370" i="42" s="1"/>
  <c r="F298" i="42"/>
  <c r="F361" i="42" s="1"/>
  <c r="F235" i="42"/>
  <c r="E300" i="42"/>
  <c r="E363" i="42" s="1"/>
  <c r="E237" i="42"/>
  <c r="B303" i="42"/>
  <c r="B366" i="42" s="1"/>
  <c r="B178" i="42"/>
  <c r="B240" i="42"/>
  <c r="C251" i="42"/>
  <c r="C314" i="42"/>
  <c r="C377" i="42" s="1"/>
  <c r="C189" i="42"/>
  <c r="E252" i="42"/>
  <c r="E315" i="42"/>
  <c r="E378" i="42" s="1"/>
  <c r="E190" i="42"/>
  <c r="E194" i="42"/>
  <c r="E319" i="42"/>
  <c r="E382" i="42" s="1"/>
  <c r="D320" i="42"/>
  <c r="D383" i="42" s="1"/>
  <c r="D195" i="42"/>
  <c r="C258" i="42"/>
  <c r="C321" i="42"/>
  <c r="C384" i="42" s="1"/>
  <c r="C196" i="42"/>
  <c r="B322" i="42"/>
  <c r="B385" i="42" s="1"/>
  <c r="B259" i="42"/>
  <c r="B197" i="42"/>
  <c r="D269" i="42"/>
  <c r="D332" i="42" s="1"/>
  <c r="F237" i="42"/>
  <c r="C249" i="42"/>
  <c r="B269" i="42"/>
  <c r="B332" i="42" s="1"/>
  <c r="B299" i="42"/>
  <c r="B362" i="42" s="1"/>
  <c r="B236" i="42"/>
  <c r="C303" i="42"/>
  <c r="C366" i="42" s="1"/>
  <c r="C178" i="42"/>
  <c r="C240" i="42"/>
  <c r="D314" i="42"/>
  <c r="D377" i="42" s="1"/>
  <c r="D189" i="42"/>
  <c r="F315" i="42"/>
  <c r="F378" i="42" s="1"/>
  <c r="F252" i="42"/>
  <c r="F190" i="42"/>
  <c r="F319" i="42"/>
  <c r="F382" i="42" s="1"/>
  <c r="F256" i="42"/>
  <c r="F194" i="42"/>
  <c r="E320" i="42"/>
  <c r="E383" i="42" s="1"/>
  <c r="E257" i="42"/>
  <c r="D321" i="42"/>
  <c r="D384" i="42" s="1"/>
  <c r="D258" i="42"/>
  <c r="D196" i="42"/>
  <c r="C322" i="42"/>
  <c r="C385" i="42" s="1"/>
  <c r="C259" i="42"/>
  <c r="B323" i="42"/>
  <c r="B386" i="42" s="1"/>
  <c r="B260" i="42"/>
  <c r="E179" i="42"/>
  <c r="D326" i="42"/>
  <c r="D272" i="42"/>
  <c r="D335" i="42" s="1"/>
  <c r="B239" i="42"/>
  <c r="D263" i="42"/>
  <c r="E328" i="42"/>
  <c r="E339" i="42"/>
  <c r="E276" i="42"/>
  <c r="E213" i="42"/>
  <c r="E265" i="42"/>
  <c r="E151" i="42"/>
  <c r="E203" i="42" s="1"/>
  <c r="C299" i="42"/>
  <c r="C362" i="42" s="1"/>
  <c r="C236" i="42"/>
  <c r="D240" i="42"/>
  <c r="C305" i="42"/>
  <c r="C368" i="42" s="1"/>
  <c r="C180" i="42"/>
  <c r="C242" i="42"/>
  <c r="E306" i="42"/>
  <c r="E369" i="42" s="1"/>
  <c r="E243" i="42"/>
  <c r="E251" i="42"/>
  <c r="E314" i="42"/>
  <c r="E377" i="42" s="1"/>
  <c r="E189" i="42"/>
  <c r="F320" i="42"/>
  <c r="F383" i="42" s="1"/>
  <c r="F257" i="42"/>
  <c r="E321" i="42"/>
  <c r="E384" i="42" s="1"/>
  <c r="E196" i="42"/>
  <c r="D197" i="42"/>
  <c r="D322" i="42"/>
  <c r="D385" i="42" s="1"/>
  <c r="D259" i="42"/>
  <c r="B324" i="42"/>
  <c r="B387" i="42" s="1"/>
  <c r="B199" i="42"/>
  <c r="F173" i="42"/>
  <c r="C175" i="42"/>
  <c r="F179" i="42"/>
  <c r="F263" i="42"/>
  <c r="F326" i="42"/>
  <c r="F272" i="42"/>
  <c r="F335" i="42" s="1"/>
  <c r="F339" i="42"/>
  <c r="F328" i="42"/>
  <c r="F265" i="42"/>
  <c r="F276" i="42"/>
  <c r="D299" i="42"/>
  <c r="D362" i="42" s="1"/>
  <c r="D236" i="42"/>
  <c r="D174" i="42"/>
  <c r="B241" i="42"/>
  <c r="B304" i="42"/>
  <c r="B367" i="42" s="1"/>
  <c r="B179" i="42"/>
  <c r="D305" i="42"/>
  <c r="D368" i="42" s="1"/>
  <c r="D242" i="42"/>
  <c r="F306" i="42"/>
  <c r="F369" i="42" s="1"/>
  <c r="F181" i="42"/>
  <c r="B313" i="42"/>
  <c r="B376" i="42" s="1"/>
  <c r="B188" i="42"/>
  <c r="F189" i="42"/>
  <c r="F251" i="42"/>
  <c r="C318" i="42"/>
  <c r="C381" i="42" s="1"/>
  <c r="C255" i="42"/>
  <c r="D175" i="42"/>
  <c r="D178" i="42"/>
  <c r="F193" i="42"/>
  <c r="D251" i="42"/>
  <c r="E197" i="42"/>
  <c r="D235" i="42"/>
  <c r="C239" i="42"/>
  <c r="B254" i="42"/>
  <c r="F303" i="42"/>
  <c r="F366" i="42" s="1"/>
  <c r="B305" i="42"/>
  <c r="B368" i="42" s="1"/>
  <c r="B242" i="42"/>
  <c r="C261" i="42"/>
  <c r="F249" i="42"/>
  <c r="C272" i="42"/>
  <c r="C335" i="42" s="1"/>
  <c r="C181" i="42"/>
  <c r="D198" i="42"/>
  <c r="D260" i="42"/>
  <c r="F321" i="42"/>
  <c r="F384" i="42" s="1"/>
  <c r="F258" i="42"/>
  <c r="B192" i="42"/>
  <c r="E206" i="42"/>
  <c r="E244" i="42"/>
  <c r="B252" i="42"/>
  <c r="F323" i="42"/>
  <c r="F386" i="42" s="1"/>
  <c r="F260" i="42"/>
  <c r="D325" i="42"/>
  <c r="D388" i="42" s="1"/>
  <c r="D200" i="42"/>
  <c r="F196" i="42"/>
  <c r="F205" i="42"/>
  <c r="E240" i="42"/>
  <c r="F244" i="42"/>
  <c r="E259" i="42"/>
  <c r="B238" i="42"/>
  <c r="B176" i="42"/>
  <c r="D306" i="42"/>
  <c r="D369" i="42" s="1"/>
  <c r="D243" i="42"/>
  <c r="C315" i="42"/>
  <c r="C378" i="42" s="1"/>
  <c r="C252" i="42"/>
  <c r="F324" i="42"/>
  <c r="F387" i="42" s="1"/>
  <c r="F261" i="42"/>
  <c r="E325" i="42"/>
  <c r="E388" i="42" s="1"/>
  <c r="E262" i="42"/>
  <c r="C199" i="42"/>
  <c r="E200" i="42"/>
  <c r="C263" i="42"/>
  <c r="K373" i="42"/>
  <c r="K372" i="42"/>
  <c r="K362" i="42"/>
  <c r="L363" i="42"/>
  <c r="N365" i="42"/>
  <c r="J369" i="42"/>
  <c r="I372" i="42"/>
  <c r="J373" i="42"/>
  <c r="I359" i="42"/>
  <c r="J364" i="42"/>
  <c r="K365" i="42"/>
  <c r="O365" i="42"/>
  <c r="J368" i="42"/>
  <c r="K369" i="42"/>
  <c r="O369" i="42"/>
  <c r="J363" i="42"/>
  <c r="K364" i="42"/>
  <c r="L365" i="42"/>
  <c r="K368" i="42"/>
  <c r="L369" i="42"/>
  <c r="L373" i="42"/>
  <c r="P373" i="42"/>
  <c r="J362" i="42"/>
  <c r="K363" i="42"/>
  <c r="L364" i="42"/>
  <c r="M365" i="42"/>
  <c r="L368" i="42"/>
  <c r="I373" i="42"/>
  <c r="F32" i="93"/>
  <c r="F63" i="93"/>
  <c r="L93" i="93"/>
  <c r="G94" i="93"/>
  <c r="H93" i="93"/>
  <c r="I95" i="93"/>
  <c r="I115" i="93" s="1"/>
  <c r="H95" i="93"/>
  <c r="C209" i="42" l="1"/>
  <c r="G340" i="42"/>
  <c r="C182" i="97"/>
  <c r="G175" i="36"/>
  <c r="L72" i="93"/>
  <c r="H73" i="93"/>
  <c r="H378" i="42"/>
  <c r="J378" i="42"/>
  <c r="I378" i="42"/>
  <c r="B64" i="42"/>
  <c r="H134" i="97"/>
  <c r="O373" i="42"/>
  <c r="Q213" i="97"/>
  <c r="C129" i="97"/>
  <c r="G174" i="36"/>
  <c r="H72" i="93"/>
  <c r="H50" i="42"/>
  <c r="B45" i="93"/>
  <c r="B68" i="93"/>
  <c r="B99" i="93" s="1"/>
  <c r="B49" i="93"/>
  <c r="B72" i="93"/>
  <c r="B103" i="93" s="1"/>
  <c r="B73" i="93"/>
  <c r="B104" i="93" s="1"/>
  <c r="B50" i="93"/>
  <c r="D133" i="97"/>
  <c r="H177" i="36"/>
  <c r="D27" i="93"/>
  <c r="I134" i="97"/>
  <c r="G133" i="97"/>
  <c r="B51" i="93"/>
  <c r="B74" i="93"/>
  <c r="B105" i="93" s="1"/>
  <c r="F73" i="93"/>
  <c r="B40" i="93"/>
  <c r="B63" i="93"/>
  <c r="B94" i="93" s="1"/>
  <c r="F16" i="64"/>
  <c r="B65" i="93"/>
  <c r="B96" i="93" s="1"/>
  <c r="B42" i="93"/>
  <c r="B41" i="93"/>
  <c r="B64" i="93"/>
  <c r="B95" i="93" s="1"/>
  <c r="E133" i="97"/>
  <c r="S215" i="97"/>
  <c r="G27" i="93"/>
  <c r="I245" i="97" s="1"/>
  <c r="G71" i="93"/>
  <c r="B70" i="93"/>
  <c r="B101" i="93" s="1"/>
  <c r="B47" i="93"/>
  <c r="B67" i="93"/>
  <c r="B98" i="93" s="1"/>
  <c r="B44" i="93"/>
  <c r="K72" i="93"/>
  <c r="E27" i="93"/>
  <c r="G245" i="97" s="1"/>
  <c r="F71" i="93"/>
  <c r="J72" i="93"/>
  <c r="C27" i="93"/>
  <c r="H115" i="93"/>
  <c r="G50" i="42"/>
  <c r="G73" i="93"/>
  <c r="G74" i="93"/>
  <c r="B71" i="93"/>
  <c r="B102" i="93" s="1"/>
  <c r="B48" i="93"/>
  <c r="K354" i="42"/>
  <c r="J365" i="42"/>
  <c r="P370" i="42"/>
  <c r="I386" i="42"/>
  <c r="I388" i="42"/>
  <c r="G387" i="42"/>
  <c r="I387" i="42"/>
  <c r="J372" i="42"/>
  <c r="C226" i="42"/>
  <c r="C164" i="42"/>
  <c r="C160" i="42"/>
  <c r="D296" i="42"/>
  <c r="D359" i="42" s="1"/>
  <c r="I204" i="42"/>
  <c r="E209" i="42"/>
  <c r="F224" i="42"/>
  <c r="H269" i="42"/>
  <c r="I144" i="42"/>
  <c r="I30" i="42" s="1"/>
  <c r="D159" i="42"/>
  <c r="E297" i="42"/>
  <c r="E360" i="42" s="1"/>
  <c r="H206" i="42"/>
  <c r="H31" i="42" s="1"/>
  <c r="J144" i="42"/>
  <c r="J30" i="42" s="1"/>
  <c r="G293" i="97" s="1"/>
  <c r="B165" i="42"/>
  <c r="B227" i="42"/>
  <c r="C163" i="42"/>
  <c r="C48" i="97"/>
  <c r="H184" i="36"/>
  <c r="F162" i="42"/>
  <c r="D221" i="42"/>
  <c r="C225" i="42"/>
  <c r="D171" i="42"/>
  <c r="I184" i="36"/>
  <c r="J185" i="36"/>
  <c r="G184" i="36"/>
  <c r="O364" i="42"/>
  <c r="J186" i="36"/>
  <c r="J124" i="36" s="1"/>
  <c r="K184" i="36"/>
  <c r="H205" i="42"/>
  <c r="U215" i="97"/>
  <c r="J123" i="36"/>
  <c r="J206" i="42"/>
  <c r="J31" i="42" s="1"/>
  <c r="H204" i="42"/>
  <c r="G205" i="42"/>
  <c r="I186" i="36"/>
  <c r="I124" i="36" s="1"/>
  <c r="I206" i="42"/>
  <c r="I31" i="42" s="1"/>
  <c r="V216" i="97"/>
  <c r="C278" i="42"/>
  <c r="C341" i="42" s="1"/>
  <c r="C215" i="42"/>
  <c r="C153" i="42"/>
  <c r="I360" i="42"/>
  <c r="D286" i="42"/>
  <c r="D349" i="42" s="1"/>
  <c r="D223" i="42"/>
  <c r="D161" i="42"/>
  <c r="B43" i="42"/>
  <c r="B37" i="42"/>
  <c r="F296" i="42"/>
  <c r="F359" i="42" s="1"/>
  <c r="F233" i="42"/>
  <c r="F171" i="42"/>
  <c r="K12" i="64"/>
  <c r="G67" i="63"/>
  <c r="C123" i="97" s="1"/>
  <c r="D283" i="42"/>
  <c r="D346" i="42" s="1"/>
  <c r="D220" i="42"/>
  <c r="D158" i="42"/>
  <c r="J132" i="97"/>
  <c r="J89" i="97"/>
  <c r="H329" i="42"/>
  <c r="H340" i="42"/>
  <c r="K205" i="42"/>
  <c r="I205" i="42"/>
  <c r="I11" i="42" s="1"/>
  <c r="E180" i="97" s="1"/>
  <c r="G269" i="42"/>
  <c r="L353" i="42"/>
  <c r="G211" i="97"/>
  <c r="L10" i="64"/>
  <c r="C293" i="42"/>
  <c r="C356" i="42" s="1"/>
  <c r="C230" i="42"/>
  <c r="C168" i="42"/>
  <c r="F27" i="93"/>
  <c r="H245" i="97" s="1"/>
  <c r="B291" i="42"/>
  <c r="B354" i="42" s="1"/>
  <c r="B228" i="42"/>
  <c r="B166" i="42"/>
  <c r="H57" i="42"/>
  <c r="D301" i="97"/>
  <c r="J205" i="42"/>
  <c r="K204" i="42"/>
  <c r="L9" i="64"/>
  <c r="L26" i="64" s="1"/>
  <c r="M347" i="42"/>
  <c r="H356" i="42"/>
  <c r="H331" i="42"/>
  <c r="H32" i="42" s="1"/>
  <c r="G356" i="42"/>
  <c r="G331" i="42"/>
  <c r="G32" i="42" s="1"/>
  <c r="G145" i="42"/>
  <c r="L60" i="36"/>
  <c r="M343" i="42"/>
  <c r="B16" i="64"/>
  <c r="B24" i="64"/>
  <c r="F277" i="42"/>
  <c r="F340" i="42" s="1"/>
  <c r="F152" i="42"/>
  <c r="F214" i="42"/>
  <c r="E295" i="42"/>
  <c r="E358" i="42" s="1"/>
  <c r="E232" i="42"/>
  <c r="E170" i="42"/>
  <c r="G69" i="63"/>
  <c r="C81" i="97"/>
  <c r="E285" i="42"/>
  <c r="E348" i="42" s="1"/>
  <c r="E160" i="42"/>
  <c r="E222" i="42"/>
  <c r="I12" i="64"/>
  <c r="I27" i="64"/>
  <c r="S242" i="97" s="1"/>
  <c r="E242" i="97"/>
  <c r="H66" i="63"/>
  <c r="K122" i="36"/>
  <c r="G123" i="97"/>
  <c r="G131" i="97"/>
  <c r="G88" i="97"/>
  <c r="F286" i="42"/>
  <c r="F349" i="42" s="1"/>
  <c r="F161" i="42"/>
  <c r="F223" i="42"/>
  <c r="C281" i="42"/>
  <c r="C344" i="42" s="1"/>
  <c r="C156" i="42"/>
  <c r="C218" i="42"/>
  <c r="G62" i="63"/>
  <c r="H71" i="63"/>
  <c r="E217" i="42"/>
  <c r="E280" i="42"/>
  <c r="E343" i="42" s="1"/>
  <c r="E155" i="42"/>
  <c r="E279" i="42"/>
  <c r="E342" i="42" s="1"/>
  <c r="E154" i="42"/>
  <c r="E216" i="42"/>
  <c r="D293" i="42"/>
  <c r="D356" i="42" s="1"/>
  <c r="D230" i="42"/>
  <c r="D168" i="42"/>
  <c r="I88" i="97"/>
  <c r="D165" i="42"/>
  <c r="D290" i="42"/>
  <c r="D353" i="42" s="1"/>
  <c r="D227" i="42"/>
  <c r="K341" i="42"/>
  <c r="K348" i="42"/>
  <c r="J329" i="42"/>
  <c r="J340" i="42"/>
  <c r="H12" i="64"/>
  <c r="B289" i="42"/>
  <c r="B352" i="42" s="1"/>
  <c r="B164" i="42"/>
  <c r="B226" i="42"/>
  <c r="K28" i="63"/>
  <c r="G76" i="97"/>
  <c r="K25" i="63"/>
  <c r="G48" i="97"/>
  <c r="F280" i="42"/>
  <c r="F343" i="42" s="1"/>
  <c r="F217" i="42"/>
  <c r="F155" i="42"/>
  <c r="H72" i="63"/>
  <c r="D127" i="97" s="1"/>
  <c r="F120" i="97"/>
  <c r="F77" i="97"/>
  <c r="F48" i="97"/>
  <c r="E290" i="42"/>
  <c r="E353" i="42" s="1"/>
  <c r="E165" i="42"/>
  <c r="E227" i="42"/>
  <c r="I58" i="42"/>
  <c r="E302" i="97"/>
  <c r="I329" i="42"/>
  <c r="I340" i="42"/>
  <c r="I356" i="42"/>
  <c r="I331" i="42"/>
  <c r="I32" i="42" s="1"/>
  <c r="G329" i="42"/>
  <c r="H144" i="42"/>
  <c r="H30" i="42" s="1"/>
  <c r="O20" i="64"/>
  <c r="F170" i="42"/>
  <c r="F232" i="42"/>
  <c r="F295" i="42"/>
  <c r="F358" i="42" s="1"/>
  <c r="E286" i="42"/>
  <c r="E349" i="42" s="1"/>
  <c r="E161" i="42"/>
  <c r="E223" i="42"/>
  <c r="F123" i="97"/>
  <c r="F159" i="42"/>
  <c r="F284" i="42"/>
  <c r="F347" i="42" s="1"/>
  <c r="F221" i="42"/>
  <c r="H68" i="63"/>
  <c r="D120" i="97" s="1"/>
  <c r="D77" i="97"/>
  <c r="K185" i="36"/>
  <c r="K132" i="97"/>
  <c r="K89" i="97"/>
  <c r="G25" i="63"/>
  <c r="H122" i="36"/>
  <c r="C283" i="42"/>
  <c r="C346" i="42" s="1"/>
  <c r="C158" i="42"/>
  <c r="C220" i="42"/>
  <c r="G120" i="97"/>
  <c r="G77" i="97"/>
  <c r="H58" i="42"/>
  <c r="D302" i="97"/>
  <c r="C229" i="42"/>
  <c r="C292" i="42"/>
  <c r="C355" i="42" s="1"/>
  <c r="C167" i="42"/>
  <c r="H142" i="42"/>
  <c r="G204" i="42"/>
  <c r="G206" i="42"/>
  <c r="G31" i="42" s="1"/>
  <c r="J348" i="42"/>
  <c r="G144" i="42"/>
  <c r="G30" i="42" s="1"/>
  <c r="K329" i="42"/>
  <c r="K340" i="42"/>
  <c r="N18" i="64"/>
  <c r="M354" i="42"/>
  <c r="M344" i="42"/>
  <c r="B280" i="42"/>
  <c r="B343" i="42" s="1"/>
  <c r="B155" i="42"/>
  <c r="B217" i="42"/>
  <c r="K186" i="36"/>
  <c r="J29" i="64"/>
  <c r="F127" i="97"/>
  <c r="G72" i="63"/>
  <c r="C127" i="97" s="1"/>
  <c r="F279" i="42"/>
  <c r="F342" i="42" s="1"/>
  <c r="F154" i="42"/>
  <c r="F216" i="42"/>
  <c r="H185" i="36"/>
  <c r="C217" i="42"/>
  <c r="C155" i="42"/>
  <c r="C280" i="42"/>
  <c r="C343" i="42" s="1"/>
  <c r="E289" i="42"/>
  <c r="E352" i="42" s="1"/>
  <c r="E226" i="42"/>
  <c r="E164" i="42"/>
  <c r="F81" i="97"/>
  <c r="H25" i="63"/>
  <c r="H62" i="63"/>
  <c r="D48" i="97"/>
  <c r="H28" i="63"/>
  <c r="D76" i="97"/>
  <c r="E294" i="42"/>
  <c r="E357" i="42" s="1"/>
  <c r="E231" i="42"/>
  <c r="E169" i="42"/>
  <c r="E278" i="42"/>
  <c r="E341" i="42" s="1"/>
  <c r="E215" i="42"/>
  <c r="E153" i="42"/>
  <c r="D279" i="42"/>
  <c r="D342" i="42" s="1"/>
  <c r="D216" i="42"/>
  <c r="D154" i="42"/>
  <c r="F226" i="42"/>
  <c r="F289" i="42"/>
  <c r="F352" i="42" s="1"/>
  <c r="F164" i="42"/>
  <c r="K206" i="42"/>
  <c r="K31" i="42" s="1"/>
  <c r="H348" i="42"/>
  <c r="M351" i="42"/>
  <c r="M8" i="64"/>
  <c r="L204" i="42"/>
  <c r="M352" i="42"/>
  <c r="B230" i="42"/>
  <c r="B293" i="42"/>
  <c r="B356" i="42" s="1"/>
  <c r="B168" i="42"/>
  <c r="E127" i="97"/>
  <c r="E84" i="97"/>
  <c r="B84" i="42"/>
  <c r="B78" i="42"/>
  <c r="I29" i="64"/>
  <c r="B284" i="42"/>
  <c r="B347" i="42" s="1"/>
  <c r="B159" i="42"/>
  <c r="B221" i="42"/>
  <c r="H70" i="63"/>
  <c r="D124" i="97" s="1"/>
  <c r="E16" i="64"/>
  <c r="E24" i="64"/>
  <c r="F132" i="97"/>
  <c r="F89" i="97"/>
  <c r="E171" i="42"/>
  <c r="E296" i="42"/>
  <c r="E359" i="42" s="1"/>
  <c r="E233" i="42"/>
  <c r="K27" i="64"/>
  <c r="U242" i="97" s="1"/>
  <c r="G242" i="97"/>
  <c r="F160" i="42"/>
  <c r="F285" i="42"/>
  <c r="F348" i="42" s="1"/>
  <c r="F222" i="42"/>
  <c r="G186" i="36"/>
  <c r="G124" i="36" s="1"/>
  <c r="C232" i="42"/>
  <c r="C295" i="42"/>
  <c r="C358" i="42" s="1"/>
  <c r="C170" i="42"/>
  <c r="H67" i="63"/>
  <c r="D285" i="42"/>
  <c r="D348" i="42" s="1"/>
  <c r="D160" i="42"/>
  <c r="D222" i="42"/>
  <c r="F128" i="97"/>
  <c r="B172" i="42"/>
  <c r="B234" i="42"/>
  <c r="B297" i="42"/>
  <c r="B360" i="42" s="1"/>
  <c r="E283" i="42"/>
  <c r="E346" i="42" s="1"/>
  <c r="E158" i="42"/>
  <c r="E220" i="42"/>
  <c r="D217" i="42"/>
  <c r="D280" i="42"/>
  <c r="D343" i="42" s="1"/>
  <c r="D155" i="42"/>
  <c r="I132" i="97"/>
  <c r="I89" i="97"/>
  <c r="E157" i="42"/>
  <c r="E282" i="42"/>
  <c r="E345" i="42" s="1"/>
  <c r="E219" i="42"/>
  <c r="I185" i="36"/>
  <c r="D282" i="42"/>
  <c r="D345" i="42" s="1"/>
  <c r="D157" i="42"/>
  <c r="D219" i="42"/>
  <c r="H145" i="42"/>
  <c r="G348" i="42"/>
  <c r="H106" i="36"/>
  <c r="K331" i="42"/>
  <c r="K32" i="42" s="1"/>
  <c r="K356" i="42"/>
  <c r="H81" i="97"/>
  <c r="M9" i="64"/>
  <c r="M26" i="64" s="1"/>
  <c r="N351" i="42"/>
  <c r="M10" i="64"/>
  <c r="M62" i="36"/>
  <c r="H123" i="36"/>
  <c r="F88" i="97"/>
  <c r="J184" i="36"/>
  <c r="B277" i="42"/>
  <c r="B340" i="42" s="1"/>
  <c r="B152" i="42"/>
  <c r="B214" i="42"/>
  <c r="F288" i="42"/>
  <c r="F351" i="42" s="1"/>
  <c r="F163" i="42"/>
  <c r="F225" i="42"/>
  <c r="L372" i="42"/>
  <c r="B83" i="42"/>
  <c r="B77" i="42"/>
  <c r="G185" i="36"/>
  <c r="G123" i="36" s="1"/>
  <c r="C169" i="42"/>
  <c r="C294" i="42"/>
  <c r="C357" i="42" s="1"/>
  <c r="C231" i="42"/>
  <c r="G84" i="97"/>
  <c r="C214" i="42"/>
  <c r="C152" i="42"/>
  <c r="C277" i="42"/>
  <c r="C340" i="42" s="1"/>
  <c r="E124" i="97"/>
  <c r="E81" i="97"/>
  <c r="H186" i="36"/>
  <c r="H124" i="36" s="1"/>
  <c r="G12" i="64"/>
  <c r="G25" i="64"/>
  <c r="G29" i="64" s="1"/>
  <c r="C279" i="42"/>
  <c r="C342" i="42" s="1"/>
  <c r="C216" i="42"/>
  <c r="C154" i="42"/>
  <c r="I122" i="36"/>
  <c r="F278" i="42"/>
  <c r="F341" i="42" s="1"/>
  <c r="F215" i="42"/>
  <c r="F153" i="42"/>
  <c r="G128" i="97"/>
  <c r="E218" i="42"/>
  <c r="E281" i="42"/>
  <c r="E344" i="42" s="1"/>
  <c r="E156" i="42"/>
  <c r="B229" i="42"/>
  <c r="B292" i="42"/>
  <c r="B355" i="42" s="1"/>
  <c r="B167" i="42"/>
  <c r="J331" i="42"/>
  <c r="J32" i="42" s="1"/>
  <c r="J356" i="42"/>
  <c r="J341" i="42"/>
  <c r="J204" i="42"/>
  <c r="G341" i="42"/>
  <c r="K144" i="42"/>
  <c r="K30" i="42" s="1"/>
  <c r="G142" i="42"/>
  <c r="N11" i="64"/>
  <c r="N28" i="64" s="1"/>
  <c r="F119" i="97"/>
  <c r="G122" i="36"/>
  <c r="B57" i="42"/>
  <c r="B63" i="42"/>
  <c r="E132" i="97"/>
  <c r="G132" i="97"/>
  <c r="G89" i="97"/>
  <c r="B216" i="42"/>
  <c r="B154" i="42"/>
  <c r="B279" i="42"/>
  <c r="B342" i="42" s="1"/>
  <c r="D295" i="42"/>
  <c r="D358" i="42" s="1"/>
  <c r="D232" i="42"/>
  <c r="D170" i="42"/>
  <c r="G68" i="63"/>
  <c r="C120" i="97" s="1"/>
  <c r="C77" i="97"/>
  <c r="E284" i="42"/>
  <c r="E347" i="42" s="1"/>
  <c r="E159" i="42"/>
  <c r="E221" i="42"/>
  <c r="E120" i="97"/>
  <c r="H27" i="64"/>
  <c r="R242" i="97" s="1"/>
  <c r="D242" i="97"/>
  <c r="G65" i="63"/>
  <c r="F282" i="42"/>
  <c r="F345" i="42" s="1"/>
  <c r="F157" i="42"/>
  <c r="F219" i="42"/>
  <c r="J25" i="63"/>
  <c r="D169" i="42"/>
  <c r="D294" i="42"/>
  <c r="D357" i="42" s="1"/>
  <c r="D231" i="42"/>
  <c r="I25" i="63"/>
  <c r="I28" i="63"/>
  <c r="E76" i="97"/>
  <c r="E48" i="97"/>
  <c r="F294" i="42"/>
  <c r="F357" i="42" s="1"/>
  <c r="F231" i="42"/>
  <c r="F169" i="42"/>
  <c r="E288" i="42"/>
  <c r="E351" i="42" s="1"/>
  <c r="E225" i="42"/>
  <c r="E163" i="42"/>
  <c r="E293" i="42"/>
  <c r="E356" i="42" s="1"/>
  <c r="E230" i="42"/>
  <c r="E168" i="42"/>
  <c r="D218" i="42"/>
  <c r="D156" i="42"/>
  <c r="D281" i="42"/>
  <c r="D344" i="42" s="1"/>
  <c r="C228" i="42"/>
  <c r="C291" i="42"/>
  <c r="C354" i="42" s="1"/>
  <c r="C166" i="42"/>
  <c r="I57" i="42"/>
  <c r="E301" i="97"/>
  <c r="I341" i="42"/>
  <c r="H341" i="42"/>
  <c r="I348" i="42"/>
  <c r="M350" i="42"/>
  <c r="L61" i="36"/>
  <c r="L352" i="42"/>
  <c r="J99" i="93"/>
  <c r="L63" i="93"/>
  <c r="F26" i="93"/>
  <c r="F66" i="93"/>
  <c r="L98" i="93"/>
  <c r="J64" i="93"/>
  <c r="K94" i="93"/>
  <c r="F70" i="93"/>
  <c r="G32" i="93"/>
  <c r="I93" i="93"/>
  <c r="I32" i="93"/>
  <c r="G64" i="93"/>
  <c r="J33" i="93"/>
  <c r="J63" i="93"/>
  <c r="L33" i="93"/>
  <c r="H63" i="93"/>
  <c r="L346" i="42"/>
  <c r="L345" i="42"/>
  <c r="M60" i="36"/>
  <c r="J94" i="93"/>
  <c r="K64" i="93"/>
  <c r="K98" i="93"/>
  <c r="L100" i="93"/>
  <c r="D25" i="93"/>
  <c r="J70" i="93"/>
  <c r="F68" i="93"/>
  <c r="F85" i="93" s="1"/>
  <c r="I64" i="93"/>
  <c r="I33" i="93"/>
  <c r="G63" i="93"/>
  <c r="I69" i="93"/>
  <c r="I70" i="93"/>
  <c r="K32" i="93"/>
  <c r="G62" i="93"/>
  <c r="L17" i="64"/>
  <c r="M346" i="42"/>
  <c r="L343" i="42"/>
  <c r="L351" i="42"/>
  <c r="H94" i="93"/>
  <c r="H114" i="93" s="1"/>
  <c r="N363" i="42"/>
  <c r="K93" i="93"/>
  <c r="H113" i="93"/>
  <c r="L95" i="93"/>
  <c r="R360" i="42"/>
  <c r="G114" i="93"/>
  <c r="F64" i="93"/>
  <c r="F33" i="93"/>
  <c r="F65" i="93"/>
  <c r="F34" i="93"/>
  <c r="F69" i="93"/>
  <c r="I99" i="93"/>
  <c r="H65" i="93"/>
  <c r="H64" i="93"/>
  <c r="L32" i="93"/>
  <c r="G65" i="93"/>
  <c r="I65" i="93"/>
  <c r="I34" i="93"/>
  <c r="J32" i="93"/>
  <c r="L62" i="36"/>
  <c r="L8" i="64"/>
  <c r="K99" i="93"/>
  <c r="I94" i="93"/>
  <c r="K63" i="93"/>
  <c r="L64" i="93"/>
  <c r="C25" i="93"/>
  <c r="I63" i="93"/>
  <c r="M362" i="42"/>
  <c r="N364" i="42"/>
  <c r="M363" i="42"/>
  <c r="L347" i="42"/>
  <c r="G127" i="97" l="1"/>
  <c r="D123" i="97"/>
  <c r="D28" i="93"/>
  <c r="F124" i="97"/>
  <c r="C124" i="97"/>
  <c r="G124" i="97"/>
  <c r="E123" i="97"/>
  <c r="K73" i="93"/>
  <c r="I73" i="93"/>
  <c r="J375" i="42"/>
  <c r="L378" i="42"/>
  <c r="K378" i="42"/>
  <c r="G378" i="42"/>
  <c r="R378" i="42"/>
  <c r="I375" i="42"/>
  <c r="I377" i="42"/>
  <c r="F294" i="97"/>
  <c r="K36" i="42"/>
  <c r="G294" i="97"/>
  <c r="F293" i="97"/>
  <c r="T48" i="97"/>
  <c r="J82" i="63"/>
  <c r="J55" i="63" s="1"/>
  <c r="C23" i="93"/>
  <c r="G80" i="93"/>
  <c r="W245" i="97" s="1"/>
  <c r="E294" i="97"/>
  <c r="J36" i="42"/>
  <c r="O372" i="42"/>
  <c r="G53" i="42"/>
  <c r="G54" i="42" s="1"/>
  <c r="H53" i="42"/>
  <c r="E303" i="97" s="1"/>
  <c r="H386" i="42"/>
  <c r="J188" i="36"/>
  <c r="J64" i="36"/>
  <c r="I72" i="93"/>
  <c r="I143" i="42"/>
  <c r="I64" i="36"/>
  <c r="M188" i="36"/>
  <c r="M64" i="36"/>
  <c r="D23" i="93"/>
  <c r="F23" i="93"/>
  <c r="G386" i="42"/>
  <c r="J37" i="42"/>
  <c r="H387" i="42"/>
  <c r="G11" i="42"/>
  <c r="F74" i="93"/>
  <c r="F80" i="93" s="1"/>
  <c r="G25" i="93"/>
  <c r="I243" i="97" s="1"/>
  <c r="I246" i="97" s="1"/>
  <c r="G23" i="93"/>
  <c r="L73" i="93"/>
  <c r="E23" i="93"/>
  <c r="K37" i="42"/>
  <c r="K11" i="42"/>
  <c r="G180" i="97" s="1"/>
  <c r="H270" i="42"/>
  <c r="K188" i="36"/>
  <c r="K64" i="36"/>
  <c r="G270" i="42"/>
  <c r="G388" i="42"/>
  <c r="K383" i="42"/>
  <c r="H388" i="42"/>
  <c r="H11" i="42"/>
  <c r="D180" i="97" s="1"/>
  <c r="I142" i="42"/>
  <c r="M206" i="42"/>
  <c r="M31" i="42" s="1"/>
  <c r="K29" i="64"/>
  <c r="I123" i="36"/>
  <c r="D49" i="97"/>
  <c r="J11" i="42"/>
  <c r="F180" i="97" s="1"/>
  <c r="L348" i="42"/>
  <c r="L206" i="42"/>
  <c r="L31" i="42" s="1"/>
  <c r="I131" i="97"/>
  <c r="K123" i="36"/>
  <c r="I87" i="93"/>
  <c r="E293" i="97"/>
  <c r="D293" i="97"/>
  <c r="O18" i="64"/>
  <c r="G29" i="63"/>
  <c r="C49" i="97"/>
  <c r="G52" i="63"/>
  <c r="K79" i="63"/>
  <c r="K82" i="63"/>
  <c r="K55" i="63" s="1"/>
  <c r="U48" i="97"/>
  <c r="G119" i="97"/>
  <c r="N354" i="42"/>
  <c r="D295" i="97"/>
  <c r="H143" i="42"/>
  <c r="N10" i="64"/>
  <c r="N62" i="36"/>
  <c r="G92" i="93"/>
  <c r="H56" i="42"/>
  <c r="D300" i="97"/>
  <c r="I85" i="97"/>
  <c r="L329" i="42"/>
  <c r="M89" i="97"/>
  <c r="M353" i="42"/>
  <c r="D119" i="97"/>
  <c r="R48" i="97"/>
  <c r="H82" i="63"/>
  <c r="H55" i="63" s="1"/>
  <c r="H79" i="63"/>
  <c r="D61" i="102"/>
  <c r="D211" i="97"/>
  <c r="H29" i="64"/>
  <c r="K142" i="42"/>
  <c r="L132" i="97"/>
  <c r="L89" i="97"/>
  <c r="F131" i="97"/>
  <c r="K374" i="42"/>
  <c r="H268" i="42"/>
  <c r="H33" i="42" s="1"/>
  <c r="L340" i="42"/>
  <c r="I79" i="63"/>
  <c r="S48" i="97"/>
  <c r="I82" i="63"/>
  <c r="E119" i="97"/>
  <c r="K38" i="42"/>
  <c r="G295" i="97"/>
  <c r="N350" i="42"/>
  <c r="H29" i="63"/>
  <c r="H52" i="63"/>
  <c r="N353" i="42"/>
  <c r="P20" i="64"/>
  <c r="N343" i="42"/>
  <c r="G61" i="93"/>
  <c r="H294" i="97"/>
  <c r="I29" i="63"/>
  <c r="I30" i="63" s="1"/>
  <c r="I52" i="63"/>
  <c r="H295" i="97"/>
  <c r="N9" i="64"/>
  <c r="N26" i="64" s="1"/>
  <c r="F49" i="97"/>
  <c r="N17" i="64"/>
  <c r="G143" i="42"/>
  <c r="G10" i="42" s="1"/>
  <c r="J29" i="63"/>
  <c r="J52" i="63"/>
  <c r="M27" i="64"/>
  <c r="W242" i="97" s="1"/>
  <c r="I242" i="97"/>
  <c r="M25" i="64"/>
  <c r="M12" i="64"/>
  <c r="O351" i="42"/>
  <c r="M144" i="42"/>
  <c r="M30" i="42" s="1"/>
  <c r="H84" i="97"/>
  <c r="D294" i="97"/>
  <c r="G82" i="63"/>
  <c r="C119" i="97"/>
  <c r="Q48" i="97"/>
  <c r="G79" i="63"/>
  <c r="L28" i="63"/>
  <c r="H76" i="97"/>
  <c r="H48" i="97"/>
  <c r="N344" i="42"/>
  <c r="P363" i="42"/>
  <c r="L350" i="42"/>
  <c r="K52" i="63"/>
  <c r="K29" i="63"/>
  <c r="K30" i="63" s="1"/>
  <c r="G49" i="97"/>
  <c r="L185" i="36"/>
  <c r="L123" i="36" s="1"/>
  <c r="L25" i="63"/>
  <c r="J79" i="63"/>
  <c r="E61" i="102"/>
  <c r="E211" i="97"/>
  <c r="M345" i="42"/>
  <c r="F211" i="97"/>
  <c r="K124" i="36"/>
  <c r="I268" i="42"/>
  <c r="I33" i="42" s="1"/>
  <c r="N19" i="64"/>
  <c r="J38" i="42"/>
  <c r="F295" i="97"/>
  <c r="N8" i="64"/>
  <c r="L27" i="64"/>
  <c r="V242" i="97" s="1"/>
  <c r="H242" i="97"/>
  <c r="R364" i="42"/>
  <c r="J122" i="36"/>
  <c r="L142" i="42"/>
  <c r="I77" i="97"/>
  <c r="O11" i="64"/>
  <c r="O28" i="64" s="1"/>
  <c r="E295" i="97"/>
  <c r="M61" i="36"/>
  <c r="K114" i="93"/>
  <c r="K88" i="97"/>
  <c r="E49" i="97"/>
  <c r="H293" i="97"/>
  <c r="M186" i="36"/>
  <c r="M124" i="36" s="1"/>
  <c r="I56" i="42"/>
  <c r="E300" i="97"/>
  <c r="C180" i="97"/>
  <c r="J142" i="42"/>
  <c r="I86" i="93"/>
  <c r="K367" i="42"/>
  <c r="L366" i="42"/>
  <c r="I63" i="36"/>
  <c r="H69" i="93"/>
  <c r="H86" i="93" s="1"/>
  <c r="N368" i="42"/>
  <c r="G70" i="93"/>
  <c r="G87" i="93" s="1"/>
  <c r="H70" i="93"/>
  <c r="H87" i="93" s="1"/>
  <c r="G69" i="93"/>
  <c r="G86" i="93" s="1"/>
  <c r="I120" i="97"/>
  <c r="I81" i="97"/>
  <c r="H34" i="93"/>
  <c r="G67" i="93"/>
  <c r="G84" i="93" s="1"/>
  <c r="F25" i="93"/>
  <c r="F28" i="93" s="1"/>
  <c r="F61" i="93"/>
  <c r="F30" i="93"/>
  <c r="K366" i="42"/>
  <c r="M348" i="42"/>
  <c r="H128" i="97"/>
  <c r="H85" i="97"/>
  <c r="P365" i="42"/>
  <c r="G31" i="93"/>
  <c r="N367" i="42"/>
  <c r="L115" i="93"/>
  <c r="L62" i="93"/>
  <c r="K95" i="93"/>
  <c r="I84" i="97"/>
  <c r="L144" i="42"/>
  <c r="L30" i="42" s="1"/>
  <c r="G377" i="42"/>
  <c r="D60" i="102"/>
  <c r="D210" i="97"/>
  <c r="R369" i="42"/>
  <c r="J69" i="93"/>
  <c r="J86" i="93" s="1"/>
  <c r="J93" i="93"/>
  <c r="F67" i="93"/>
  <c r="F79" i="93" s="1"/>
  <c r="L94" i="93"/>
  <c r="I80" i="97"/>
  <c r="M341" i="42"/>
  <c r="C60" i="102"/>
  <c r="C210" i="97"/>
  <c r="F62" i="93"/>
  <c r="F31" i="93"/>
  <c r="P372" i="42"/>
  <c r="J62" i="93"/>
  <c r="Q359" i="42"/>
  <c r="Q363" i="42"/>
  <c r="P368" i="42"/>
  <c r="O363" i="42"/>
  <c r="H33" i="93"/>
  <c r="Q373" i="42"/>
  <c r="K68" i="93"/>
  <c r="K85" i="93" s="1"/>
  <c r="N366" i="42"/>
  <c r="M28" i="63"/>
  <c r="I76" i="97"/>
  <c r="I48" i="97"/>
  <c r="L331" i="42"/>
  <c r="L32" i="42" s="1"/>
  <c r="L344" i="42"/>
  <c r="E60" i="102"/>
  <c r="E125" i="97" s="1"/>
  <c r="E210" i="97"/>
  <c r="J361" i="42"/>
  <c r="M372" i="42"/>
  <c r="E25" i="93"/>
  <c r="E28" i="93" s="1"/>
  <c r="J367" i="42"/>
  <c r="G68" i="93"/>
  <c r="G85" i="93" s="1"/>
  <c r="G66" i="93"/>
  <c r="G26" i="93"/>
  <c r="G30" i="93"/>
  <c r="K31" i="93"/>
  <c r="H80" i="97"/>
  <c r="C28" i="93"/>
  <c r="N369" i="42"/>
  <c r="H68" i="93"/>
  <c r="H85" i="93" s="1"/>
  <c r="K69" i="93"/>
  <c r="K86" i="93" s="1"/>
  <c r="K62" i="93"/>
  <c r="L186" i="36"/>
  <c r="L124" i="36" s="1"/>
  <c r="H377" i="42"/>
  <c r="M367" i="42"/>
  <c r="I146" i="42"/>
  <c r="I208" i="42"/>
  <c r="F86" i="93"/>
  <c r="N373" i="42"/>
  <c r="H62" i="93"/>
  <c r="H31" i="93"/>
  <c r="G67" i="102"/>
  <c r="H67" i="93"/>
  <c r="J63" i="36"/>
  <c r="K113" i="93"/>
  <c r="G66" i="102"/>
  <c r="G214" i="97"/>
  <c r="G87" i="97" s="1"/>
  <c r="H32" i="93"/>
  <c r="L69" i="93"/>
  <c r="L86" i="93" s="1"/>
  <c r="I68" i="93"/>
  <c r="K70" i="93"/>
  <c r="I113" i="93"/>
  <c r="M373" i="42"/>
  <c r="J100" i="93"/>
  <c r="L367" i="42"/>
  <c r="J114" i="93"/>
  <c r="L362" i="42"/>
  <c r="L31" i="93"/>
  <c r="M369" i="42"/>
  <c r="L12" i="64"/>
  <c r="L25" i="64"/>
  <c r="N346" i="42"/>
  <c r="H66" i="102"/>
  <c r="J68" i="93"/>
  <c r="J85" i="93" s="1"/>
  <c r="G34" i="93"/>
  <c r="L68" i="93"/>
  <c r="L85" i="93" s="1"/>
  <c r="I114" i="93"/>
  <c r="F87" i="93"/>
  <c r="L184" i="36"/>
  <c r="J65" i="93"/>
  <c r="J87" i="93" s="1"/>
  <c r="J34" i="93"/>
  <c r="Q368" i="42"/>
  <c r="K33" i="93"/>
  <c r="J208" i="42"/>
  <c r="J146" i="42"/>
  <c r="H66" i="93"/>
  <c r="H26" i="93"/>
  <c r="J244" i="97" s="1"/>
  <c r="K100" i="93"/>
  <c r="M37" i="42"/>
  <c r="L37" i="42"/>
  <c r="I294" i="97"/>
  <c r="G33" i="93"/>
  <c r="J98" i="93"/>
  <c r="M368" i="42"/>
  <c r="J95" i="93"/>
  <c r="P364" i="42"/>
  <c r="L113" i="93"/>
  <c r="I31" i="93"/>
  <c r="I62" i="93"/>
  <c r="L99" i="93"/>
  <c r="L114" i="93" s="1"/>
  <c r="I127" i="97" l="1"/>
  <c r="T49" i="97"/>
  <c r="H127" i="97"/>
  <c r="J73" i="93"/>
  <c r="G376" i="42"/>
  <c r="I376" i="42"/>
  <c r="H375" i="42"/>
  <c r="K377" i="42"/>
  <c r="L386" i="42"/>
  <c r="J377" i="42"/>
  <c r="K146" i="42"/>
  <c r="K375" i="42"/>
  <c r="L387" i="42"/>
  <c r="L388" i="42"/>
  <c r="D125" i="97"/>
  <c r="I34" i="42"/>
  <c r="I45" i="42" s="1"/>
  <c r="N206" i="42"/>
  <c r="N31" i="42" s="1"/>
  <c r="K294" i="97" s="1"/>
  <c r="I124" i="97"/>
  <c r="J294" i="97"/>
  <c r="K115" i="93"/>
  <c r="K386" i="42"/>
  <c r="K17" i="42"/>
  <c r="D303" i="97"/>
  <c r="H59" i="42"/>
  <c r="I10" i="42"/>
  <c r="E179" i="97" s="1"/>
  <c r="I59" i="42"/>
  <c r="H54" i="42"/>
  <c r="G76" i="93"/>
  <c r="M361" i="42"/>
  <c r="J268" i="42"/>
  <c r="J33" i="42" s="1"/>
  <c r="L188" i="36"/>
  <c r="I188" i="36"/>
  <c r="G130" i="97"/>
  <c r="K208" i="42"/>
  <c r="G28" i="93"/>
  <c r="L64" i="36"/>
  <c r="F76" i="93"/>
  <c r="G78" i="93"/>
  <c r="G55" i="93" s="1"/>
  <c r="J388" i="42"/>
  <c r="J17" i="42"/>
  <c r="M371" i="42"/>
  <c r="K333" i="42"/>
  <c r="K371" i="42"/>
  <c r="H380" i="42"/>
  <c r="H383" i="42"/>
  <c r="P374" i="42"/>
  <c r="Q370" i="42"/>
  <c r="J371" i="42"/>
  <c r="J333" i="42"/>
  <c r="L371" i="42"/>
  <c r="I333" i="42"/>
  <c r="I371" i="42"/>
  <c r="N372" i="42"/>
  <c r="K268" i="42"/>
  <c r="K33" i="42" s="1"/>
  <c r="M205" i="42"/>
  <c r="R49" i="97"/>
  <c r="H10" i="42"/>
  <c r="R363" i="42"/>
  <c r="J266" i="42"/>
  <c r="G268" i="42"/>
  <c r="G33" i="42" s="1"/>
  <c r="M185" i="36"/>
  <c r="M123" i="36" s="1"/>
  <c r="M29" i="64"/>
  <c r="J380" i="42"/>
  <c r="U49" i="97"/>
  <c r="R359" i="42"/>
  <c r="C179" i="97"/>
  <c r="N37" i="42"/>
  <c r="C61" i="102"/>
  <c r="C125" i="97" s="1"/>
  <c r="C211" i="97"/>
  <c r="N25" i="64"/>
  <c r="N12" i="64"/>
  <c r="N345" i="42"/>
  <c r="J30" i="63"/>
  <c r="O17" i="64"/>
  <c r="Q20" i="64"/>
  <c r="S49" i="97"/>
  <c r="H170" i="36"/>
  <c r="R211" i="97"/>
  <c r="O344" i="42"/>
  <c r="S219" i="97"/>
  <c r="I83" i="63"/>
  <c r="I84" i="63" s="1"/>
  <c r="H266" i="42"/>
  <c r="H60" i="42"/>
  <c r="O10" i="64"/>
  <c r="O62" i="36"/>
  <c r="O354" i="42"/>
  <c r="E58" i="102"/>
  <c r="E208" i="97"/>
  <c r="E78" i="97"/>
  <c r="G30" i="63"/>
  <c r="K387" i="42"/>
  <c r="L266" i="42"/>
  <c r="S211" i="97"/>
  <c r="L88" i="97"/>
  <c r="O8" i="64"/>
  <c r="I55" i="63"/>
  <c r="K388" i="42"/>
  <c r="F296" i="97"/>
  <c r="H209" i="97"/>
  <c r="H79" i="97"/>
  <c r="P11" i="64"/>
  <c r="P28" i="64" s="1"/>
  <c r="P351" i="42"/>
  <c r="E59" i="102"/>
  <c r="E209" i="97"/>
  <c r="E79" i="97"/>
  <c r="G112" i="93"/>
  <c r="G108" i="93"/>
  <c r="P18" i="64"/>
  <c r="H30" i="63"/>
  <c r="K131" i="97"/>
  <c r="G83" i="63"/>
  <c r="G56" i="63" s="1"/>
  <c r="Q219" i="97"/>
  <c r="J293" i="97"/>
  <c r="O343" i="42"/>
  <c r="N27" i="64"/>
  <c r="X242" i="97" s="1"/>
  <c r="J242" i="97"/>
  <c r="K83" i="63"/>
  <c r="K56" i="63" s="1"/>
  <c r="U219" i="97"/>
  <c r="N352" i="42"/>
  <c r="E296" i="97"/>
  <c r="O19" i="64"/>
  <c r="J83" i="63"/>
  <c r="J84" i="63" s="1"/>
  <c r="T219" i="97"/>
  <c r="J379" i="42"/>
  <c r="N144" i="42"/>
  <c r="N30" i="42" s="1"/>
  <c r="Q49" i="97"/>
  <c r="G266" i="42"/>
  <c r="O350" i="42"/>
  <c r="O353" i="42"/>
  <c r="O352" i="42"/>
  <c r="H124" i="97"/>
  <c r="K266" i="42"/>
  <c r="N89" i="97"/>
  <c r="N132" i="97"/>
  <c r="H83" i="63"/>
  <c r="H84" i="63" s="1"/>
  <c r="R219" i="97"/>
  <c r="O9" i="64"/>
  <c r="O26" i="64" s="1"/>
  <c r="O366" i="42"/>
  <c r="I26" i="93"/>
  <c r="K244" i="97" s="1"/>
  <c r="M25" i="63"/>
  <c r="M29" i="63" s="1"/>
  <c r="M30" i="63" s="1"/>
  <c r="G55" i="63"/>
  <c r="I266" i="42"/>
  <c r="F58" i="102"/>
  <c r="F208" i="97"/>
  <c r="F78" i="97"/>
  <c r="L208" i="42"/>
  <c r="L374" i="42"/>
  <c r="Q374" i="42"/>
  <c r="H34" i="42"/>
  <c r="G53" i="93"/>
  <c r="I84" i="93"/>
  <c r="M366" i="42"/>
  <c r="M332" i="42"/>
  <c r="M142" i="42"/>
  <c r="J51" i="42"/>
  <c r="P369" i="42"/>
  <c r="L205" i="42"/>
  <c r="K63" i="36"/>
  <c r="K51" i="42"/>
  <c r="L38" i="42"/>
  <c r="I295" i="97"/>
  <c r="Q365" i="42"/>
  <c r="H210" i="97"/>
  <c r="R368" i="42"/>
  <c r="C82" i="97"/>
  <c r="G169" i="36"/>
  <c r="Q210" i="97"/>
  <c r="H169" i="36"/>
  <c r="R210" i="97"/>
  <c r="M340" i="42"/>
  <c r="M329" i="42"/>
  <c r="I52" i="42"/>
  <c r="M63" i="36"/>
  <c r="L82" i="63"/>
  <c r="V48" i="97"/>
  <c r="H119" i="97"/>
  <c r="L63" i="36"/>
  <c r="H211" i="97"/>
  <c r="I125" i="36"/>
  <c r="M207" i="42"/>
  <c r="J113" i="93"/>
  <c r="L122" i="36"/>
  <c r="J67" i="93"/>
  <c r="J84" i="93" s="1"/>
  <c r="J115" i="93"/>
  <c r="J187" i="36"/>
  <c r="R373" i="42"/>
  <c r="G35" i="93"/>
  <c r="S210" i="97"/>
  <c r="L361" i="42"/>
  <c r="L332" i="42"/>
  <c r="J31" i="93"/>
  <c r="Q369" i="42"/>
  <c r="F84" i="93"/>
  <c r="L341" i="42"/>
  <c r="D82" i="97"/>
  <c r="J80" i="97"/>
  <c r="J52" i="42"/>
  <c r="J125" i="36"/>
  <c r="Q372" i="42"/>
  <c r="H123" i="97"/>
  <c r="K52" i="42"/>
  <c r="E82" i="97"/>
  <c r="M204" i="42"/>
  <c r="W243" i="97"/>
  <c r="J76" i="97"/>
  <c r="L70" i="93"/>
  <c r="O368" i="42"/>
  <c r="M36" i="42"/>
  <c r="L36" i="42"/>
  <c r="I293" i="97"/>
  <c r="N341" i="42"/>
  <c r="Q360" i="42"/>
  <c r="Q364" i="42"/>
  <c r="F35" i="93"/>
  <c r="O346" i="42"/>
  <c r="H120" i="97"/>
  <c r="H79" i="93"/>
  <c r="X244" i="97" s="1"/>
  <c r="L29" i="64"/>
  <c r="L67" i="93"/>
  <c r="L84" i="93" s="1"/>
  <c r="U214" i="97"/>
  <c r="H84" i="93"/>
  <c r="N362" i="42"/>
  <c r="I85" i="93"/>
  <c r="L29" i="63"/>
  <c r="L52" i="63"/>
  <c r="H49" i="97"/>
  <c r="K67" i="93"/>
  <c r="G79" i="93"/>
  <c r="W244" i="97" s="1"/>
  <c r="G83" i="93"/>
  <c r="M82" i="63"/>
  <c r="M55" i="63" s="1"/>
  <c r="W48" i="97"/>
  <c r="I119" i="97"/>
  <c r="K65" i="93"/>
  <c r="K87" i="93" s="1"/>
  <c r="K34" i="93"/>
  <c r="L207" i="42"/>
  <c r="I210" i="97"/>
  <c r="I51" i="42"/>
  <c r="I50" i="42"/>
  <c r="F78" i="93"/>
  <c r="F83" i="93"/>
  <c r="I187" i="36"/>
  <c r="D179" i="97" l="1"/>
  <c r="I123" i="97"/>
  <c r="M378" i="42"/>
  <c r="G375" i="42"/>
  <c r="I49" i="97"/>
  <c r="J381" i="42"/>
  <c r="I382" i="42"/>
  <c r="J382" i="42"/>
  <c r="L375" i="42"/>
  <c r="J34" i="42"/>
  <c r="J45" i="42" s="1"/>
  <c r="I44" i="42"/>
  <c r="I43" i="42"/>
  <c r="I42" i="42"/>
  <c r="K34" i="42"/>
  <c r="H43" i="42"/>
  <c r="H42" i="42"/>
  <c r="H44" i="42"/>
  <c r="H45" i="42"/>
  <c r="L268" i="42"/>
  <c r="L33" i="42" s="1"/>
  <c r="J39" i="42"/>
  <c r="I60" i="42"/>
  <c r="H296" i="97"/>
  <c r="G296" i="97"/>
  <c r="K39" i="42"/>
  <c r="G384" i="42"/>
  <c r="G381" i="42"/>
  <c r="L52" i="42"/>
  <c r="M58" i="42" s="1"/>
  <c r="G385" i="42"/>
  <c r="G382" i="42"/>
  <c r="L383" i="42"/>
  <c r="L51" i="42"/>
  <c r="M57" i="42" s="1"/>
  <c r="H385" i="42"/>
  <c r="H382" i="42"/>
  <c r="H384" i="42"/>
  <c r="H381" i="42"/>
  <c r="G81" i="93"/>
  <c r="G58" i="93" s="1"/>
  <c r="W246" i="97"/>
  <c r="K50" i="42"/>
  <c r="J50" i="42"/>
  <c r="I270" i="42"/>
  <c r="J384" i="42"/>
  <c r="G380" i="42"/>
  <c r="G383" i="42"/>
  <c r="L333" i="42"/>
  <c r="R370" i="42"/>
  <c r="I380" i="42"/>
  <c r="I383" i="42"/>
  <c r="J385" i="42"/>
  <c r="J270" i="42"/>
  <c r="J383" i="42"/>
  <c r="J386" i="42"/>
  <c r="I385" i="42"/>
  <c r="L146" i="42"/>
  <c r="J387" i="42"/>
  <c r="I381" i="42"/>
  <c r="I384" i="42"/>
  <c r="G34" i="42"/>
  <c r="G45" i="42" s="1"/>
  <c r="O206" i="42"/>
  <c r="O31" i="42" s="1"/>
  <c r="L79" i="63"/>
  <c r="I56" i="63"/>
  <c r="D296" i="97"/>
  <c r="H215" i="97"/>
  <c r="H90" i="97"/>
  <c r="H68" i="102"/>
  <c r="M52" i="63"/>
  <c r="H69" i="102"/>
  <c r="D22" i="102"/>
  <c r="F209" i="97"/>
  <c r="F79" i="97"/>
  <c r="G212" i="97"/>
  <c r="G83" i="97" s="1"/>
  <c r="H67" i="102"/>
  <c r="H130" i="97" s="1"/>
  <c r="H214" i="97"/>
  <c r="H87" i="97" s="1"/>
  <c r="K84" i="63"/>
  <c r="I57" i="63"/>
  <c r="P9" i="64"/>
  <c r="P26" i="64" s="1"/>
  <c r="P354" i="42"/>
  <c r="P17" i="64"/>
  <c r="G58" i="102"/>
  <c r="G208" i="97"/>
  <c r="G78" i="97"/>
  <c r="M132" i="97"/>
  <c r="O27" i="64"/>
  <c r="Y242" i="97" s="1"/>
  <c r="K242" i="97"/>
  <c r="P344" i="42"/>
  <c r="D58" i="102"/>
  <c r="D78" i="97"/>
  <c r="D208" i="97"/>
  <c r="P10" i="64"/>
  <c r="P62" i="36"/>
  <c r="N186" i="36"/>
  <c r="N124" i="36" s="1"/>
  <c r="P350" i="42"/>
  <c r="P8" i="64"/>
  <c r="J57" i="63"/>
  <c r="K293" i="97"/>
  <c r="N36" i="42"/>
  <c r="F63" i="102"/>
  <c r="C25" i="102"/>
  <c r="C59" i="102"/>
  <c r="C79" i="97"/>
  <c r="C209" i="97"/>
  <c r="H56" i="63"/>
  <c r="J56" i="63"/>
  <c r="G170" i="36"/>
  <c r="Q211" i="97"/>
  <c r="J131" i="97"/>
  <c r="I211" i="97"/>
  <c r="M184" i="36"/>
  <c r="Q351" i="42"/>
  <c r="I379" i="42"/>
  <c r="I334" i="42"/>
  <c r="I72" i="42"/>
  <c r="D212" i="97"/>
  <c r="D83" i="97" s="1"/>
  <c r="D62" i="102"/>
  <c r="D25" i="102"/>
  <c r="R20" i="64"/>
  <c r="R374" i="42"/>
  <c r="G84" i="63"/>
  <c r="H57" i="63"/>
  <c r="O25" i="64"/>
  <c r="O12" i="64"/>
  <c r="L131" i="97"/>
  <c r="S208" i="97"/>
  <c r="E121" i="97"/>
  <c r="O144" i="42"/>
  <c r="O30" i="42" s="1"/>
  <c r="F61" i="102"/>
  <c r="F210" i="97"/>
  <c r="F60" i="102"/>
  <c r="O345" i="42"/>
  <c r="F212" i="97"/>
  <c r="F83" i="97" s="1"/>
  <c r="F62" i="102"/>
  <c r="M79" i="63"/>
  <c r="W49" i="97" s="1"/>
  <c r="Q18" i="64"/>
  <c r="G209" i="42"/>
  <c r="G210" i="42" s="1"/>
  <c r="G201" i="42"/>
  <c r="G71" i="42"/>
  <c r="N29" i="64"/>
  <c r="M88" i="97"/>
  <c r="F121" i="97"/>
  <c r="T208" i="97"/>
  <c r="G60" i="102"/>
  <c r="G210" i="97"/>
  <c r="G82" i="97" s="1"/>
  <c r="H379" i="42"/>
  <c r="Q11" i="64"/>
  <c r="Q28" i="64" s="1"/>
  <c r="E122" i="97"/>
  <c r="S209" i="97"/>
  <c r="P356" i="42"/>
  <c r="P343" i="42"/>
  <c r="D63" i="102"/>
  <c r="D26" i="102"/>
  <c r="P19" i="64"/>
  <c r="P353" i="42"/>
  <c r="O186" i="36"/>
  <c r="O124" i="36" s="1"/>
  <c r="M52" i="42"/>
  <c r="L269" i="42"/>
  <c r="V219" i="97"/>
  <c r="N340" i="42"/>
  <c r="F88" i="93"/>
  <c r="I207" i="42"/>
  <c r="I82" i="97"/>
  <c r="G88" i="93"/>
  <c r="Q362" i="42"/>
  <c r="P367" i="42"/>
  <c r="P362" i="42"/>
  <c r="R367" i="42"/>
  <c r="J145" i="42"/>
  <c r="L125" i="36"/>
  <c r="L39" i="42"/>
  <c r="I296" i="97"/>
  <c r="H82" i="97"/>
  <c r="K207" i="42"/>
  <c r="K125" i="36"/>
  <c r="F81" i="93"/>
  <c r="I145" i="42"/>
  <c r="R362" i="42"/>
  <c r="L30" i="63"/>
  <c r="K361" i="42"/>
  <c r="K332" i="42"/>
  <c r="M187" i="36"/>
  <c r="M125" i="36" s="1"/>
  <c r="L34" i="93"/>
  <c r="L65" i="93"/>
  <c r="Q367" i="42"/>
  <c r="L187" i="36"/>
  <c r="L55" i="63"/>
  <c r="I332" i="42"/>
  <c r="P346" i="42"/>
  <c r="K145" i="42"/>
  <c r="J366" i="42"/>
  <c r="J332" i="42"/>
  <c r="R365" i="42"/>
  <c r="O362" i="42"/>
  <c r="J207" i="42"/>
  <c r="J210" i="97"/>
  <c r="M11" i="42"/>
  <c r="I180" i="97" s="1"/>
  <c r="K80" i="97"/>
  <c r="K76" i="97"/>
  <c r="O341" i="42"/>
  <c r="M266" i="42"/>
  <c r="L145" i="42"/>
  <c r="K187" i="36"/>
  <c r="L11" i="42"/>
  <c r="H180" i="97" s="1"/>
  <c r="K84" i="93"/>
  <c r="K269" i="42"/>
  <c r="J123" i="97" l="1"/>
  <c r="I128" i="97"/>
  <c r="V49" i="97"/>
  <c r="K382" i="42"/>
  <c r="O378" i="42"/>
  <c r="K376" i="42"/>
  <c r="M375" i="42"/>
  <c r="N378" i="42"/>
  <c r="H376" i="42"/>
  <c r="H393" i="42" s="1"/>
  <c r="J53" i="42"/>
  <c r="J54" i="42" s="1"/>
  <c r="K43" i="42"/>
  <c r="K44" i="42"/>
  <c r="K42" i="42"/>
  <c r="J40" i="42"/>
  <c r="J44" i="42"/>
  <c r="J42" i="42"/>
  <c r="J43" i="42"/>
  <c r="K40" i="42"/>
  <c r="M388" i="42"/>
  <c r="O37" i="42"/>
  <c r="I53" i="42"/>
  <c r="I54" i="42" s="1"/>
  <c r="G43" i="42"/>
  <c r="G44" i="42"/>
  <c r="G42" i="42"/>
  <c r="L34" i="42"/>
  <c r="L45" i="42" s="1"/>
  <c r="K45" i="42"/>
  <c r="J302" i="97"/>
  <c r="H133" i="97"/>
  <c r="I301" i="97"/>
  <c r="L294" i="97"/>
  <c r="L50" i="42"/>
  <c r="M56" i="42" s="1"/>
  <c r="K53" i="42"/>
  <c r="L59" i="42" s="1"/>
  <c r="I302" i="97"/>
  <c r="F125" i="97"/>
  <c r="K384" i="42"/>
  <c r="G334" i="42"/>
  <c r="M208" i="42"/>
  <c r="M51" i="42"/>
  <c r="D126" i="97"/>
  <c r="F126" i="97"/>
  <c r="K270" i="42"/>
  <c r="K385" i="42"/>
  <c r="L270" i="42"/>
  <c r="R372" i="42"/>
  <c r="M374" i="42"/>
  <c r="M333" i="42"/>
  <c r="G57" i="63"/>
  <c r="L83" i="63"/>
  <c r="L56" i="63" s="1"/>
  <c r="P206" i="42"/>
  <c r="P31" i="42" s="1"/>
  <c r="V215" i="97"/>
  <c r="K57" i="63"/>
  <c r="K119" i="97"/>
  <c r="P186" i="36"/>
  <c r="P124" i="36" s="1"/>
  <c r="C78" i="97"/>
  <c r="C208" i="97"/>
  <c r="C58" i="102"/>
  <c r="D209" i="97"/>
  <c r="D217" i="97" s="1"/>
  <c r="D59" i="102"/>
  <c r="D79" i="97"/>
  <c r="H65" i="36"/>
  <c r="H66" i="36" s="1"/>
  <c r="H212" i="97"/>
  <c r="H83" i="97" s="1"/>
  <c r="F25" i="102"/>
  <c r="V214" i="97"/>
  <c r="M131" i="97"/>
  <c r="M83" i="63"/>
  <c r="M56" i="63" s="1"/>
  <c r="W219" i="97"/>
  <c r="C22" i="102"/>
  <c r="C28" i="102" s="1"/>
  <c r="L293" i="97"/>
  <c r="O36" i="42"/>
  <c r="L377" i="42"/>
  <c r="H60" i="102"/>
  <c r="E65" i="102"/>
  <c r="F65" i="102"/>
  <c r="Q356" i="42"/>
  <c r="T212" i="97"/>
  <c r="I393" i="42"/>
  <c r="P25" i="64"/>
  <c r="P12" i="64"/>
  <c r="G121" i="97"/>
  <c r="U208" i="97"/>
  <c r="E213" i="97"/>
  <c r="E86" i="97" s="1"/>
  <c r="E64" i="102"/>
  <c r="H78" i="97"/>
  <c r="H208" i="97"/>
  <c r="H58" i="102"/>
  <c r="Q350" i="42"/>
  <c r="D76" i="102"/>
  <c r="D51" i="102" s="1"/>
  <c r="H172" i="36"/>
  <c r="R18" i="64"/>
  <c r="T211" i="97"/>
  <c r="D28" i="102"/>
  <c r="F67" i="102"/>
  <c r="C62" i="102"/>
  <c r="C212" i="97"/>
  <c r="C83" i="97" s="1"/>
  <c r="F26" i="102"/>
  <c r="H57" i="36"/>
  <c r="U210" i="97"/>
  <c r="Q17" i="64"/>
  <c r="Q354" i="42"/>
  <c r="F64" i="102"/>
  <c r="F213" i="97"/>
  <c r="F86" i="97" s="1"/>
  <c r="Q19" i="64"/>
  <c r="G59" i="102"/>
  <c r="G209" i="97"/>
  <c r="G79" i="97"/>
  <c r="Q353" i="42"/>
  <c r="O29" i="64"/>
  <c r="R11" i="64"/>
  <c r="R28" i="64" s="1"/>
  <c r="G168" i="36"/>
  <c r="C122" i="97"/>
  <c r="Q209" i="97"/>
  <c r="K379" i="42"/>
  <c r="G62" i="102"/>
  <c r="P352" i="42"/>
  <c r="Q10" i="64"/>
  <c r="Q62" i="36"/>
  <c r="H334" i="42"/>
  <c r="D308" i="97"/>
  <c r="Q9" i="64"/>
  <c r="Q26" i="64" s="1"/>
  <c r="G379" i="42"/>
  <c r="G72" i="42"/>
  <c r="Q343" i="42"/>
  <c r="M122" i="36"/>
  <c r="N88" i="97"/>
  <c r="G61" i="102"/>
  <c r="G125" i="97" s="1"/>
  <c r="F66" i="102"/>
  <c r="F214" i="97"/>
  <c r="F87" i="97" s="1"/>
  <c r="P331" i="42"/>
  <c r="P32" i="42" s="1"/>
  <c r="T210" i="97"/>
  <c r="K380" i="42"/>
  <c r="G63" i="102"/>
  <c r="D75" i="102"/>
  <c r="H171" i="36"/>
  <c r="R212" i="97"/>
  <c r="R208" i="97"/>
  <c r="H167" i="36"/>
  <c r="D121" i="97"/>
  <c r="D72" i="102"/>
  <c r="Q344" i="42"/>
  <c r="J211" i="97"/>
  <c r="E30" i="46"/>
  <c r="F22" i="102"/>
  <c r="P144" i="42"/>
  <c r="P30" i="42" s="1"/>
  <c r="Q8" i="64"/>
  <c r="F82" i="97"/>
  <c r="C63" i="102"/>
  <c r="C26" i="102"/>
  <c r="F309" i="97"/>
  <c r="P345" i="42"/>
  <c r="E62" i="102"/>
  <c r="E25" i="102"/>
  <c r="E22" i="102"/>
  <c r="E212" i="97"/>
  <c r="E63" i="102"/>
  <c r="E26" i="102"/>
  <c r="P27" i="64"/>
  <c r="Z242" i="97" s="1"/>
  <c r="L242" i="97"/>
  <c r="R351" i="42"/>
  <c r="F59" i="102"/>
  <c r="I269" i="42"/>
  <c r="K58" i="42"/>
  <c r="G302" i="97"/>
  <c r="O340" i="42"/>
  <c r="L87" i="93"/>
  <c r="K210" i="97"/>
  <c r="J56" i="42"/>
  <c r="F300" i="97"/>
  <c r="L57" i="42"/>
  <c r="H301" i="97"/>
  <c r="K56" i="42"/>
  <c r="G300" i="97"/>
  <c r="M17" i="42"/>
  <c r="L17" i="42"/>
  <c r="L80" i="97"/>
  <c r="J119" i="97"/>
  <c r="L76" i="97"/>
  <c r="J82" i="97"/>
  <c r="K57" i="42"/>
  <c r="G301" i="97"/>
  <c r="L56" i="42"/>
  <c r="H300" i="97"/>
  <c r="J58" i="42"/>
  <c r="F302" i="97"/>
  <c r="L58" i="42"/>
  <c r="H302" i="97"/>
  <c r="Q346" i="42"/>
  <c r="P341" i="42"/>
  <c r="J269" i="42"/>
  <c r="J57" i="42"/>
  <c r="F301" i="97"/>
  <c r="F129" i="97" l="1"/>
  <c r="K123" i="97"/>
  <c r="H72" i="42"/>
  <c r="K147" i="42"/>
  <c r="I209" i="42"/>
  <c r="I210" i="42" s="1"/>
  <c r="I71" i="42"/>
  <c r="F308" i="97" s="1"/>
  <c r="I201" i="42"/>
  <c r="M380" i="42"/>
  <c r="L40" i="42"/>
  <c r="N386" i="42"/>
  <c r="N375" i="42"/>
  <c r="P378" i="42"/>
  <c r="E129" i="97"/>
  <c r="M84" i="63"/>
  <c r="J376" i="42"/>
  <c r="J393" i="42" s="1"/>
  <c r="J334" i="42"/>
  <c r="J72" i="42"/>
  <c r="M383" i="42"/>
  <c r="H303" i="97"/>
  <c r="K54" i="42"/>
  <c r="H139" i="42"/>
  <c r="L44" i="42"/>
  <c r="L43" i="42"/>
  <c r="L42" i="42"/>
  <c r="M294" i="97"/>
  <c r="C126" i="97"/>
  <c r="I147" i="42"/>
  <c r="I148" i="42" s="1"/>
  <c r="I70" i="42"/>
  <c r="I139" i="42"/>
  <c r="K70" i="42"/>
  <c r="E126" i="97"/>
  <c r="F130" i="97"/>
  <c r="G70" i="42"/>
  <c r="G147" i="42"/>
  <c r="G148" i="42" s="1"/>
  <c r="G139" i="42"/>
  <c r="M379" i="42"/>
  <c r="I300" i="97"/>
  <c r="P37" i="42"/>
  <c r="M146" i="42"/>
  <c r="H71" i="93"/>
  <c r="L384" i="42"/>
  <c r="N57" i="42"/>
  <c r="J301" i="97"/>
  <c r="L53" i="42"/>
  <c r="G126" i="97"/>
  <c r="M387" i="42"/>
  <c r="N388" i="42"/>
  <c r="L382" i="42"/>
  <c r="L385" i="42"/>
  <c r="M386" i="42"/>
  <c r="L84" i="63"/>
  <c r="N131" i="97"/>
  <c r="P29" i="64"/>
  <c r="N387" i="42"/>
  <c r="H168" i="36"/>
  <c r="H189" i="36" s="1"/>
  <c r="D122" i="97"/>
  <c r="R209" i="97"/>
  <c r="R217" i="97" s="1"/>
  <c r="R218" i="97" s="1"/>
  <c r="F34" i="46"/>
  <c r="Q208" i="97"/>
  <c r="G167" i="36"/>
  <c r="C121" i="97"/>
  <c r="G65" i="36"/>
  <c r="G66" i="36" s="1"/>
  <c r="F75" i="102"/>
  <c r="F50" i="102" s="1"/>
  <c r="F217" i="97"/>
  <c r="Q206" i="42"/>
  <c r="Q31" i="42" s="1"/>
  <c r="J65" i="36"/>
  <c r="J66" i="36" s="1"/>
  <c r="M293" i="97"/>
  <c r="P36" i="42"/>
  <c r="G65" i="102"/>
  <c r="G76" i="102" s="1"/>
  <c r="G26" i="102"/>
  <c r="R353" i="42"/>
  <c r="C76" i="102"/>
  <c r="C51" i="102" s="1"/>
  <c r="G172" i="36"/>
  <c r="Q345" i="42"/>
  <c r="R10" i="64"/>
  <c r="R62" i="36"/>
  <c r="R354" i="42"/>
  <c r="I90" i="97"/>
  <c r="I215" i="97"/>
  <c r="I68" i="102"/>
  <c r="V210" i="97"/>
  <c r="R19" i="64"/>
  <c r="Q25" i="64"/>
  <c r="Q12" i="64"/>
  <c r="R9" i="64"/>
  <c r="R26" i="64" s="1"/>
  <c r="D47" i="102"/>
  <c r="D78" i="102"/>
  <c r="C72" i="102"/>
  <c r="I78" i="97"/>
  <c r="I208" i="97"/>
  <c r="I58" i="102"/>
  <c r="D50" i="102"/>
  <c r="H61" i="102"/>
  <c r="H125" i="97" s="1"/>
  <c r="E83" i="97"/>
  <c r="E217" i="97"/>
  <c r="E309" i="97"/>
  <c r="D309" i="97"/>
  <c r="K381" i="42"/>
  <c r="K334" i="42"/>
  <c r="K72" i="42"/>
  <c r="U209" i="97"/>
  <c r="G122" i="97"/>
  <c r="L379" i="42"/>
  <c r="H62" i="102"/>
  <c r="R350" i="42"/>
  <c r="U211" i="97"/>
  <c r="E76" i="102"/>
  <c r="E51" i="102" s="1"/>
  <c r="R343" i="42"/>
  <c r="R8" i="64"/>
  <c r="T209" i="97"/>
  <c r="F122" i="97"/>
  <c r="F72" i="102"/>
  <c r="I65" i="36"/>
  <c r="I66" i="36" s="1"/>
  <c r="I57" i="36"/>
  <c r="I62" i="102"/>
  <c r="I212" i="97"/>
  <c r="I83" i="97" s="1"/>
  <c r="G393" i="42"/>
  <c r="R356" i="42"/>
  <c r="V208" i="97"/>
  <c r="H121" i="97"/>
  <c r="M145" i="42"/>
  <c r="J57" i="36"/>
  <c r="E28" i="102"/>
  <c r="Q186" i="36"/>
  <c r="Q124" i="36" s="1"/>
  <c r="U212" i="97"/>
  <c r="M377" i="42"/>
  <c r="I60" i="102"/>
  <c r="D29" i="102"/>
  <c r="D27" i="102"/>
  <c r="C27" i="102"/>
  <c r="C29" i="102"/>
  <c r="I69" i="102"/>
  <c r="F28" i="102"/>
  <c r="Q144" i="42"/>
  <c r="Q30" i="42" s="1"/>
  <c r="M295" i="97"/>
  <c r="L380" i="42"/>
  <c r="H63" i="102"/>
  <c r="R17" i="64"/>
  <c r="K211" i="97"/>
  <c r="C75" i="102"/>
  <c r="G171" i="36"/>
  <c r="Q212" i="97"/>
  <c r="F76" i="102"/>
  <c r="F51" i="102" s="1"/>
  <c r="G213" i="97"/>
  <c r="G86" i="97" s="1"/>
  <c r="G25" i="102"/>
  <c r="G64" i="102"/>
  <c r="P268" i="42"/>
  <c r="P33" i="42" s="1"/>
  <c r="E72" i="102"/>
  <c r="E75" i="102"/>
  <c r="S212" i="97"/>
  <c r="G22" i="102"/>
  <c r="Q27" i="64"/>
  <c r="AA242" i="97" s="1"/>
  <c r="M242" i="97"/>
  <c r="R344" i="42"/>
  <c r="T213" i="97"/>
  <c r="S213" i="97"/>
  <c r="T214" i="97"/>
  <c r="I63" i="102"/>
  <c r="Q352" i="42"/>
  <c r="C217" i="97"/>
  <c r="R352" i="42"/>
  <c r="N60" i="36"/>
  <c r="G57" i="36"/>
  <c r="Q331" i="42"/>
  <c r="Q32" i="42" s="1"/>
  <c r="K60" i="42"/>
  <c r="M76" i="97"/>
  <c r="J60" i="42"/>
  <c r="L210" i="97"/>
  <c r="J59" i="42"/>
  <c r="F303" i="97"/>
  <c r="N80" i="97"/>
  <c r="K82" i="97"/>
  <c r="K59" i="42"/>
  <c r="G303" i="97"/>
  <c r="R346" i="42"/>
  <c r="P340" i="42"/>
  <c r="Q341" i="42"/>
  <c r="M80" i="97"/>
  <c r="L123" i="97" l="1"/>
  <c r="H34" i="46"/>
  <c r="K57" i="36"/>
  <c r="H27" i="93"/>
  <c r="J245" i="97" s="1"/>
  <c r="E34" i="46"/>
  <c r="H74" i="93"/>
  <c r="H80" i="93" s="1"/>
  <c r="X245" i="97" s="1"/>
  <c r="L70" i="42"/>
  <c r="M57" i="63"/>
  <c r="M376" i="42"/>
  <c r="J201" i="42"/>
  <c r="J71" i="42"/>
  <c r="J209" i="42"/>
  <c r="J210" i="42" s="1"/>
  <c r="G30" i="46"/>
  <c r="G309" i="97"/>
  <c r="J78" i="42"/>
  <c r="K71" i="42"/>
  <c r="K201" i="42"/>
  <c r="K209" i="42"/>
  <c r="K210" i="42" s="1"/>
  <c r="N380" i="42"/>
  <c r="O388" i="42"/>
  <c r="O375" i="42"/>
  <c r="H71" i="42"/>
  <c r="H209" i="42"/>
  <c r="H210" i="42" s="1"/>
  <c r="H201" i="42"/>
  <c r="L60" i="42"/>
  <c r="J271" i="42"/>
  <c r="H73" i="42"/>
  <c r="H271" i="42"/>
  <c r="N294" i="97"/>
  <c r="J70" i="42"/>
  <c r="J76" i="42" s="1"/>
  <c r="J147" i="42"/>
  <c r="Q38" i="42"/>
  <c r="H70" i="42"/>
  <c r="H147" i="42"/>
  <c r="H148" i="42" s="1"/>
  <c r="F29" i="46" s="1"/>
  <c r="J73" i="42"/>
  <c r="G310" i="97" s="1"/>
  <c r="H23" i="93"/>
  <c r="I73" i="42"/>
  <c r="I74" i="42" s="1"/>
  <c r="I271" i="42"/>
  <c r="G73" i="42"/>
  <c r="G271" i="42"/>
  <c r="E29" i="46"/>
  <c r="H307" i="97"/>
  <c r="F307" i="97"/>
  <c r="I133" i="97"/>
  <c r="D307" i="97"/>
  <c r="G29" i="46"/>
  <c r="M50" i="42"/>
  <c r="M384" i="42"/>
  <c r="I303" i="97"/>
  <c r="L54" i="42"/>
  <c r="M59" i="42"/>
  <c r="G75" i="102"/>
  <c r="G50" i="102" s="1"/>
  <c r="G129" i="97"/>
  <c r="I126" i="97"/>
  <c r="H126" i="97"/>
  <c r="J181" i="36"/>
  <c r="G181" i="36"/>
  <c r="M382" i="42"/>
  <c r="M385" i="42"/>
  <c r="M270" i="42"/>
  <c r="N383" i="42"/>
  <c r="L57" i="63"/>
  <c r="H181" i="36"/>
  <c r="H119" i="36" s="1"/>
  <c r="Q37" i="42"/>
  <c r="K393" i="42"/>
  <c r="G51" i="102"/>
  <c r="N208" i="42"/>
  <c r="N146" i="42"/>
  <c r="G72" i="102"/>
  <c r="G47" i="102" s="1"/>
  <c r="Q268" i="42"/>
  <c r="Q33" i="42" s="1"/>
  <c r="Q34" i="42" s="1"/>
  <c r="R206" i="42"/>
  <c r="R31" i="42" s="1"/>
  <c r="H59" i="102"/>
  <c r="L376" i="42"/>
  <c r="E50" i="102"/>
  <c r="H190" i="36"/>
  <c r="H127" i="36"/>
  <c r="J67" i="102"/>
  <c r="N76" i="97"/>
  <c r="M296" i="97"/>
  <c r="R144" i="42"/>
  <c r="R30" i="42" s="1"/>
  <c r="I79" i="97"/>
  <c r="I209" i="97"/>
  <c r="I59" i="102"/>
  <c r="L381" i="42"/>
  <c r="L334" i="42"/>
  <c r="L72" i="42"/>
  <c r="F78" i="102"/>
  <c r="F47" i="102"/>
  <c r="H65" i="102"/>
  <c r="H76" i="102" s="1"/>
  <c r="H26" i="102"/>
  <c r="D77" i="102"/>
  <c r="D53" i="102"/>
  <c r="R331" i="42"/>
  <c r="R32" i="42" s="1"/>
  <c r="R12" i="64"/>
  <c r="R25" i="64"/>
  <c r="M269" i="42"/>
  <c r="L211" i="97"/>
  <c r="K65" i="36"/>
  <c r="K66" i="36" s="1"/>
  <c r="J66" i="102"/>
  <c r="O60" i="36"/>
  <c r="I61" i="102"/>
  <c r="I125" i="97" s="1"/>
  <c r="T217" i="97"/>
  <c r="T218" i="97" s="1"/>
  <c r="H309" i="97"/>
  <c r="K78" i="42"/>
  <c r="G34" i="46"/>
  <c r="N293" i="97"/>
  <c r="E78" i="102"/>
  <c r="E47" i="102"/>
  <c r="J69" i="102"/>
  <c r="J189" i="36"/>
  <c r="J85" i="97"/>
  <c r="C78" i="102"/>
  <c r="C47" i="102"/>
  <c r="R186" i="36"/>
  <c r="R124" i="36" s="1"/>
  <c r="J77" i="97"/>
  <c r="J48" i="97"/>
  <c r="N28" i="63"/>
  <c r="W215" i="97"/>
  <c r="F29" i="102"/>
  <c r="F27" i="102"/>
  <c r="V211" i="97"/>
  <c r="J71" i="102"/>
  <c r="Q29" i="64"/>
  <c r="H30" i="93"/>
  <c r="H25" i="93"/>
  <c r="N242" i="97"/>
  <c r="R27" i="64"/>
  <c r="AB242" i="97" s="1"/>
  <c r="N295" i="97"/>
  <c r="I121" i="97"/>
  <c r="W208" i="97"/>
  <c r="G189" i="36"/>
  <c r="E27" i="102"/>
  <c r="E29" i="102"/>
  <c r="I67" i="102"/>
  <c r="I66" i="102"/>
  <c r="I214" i="97"/>
  <c r="I87" i="97" s="1"/>
  <c r="Q217" i="97"/>
  <c r="Q218" i="97" s="1"/>
  <c r="J78" i="97"/>
  <c r="J208" i="97"/>
  <c r="J58" i="102"/>
  <c r="G28" i="102"/>
  <c r="J215" i="97"/>
  <c r="J68" i="102"/>
  <c r="J90" i="97"/>
  <c r="U213" i="97"/>
  <c r="U217" i="97" s="1"/>
  <c r="U218" i="97" s="1"/>
  <c r="G217" i="97"/>
  <c r="P34" i="42"/>
  <c r="J216" i="97"/>
  <c r="J70" i="102"/>
  <c r="I189" i="36"/>
  <c r="I181" i="36"/>
  <c r="J81" i="97"/>
  <c r="W210" i="97"/>
  <c r="W212" i="97"/>
  <c r="N348" i="42"/>
  <c r="Q36" i="42"/>
  <c r="N377" i="42"/>
  <c r="J60" i="102"/>
  <c r="S217" i="97"/>
  <c r="S218" i="97" s="1"/>
  <c r="C50" i="102"/>
  <c r="V212" i="97"/>
  <c r="N379" i="42"/>
  <c r="H25" i="102"/>
  <c r="H64" i="102"/>
  <c r="H213" i="97"/>
  <c r="H22" i="102"/>
  <c r="N210" i="97"/>
  <c r="M210" i="97"/>
  <c r="Q340" i="42"/>
  <c r="M119" i="97"/>
  <c r="L119" i="97"/>
  <c r="R341" i="42"/>
  <c r="L82" i="97"/>
  <c r="G78" i="102" l="1"/>
  <c r="G53" i="102" s="1"/>
  <c r="M123" i="97"/>
  <c r="H129" i="97"/>
  <c r="L147" i="42"/>
  <c r="J214" i="97"/>
  <c r="J87" i="97" s="1"/>
  <c r="J130" i="97"/>
  <c r="I71" i="93"/>
  <c r="N64" i="36"/>
  <c r="N376" i="42"/>
  <c r="L201" i="42"/>
  <c r="L209" i="42"/>
  <c r="L210" i="42" s="1"/>
  <c r="L71" i="42"/>
  <c r="L77" i="42" s="1"/>
  <c r="H30" i="46"/>
  <c r="J77" i="42"/>
  <c r="G308" i="97"/>
  <c r="K77" i="42"/>
  <c r="F30" i="46"/>
  <c r="E308" i="97"/>
  <c r="I30" i="46"/>
  <c r="P386" i="42"/>
  <c r="H308" i="97"/>
  <c r="O379" i="42"/>
  <c r="L393" i="42"/>
  <c r="Q378" i="42"/>
  <c r="O380" i="42"/>
  <c r="M70" i="42"/>
  <c r="M76" i="42" s="1"/>
  <c r="M147" i="42"/>
  <c r="L78" i="42"/>
  <c r="E307" i="97"/>
  <c r="H74" i="42"/>
  <c r="H82" i="42" s="1"/>
  <c r="E310" i="97"/>
  <c r="O294" i="97"/>
  <c r="I83" i="42"/>
  <c r="I84" i="42"/>
  <c r="J74" i="42"/>
  <c r="G307" i="97"/>
  <c r="I85" i="42"/>
  <c r="R38" i="42"/>
  <c r="Q39" i="42"/>
  <c r="Q45" i="42"/>
  <c r="K76" i="42"/>
  <c r="I307" i="97"/>
  <c r="P43" i="42"/>
  <c r="P42" i="42"/>
  <c r="P44" i="42"/>
  <c r="Q42" i="42"/>
  <c r="Q43" i="42"/>
  <c r="I82" i="42"/>
  <c r="P45" i="42"/>
  <c r="Q44" i="42"/>
  <c r="J300" i="97"/>
  <c r="J134" i="97"/>
  <c r="K73" i="42"/>
  <c r="K271" i="42"/>
  <c r="L76" i="42"/>
  <c r="D310" i="97"/>
  <c r="G74" i="42"/>
  <c r="G85" i="42" s="1"/>
  <c r="F310" i="97"/>
  <c r="J79" i="42"/>
  <c r="N51" i="42"/>
  <c r="N52" i="42"/>
  <c r="G119" i="36"/>
  <c r="M60" i="42"/>
  <c r="H28" i="93"/>
  <c r="M53" i="42"/>
  <c r="I130" i="97"/>
  <c r="O387" i="42"/>
  <c r="J133" i="97"/>
  <c r="J119" i="36"/>
  <c r="N296" i="97"/>
  <c r="O386" i="42"/>
  <c r="O383" i="42"/>
  <c r="P388" i="42"/>
  <c r="N371" i="42"/>
  <c r="N333" i="42"/>
  <c r="R268" i="42"/>
  <c r="R33" i="42" s="1"/>
  <c r="R37" i="42"/>
  <c r="K181" i="36"/>
  <c r="O208" i="42"/>
  <c r="O146" i="42"/>
  <c r="K189" i="36"/>
  <c r="K127" i="36" s="1"/>
  <c r="O293" i="97"/>
  <c r="R36" i="42"/>
  <c r="O348" i="42"/>
  <c r="K81" i="97"/>
  <c r="I64" i="102"/>
  <c r="I213" i="97"/>
  <c r="I25" i="102"/>
  <c r="H86" i="97"/>
  <c r="H217" i="97"/>
  <c r="J63" i="102"/>
  <c r="Q40" i="42"/>
  <c r="K69" i="102"/>
  <c r="C53" i="102"/>
  <c r="C77" i="102"/>
  <c r="E77" i="102"/>
  <c r="E53" i="102"/>
  <c r="O51" i="42"/>
  <c r="M211" i="97"/>
  <c r="K78" i="97"/>
  <c r="K208" i="97"/>
  <c r="K58" i="102"/>
  <c r="K90" i="97"/>
  <c r="K68" i="102"/>
  <c r="K215" i="97"/>
  <c r="I119" i="36"/>
  <c r="J121" i="97"/>
  <c r="X208" i="97"/>
  <c r="H35" i="93"/>
  <c r="J120" i="97"/>
  <c r="X48" i="97"/>
  <c r="N82" i="63"/>
  <c r="N55" i="63" s="1"/>
  <c r="M381" i="42"/>
  <c r="M334" i="42"/>
  <c r="M72" i="42"/>
  <c r="W211" i="97"/>
  <c r="R29" i="64"/>
  <c r="J61" i="102"/>
  <c r="J125" i="97" s="1"/>
  <c r="J243" i="97"/>
  <c r="J246" i="97" s="1"/>
  <c r="I127" i="36"/>
  <c r="I190" i="36"/>
  <c r="W214" i="97"/>
  <c r="G190" i="36"/>
  <c r="G127" i="36"/>
  <c r="J79" i="97"/>
  <c r="J209" i="97"/>
  <c r="J59" i="102"/>
  <c r="H51" i="102"/>
  <c r="J127" i="36"/>
  <c r="J190" i="36"/>
  <c r="I30" i="93"/>
  <c r="I25" i="93"/>
  <c r="F77" i="102"/>
  <c r="F53" i="102"/>
  <c r="J26" i="93"/>
  <c r="L244" i="97" s="1"/>
  <c r="I22" i="102"/>
  <c r="X210" i="97"/>
  <c r="X216" i="97"/>
  <c r="N63" i="36"/>
  <c r="K67" i="102"/>
  <c r="X214" i="97"/>
  <c r="N50" i="42"/>
  <c r="O295" i="97"/>
  <c r="W209" i="97"/>
  <c r="I122" i="97"/>
  <c r="F36" i="46"/>
  <c r="F35" i="46" s="1"/>
  <c r="H128" i="36"/>
  <c r="V209" i="97"/>
  <c r="H122" i="97"/>
  <c r="H72" i="102"/>
  <c r="N266" i="42"/>
  <c r="L57" i="36"/>
  <c r="L65" i="36"/>
  <c r="L66" i="36" s="1"/>
  <c r="J212" i="97"/>
  <c r="J83" i="97" s="1"/>
  <c r="J62" i="102"/>
  <c r="N119" i="97"/>
  <c r="P60" i="36"/>
  <c r="J124" i="97"/>
  <c r="N204" i="42"/>
  <c r="X215" i="97"/>
  <c r="K85" i="97"/>
  <c r="N207" i="42"/>
  <c r="V213" i="97"/>
  <c r="K70" i="102"/>
  <c r="K91" i="97"/>
  <c r="K216" i="97"/>
  <c r="G27" i="102"/>
  <c r="G29" i="102"/>
  <c r="I34" i="46"/>
  <c r="N361" i="42"/>
  <c r="N332" i="42"/>
  <c r="I309" i="97"/>
  <c r="I65" i="102"/>
  <c r="M57" i="36"/>
  <c r="I26" i="102"/>
  <c r="H28" i="102"/>
  <c r="O377" i="42"/>
  <c r="K60" i="102"/>
  <c r="P366" i="42"/>
  <c r="P383" i="42"/>
  <c r="K77" i="97"/>
  <c r="K48" i="97"/>
  <c r="O28" i="63"/>
  <c r="D52" i="102"/>
  <c r="N347" i="42"/>
  <c r="N329" i="42"/>
  <c r="H75" i="102"/>
  <c r="N142" i="42"/>
  <c r="K71" i="102"/>
  <c r="K79" i="97"/>
  <c r="K209" i="97"/>
  <c r="K66" i="102"/>
  <c r="K214" i="97"/>
  <c r="K87" i="97" s="1"/>
  <c r="N82" i="97"/>
  <c r="M82" i="97"/>
  <c r="R340" i="42"/>
  <c r="G77" i="102" l="1"/>
  <c r="G52" i="102" s="1"/>
  <c r="N188" i="36"/>
  <c r="N123" i="97"/>
  <c r="K34" i="46"/>
  <c r="J30" i="46"/>
  <c r="J71" i="93"/>
  <c r="J23" i="93"/>
  <c r="I74" i="93"/>
  <c r="I80" i="93" s="1"/>
  <c r="I23" i="93"/>
  <c r="I27" i="93"/>
  <c r="K245" i="97" s="1"/>
  <c r="P387" i="42"/>
  <c r="J307" i="97"/>
  <c r="M71" i="42"/>
  <c r="M209" i="42"/>
  <c r="M210" i="42" s="1"/>
  <c r="M201" i="42"/>
  <c r="I308" i="97"/>
  <c r="M77" i="42"/>
  <c r="P375" i="42"/>
  <c r="H85" i="42"/>
  <c r="J83" i="42"/>
  <c r="J84" i="42"/>
  <c r="R34" i="42"/>
  <c r="R45" i="42" s="1"/>
  <c r="J82" i="42"/>
  <c r="J85" i="42"/>
  <c r="H83" i="42"/>
  <c r="H84" i="42"/>
  <c r="M78" i="42"/>
  <c r="G83" i="42"/>
  <c r="G84" i="42"/>
  <c r="G82" i="42"/>
  <c r="O266" i="42"/>
  <c r="J80" i="42"/>
  <c r="M271" i="42"/>
  <c r="L271" i="42"/>
  <c r="L73" i="42"/>
  <c r="H310" i="97"/>
  <c r="K79" i="42"/>
  <c r="K74" i="42"/>
  <c r="M54" i="42"/>
  <c r="M65" i="42" s="1"/>
  <c r="J303" i="97"/>
  <c r="K130" i="97"/>
  <c r="O384" i="42"/>
  <c r="I129" i="97"/>
  <c r="O385" i="42"/>
  <c r="K134" i="97"/>
  <c r="J126" i="97"/>
  <c r="N385" i="42"/>
  <c r="N384" i="42"/>
  <c r="K133" i="97"/>
  <c r="O371" i="42"/>
  <c r="O333" i="42"/>
  <c r="Q388" i="42"/>
  <c r="N270" i="42"/>
  <c r="O296" i="97"/>
  <c r="K119" i="36"/>
  <c r="R39" i="42"/>
  <c r="P208" i="42"/>
  <c r="P146" i="42"/>
  <c r="K190" i="36"/>
  <c r="K124" i="97"/>
  <c r="O204" i="42"/>
  <c r="Q60" i="36"/>
  <c r="J30" i="93"/>
  <c r="J25" i="93"/>
  <c r="N184" i="36"/>
  <c r="G36" i="46"/>
  <c r="G35" i="46" s="1"/>
  <c r="I128" i="36"/>
  <c r="L215" i="97"/>
  <c r="L90" i="97"/>
  <c r="L68" i="102"/>
  <c r="O50" i="42"/>
  <c r="Y216" i="97"/>
  <c r="J34" i="46"/>
  <c r="E36" i="46"/>
  <c r="E35" i="46" s="1"/>
  <c r="G128" i="36"/>
  <c r="H78" i="102"/>
  <c r="H47" i="102"/>
  <c r="L85" i="97"/>
  <c r="L71" i="102"/>
  <c r="K61" i="102"/>
  <c r="K125" i="97" s="1"/>
  <c r="M393" i="42"/>
  <c r="O184" i="36"/>
  <c r="O207" i="42"/>
  <c r="Y215" i="97"/>
  <c r="L70" i="102"/>
  <c r="L216" i="97"/>
  <c r="L91" i="97"/>
  <c r="L212" i="97"/>
  <c r="L83" i="97" s="1"/>
  <c r="I86" i="97"/>
  <c r="I217" i="97"/>
  <c r="Y210" i="97"/>
  <c r="J309" i="97"/>
  <c r="Y214" i="97"/>
  <c r="H50" i="102"/>
  <c r="Y48" i="97"/>
  <c r="K120" i="97"/>
  <c r="O82" i="63"/>
  <c r="Q366" i="42"/>
  <c r="E52" i="102"/>
  <c r="M65" i="36"/>
  <c r="M66" i="36" s="1"/>
  <c r="F52" i="102"/>
  <c r="L66" i="102"/>
  <c r="L214" i="97"/>
  <c r="L87" i="97" s="1"/>
  <c r="K302" i="97"/>
  <c r="N58" i="42"/>
  <c r="L189" i="36"/>
  <c r="L181" i="36"/>
  <c r="N145" i="42"/>
  <c r="H36" i="46"/>
  <c r="H35" i="46" s="1"/>
  <c r="J128" i="36"/>
  <c r="J122" i="97"/>
  <c r="X209" i="97"/>
  <c r="O52" i="42"/>
  <c r="I75" i="102"/>
  <c r="I72" i="102"/>
  <c r="P377" i="42"/>
  <c r="L60" i="102"/>
  <c r="O142" i="42"/>
  <c r="W213" i="97"/>
  <c r="W217" i="97" s="1"/>
  <c r="W218" i="97" s="1"/>
  <c r="I76" i="102"/>
  <c r="X212" i="97"/>
  <c r="H92" i="93"/>
  <c r="H61" i="93"/>
  <c r="H76" i="93" s="1"/>
  <c r="K243" i="97"/>
  <c r="K246" i="97" s="1"/>
  <c r="K212" i="97"/>
  <c r="K83" i="97" s="1"/>
  <c r="K62" i="102"/>
  <c r="K26" i="93"/>
  <c r="M244" i="97" s="1"/>
  <c r="Y208" i="97"/>
  <c r="K121" i="97"/>
  <c r="L79" i="97"/>
  <c r="L209" i="97"/>
  <c r="I35" i="93"/>
  <c r="O347" i="42"/>
  <c r="O329" i="42"/>
  <c r="N61" i="36"/>
  <c r="K63" i="102"/>
  <c r="X211" i="97"/>
  <c r="C52" i="102"/>
  <c r="K25" i="102"/>
  <c r="L67" i="102"/>
  <c r="H29" i="102"/>
  <c r="H27" i="102"/>
  <c r="N381" i="42"/>
  <c r="L77" i="97"/>
  <c r="L48" i="97"/>
  <c r="P28" i="63"/>
  <c r="L69" i="102"/>
  <c r="J128" i="97"/>
  <c r="N269" i="42"/>
  <c r="O57" i="42"/>
  <c r="K301" i="97"/>
  <c r="V217" i="97"/>
  <c r="V218" i="97" s="1"/>
  <c r="I28" i="102"/>
  <c r="O63" i="36"/>
  <c r="N72" i="42" l="1"/>
  <c r="N78" i="42" s="1"/>
  <c r="I28" i="93"/>
  <c r="Y245" i="97"/>
  <c r="I57" i="93"/>
  <c r="O64" i="36"/>
  <c r="J74" i="93"/>
  <c r="J80" i="93" s="1"/>
  <c r="Z245" i="97" s="1"/>
  <c r="J27" i="93"/>
  <c r="L245" i="97" s="1"/>
  <c r="K30" i="46"/>
  <c r="J308" i="97"/>
  <c r="R388" i="42"/>
  <c r="N71" i="42"/>
  <c r="N209" i="42"/>
  <c r="Q375" i="42"/>
  <c r="O209" i="42"/>
  <c r="O71" i="42"/>
  <c r="L308" i="97" s="1"/>
  <c r="O334" i="42"/>
  <c r="M73" i="42"/>
  <c r="M74" i="42" s="1"/>
  <c r="M84" i="42" s="1"/>
  <c r="K83" i="42"/>
  <c r="K82" i="42"/>
  <c r="K84" i="42"/>
  <c r="R43" i="42"/>
  <c r="R42" i="42"/>
  <c r="R44" i="42"/>
  <c r="K85" i="42"/>
  <c r="N382" i="42"/>
  <c r="N393" i="42" s="1"/>
  <c r="R40" i="42"/>
  <c r="M64" i="42"/>
  <c r="M63" i="42"/>
  <c r="M62" i="42"/>
  <c r="N70" i="42"/>
  <c r="N147" i="42"/>
  <c r="N271" i="42"/>
  <c r="N73" i="42"/>
  <c r="K80" i="42"/>
  <c r="L79" i="42"/>
  <c r="I310" i="97"/>
  <c r="L74" i="42"/>
  <c r="L85" i="42" s="1"/>
  <c r="N334" i="42"/>
  <c r="P51" i="42"/>
  <c r="P57" i="42" s="1"/>
  <c r="O72" i="42"/>
  <c r="L130" i="97"/>
  <c r="P384" i="42"/>
  <c r="N53" i="42"/>
  <c r="K303" i="97" s="1"/>
  <c r="L133" i="97"/>
  <c r="K126" i="97"/>
  <c r="Q386" i="42"/>
  <c r="L134" i="97"/>
  <c r="P385" i="42"/>
  <c r="Q387" i="42"/>
  <c r="P371" i="42"/>
  <c r="P333" i="42"/>
  <c r="O270" i="42"/>
  <c r="I36" i="46"/>
  <c r="I35" i="46" s="1"/>
  <c r="Q146" i="42"/>
  <c r="Q208" i="42"/>
  <c r="K128" i="36"/>
  <c r="K22" i="102"/>
  <c r="K28" i="102" s="1"/>
  <c r="K26" i="102"/>
  <c r="M189" i="36"/>
  <c r="M127" i="36" s="1"/>
  <c r="J84" i="97"/>
  <c r="N25" i="63"/>
  <c r="I50" i="102"/>
  <c r="L127" i="36"/>
  <c r="L190" i="36"/>
  <c r="P204" i="42"/>
  <c r="L78" i="97"/>
  <c r="L208" i="97"/>
  <c r="L58" i="102"/>
  <c r="J65" i="102"/>
  <c r="J26" i="102"/>
  <c r="M77" i="97"/>
  <c r="M48" i="97"/>
  <c r="Q28" i="63"/>
  <c r="L120" i="97"/>
  <c r="P82" i="63"/>
  <c r="P55" i="63" s="1"/>
  <c r="Z48" i="97"/>
  <c r="M68" i="102"/>
  <c r="M215" i="97"/>
  <c r="M90" i="97"/>
  <c r="M85" i="97"/>
  <c r="I27" i="102"/>
  <c r="I29" i="102"/>
  <c r="R60" i="36"/>
  <c r="R366" i="42"/>
  <c r="H78" i="93"/>
  <c r="H81" i="93" s="1"/>
  <c r="H83" i="93"/>
  <c r="H53" i="102"/>
  <c r="H77" i="102"/>
  <c r="L243" i="97"/>
  <c r="L81" i="97"/>
  <c r="L61" i="102"/>
  <c r="L125" i="97" s="1"/>
  <c r="M91" i="97"/>
  <c r="M70" i="102"/>
  <c r="M216" i="97"/>
  <c r="N187" i="36"/>
  <c r="N125" i="36" s="1"/>
  <c r="Z210" i="97"/>
  <c r="O61" i="36"/>
  <c r="N56" i="42"/>
  <c r="K300" i="97"/>
  <c r="R377" i="42"/>
  <c r="N60" i="102"/>
  <c r="N125" i="97" s="1"/>
  <c r="P63" i="36"/>
  <c r="O361" i="42"/>
  <c r="O332" i="42"/>
  <c r="M71" i="102"/>
  <c r="O122" i="36"/>
  <c r="M69" i="102"/>
  <c r="L301" i="97"/>
  <c r="J64" i="102"/>
  <c r="J213" i="97"/>
  <c r="J22" i="102"/>
  <c r="J25" i="102"/>
  <c r="P347" i="42"/>
  <c r="P329" i="42"/>
  <c r="L26" i="93"/>
  <c r="N244" i="97" s="1"/>
  <c r="H112" i="93"/>
  <c r="H118" i="93"/>
  <c r="H108" i="93"/>
  <c r="M212" i="97"/>
  <c r="M83" i="97" s="1"/>
  <c r="O269" i="42"/>
  <c r="Z216" i="97"/>
  <c r="J35" i="93"/>
  <c r="Z215" i="97"/>
  <c r="K30" i="93"/>
  <c r="K25" i="93"/>
  <c r="P207" i="42"/>
  <c r="Q377" i="42"/>
  <c r="M60" i="102"/>
  <c r="Z214" i="97"/>
  <c r="I92" i="93"/>
  <c r="I61" i="93"/>
  <c r="Y211" i="97"/>
  <c r="P184" i="36"/>
  <c r="K61" i="93"/>
  <c r="O376" i="42"/>
  <c r="K59" i="102"/>
  <c r="K213" i="97"/>
  <c r="K86" i="97" s="1"/>
  <c r="M79" i="97"/>
  <c r="M209" i="97"/>
  <c r="P52" i="42"/>
  <c r="Y212" i="97"/>
  <c r="I51" i="102"/>
  <c r="P348" i="42"/>
  <c r="M181" i="36"/>
  <c r="P50" i="42"/>
  <c r="I78" i="102"/>
  <c r="I47" i="102"/>
  <c r="P142" i="42"/>
  <c r="Q383" i="42"/>
  <c r="O145" i="42"/>
  <c r="O56" i="42"/>
  <c r="L119" i="36"/>
  <c r="O55" i="63"/>
  <c r="N122" i="36"/>
  <c r="K309" i="97" l="1"/>
  <c r="O78" i="42"/>
  <c r="L246" i="97"/>
  <c r="K128" i="97"/>
  <c r="P72" i="42"/>
  <c r="P78" i="42" s="1"/>
  <c r="L71" i="93"/>
  <c r="P188" i="36"/>
  <c r="P64" i="36"/>
  <c r="K71" i="93"/>
  <c r="K27" i="93"/>
  <c r="M245" i="97" s="1"/>
  <c r="J57" i="93"/>
  <c r="K74" i="93"/>
  <c r="O188" i="36"/>
  <c r="J28" i="93"/>
  <c r="L23" i="93"/>
  <c r="K23" i="93"/>
  <c r="M82" i="42"/>
  <c r="R376" i="42"/>
  <c r="R375" i="42"/>
  <c r="K308" i="97"/>
  <c r="O77" i="42"/>
  <c r="N77" i="42"/>
  <c r="R383" i="42"/>
  <c r="P71" i="42"/>
  <c r="P209" i="42"/>
  <c r="J310" i="97"/>
  <c r="M79" i="42"/>
  <c r="M83" i="42"/>
  <c r="M85" i="42"/>
  <c r="P147" i="42"/>
  <c r="J129" i="97"/>
  <c r="Q51" i="42"/>
  <c r="Q57" i="42" s="1"/>
  <c r="P70" i="42"/>
  <c r="M307" i="97" s="1"/>
  <c r="N74" i="42"/>
  <c r="L309" i="97"/>
  <c r="L83" i="42"/>
  <c r="L82" i="42"/>
  <c r="L84" i="42"/>
  <c r="O70" i="42"/>
  <c r="O76" i="42" s="1"/>
  <c r="O147" i="42"/>
  <c r="M80" i="42"/>
  <c r="N79" i="42"/>
  <c r="N59" i="42"/>
  <c r="K307" i="97"/>
  <c r="N76" i="42"/>
  <c r="M134" i="97"/>
  <c r="M133" i="97"/>
  <c r="L80" i="42"/>
  <c r="K310" i="97"/>
  <c r="N54" i="42"/>
  <c r="N65" i="42" s="1"/>
  <c r="P334" i="42"/>
  <c r="P269" i="42"/>
  <c r="O53" i="42"/>
  <c r="R387" i="42"/>
  <c r="Q385" i="42"/>
  <c r="R386" i="42"/>
  <c r="Q384" i="42"/>
  <c r="Q333" i="42"/>
  <c r="Q371" i="42"/>
  <c r="P270" i="42"/>
  <c r="R208" i="42"/>
  <c r="R146" i="42"/>
  <c r="O57" i="36"/>
  <c r="M190" i="36"/>
  <c r="K36" i="46" s="1"/>
  <c r="K35" i="46" s="1"/>
  <c r="L22" i="102"/>
  <c r="L28" i="102" s="1"/>
  <c r="I108" i="93"/>
  <c r="P379" i="42"/>
  <c r="L62" i="102"/>
  <c r="L128" i="97"/>
  <c r="M81" i="97"/>
  <c r="K84" i="97"/>
  <c r="O25" i="63"/>
  <c r="Q52" i="42"/>
  <c r="J127" i="97"/>
  <c r="K27" i="102"/>
  <c r="K29" i="102"/>
  <c r="L26" i="102"/>
  <c r="M58" i="102"/>
  <c r="M78" i="97"/>
  <c r="M208" i="97"/>
  <c r="N77" i="97"/>
  <c r="R28" i="63"/>
  <c r="N48" i="97"/>
  <c r="X213" i="97"/>
  <c r="X217" i="97" s="1"/>
  <c r="X218" i="97" s="1"/>
  <c r="J76" i="102"/>
  <c r="N69" i="102"/>
  <c r="P266" i="42"/>
  <c r="M119" i="36"/>
  <c r="AA210" i="97"/>
  <c r="P380" i="42"/>
  <c r="L63" i="102"/>
  <c r="P61" i="36"/>
  <c r="Q184" i="36"/>
  <c r="K35" i="93"/>
  <c r="N68" i="102"/>
  <c r="N215" i="97"/>
  <c r="N90" i="97"/>
  <c r="N212" i="97"/>
  <c r="N83" i="97" s="1"/>
  <c r="H52" i="102"/>
  <c r="Q142" i="42"/>
  <c r="L121" i="97"/>
  <c r="Z208" i="97"/>
  <c r="J92" i="93"/>
  <c r="J61" i="93"/>
  <c r="N71" i="102"/>
  <c r="M66" i="102"/>
  <c r="M214" i="97"/>
  <c r="M87" i="97" s="1"/>
  <c r="M67" i="102"/>
  <c r="J28" i="102"/>
  <c r="J27" i="102" s="1"/>
  <c r="P376" i="42"/>
  <c r="L59" i="102"/>
  <c r="H53" i="93"/>
  <c r="O65" i="36"/>
  <c r="Q63" i="36"/>
  <c r="K78" i="93"/>
  <c r="L300" i="97"/>
  <c r="K217" i="97"/>
  <c r="J86" i="97"/>
  <c r="J217" i="97"/>
  <c r="AA216" i="97"/>
  <c r="H88" i="93"/>
  <c r="P361" i="42"/>
  <c r="P332" i="42"/>
  <c r="N85" i="97"/>
  <c r="K92" i="93"/>
  <c r="N65" i="36"/>
  <c r="N57" i="36"/>
  <c r="AA215" i="97"/>
  <c r="L124" i="97"/>
  <c r="L30" i="93"/>
  <c r="L25" i="93"/>
  <c r="H58" i="93"/>
  <c r="X243" i="97"/>
  <c r="X246" i="97" s="1"/>
  <c r="H55" i="93"/>
  <c r="N29" i="63"/>
  <c r="N30" i="63" s="1"/>
  <c r="J49" i="97"/>
  <c r="P145" i="42"/>
  <c r="P56" i="42"/>
  <c r="N70" i="102"/>
  <c r="N216" i="97"/>
  <c r="N91" i="97"/>
  <c r="M301" i="97"/>
  <c r="N79" i="97"/>
  <c r="N209" i="97"/>
  <c r="N59" i="102"/>
  <c r="J75" i="102"/>
  <c r="J72" i="102"/>
  <c r="L302" i="97"/>
  <c r="O58" i="42"/>
  <c r="AB210" i="97"/>
  <c r="M120" i="97"/>
  <c r="AA48" i="97"/>
  <c r="Q82" i="63"/>
  <c r="P122" i="36"/>
  <c r="M61" i="102"/>
  <c r="M125" i="97" s="1"/>
  <c r="I97" i="93"/>
  <c r="I118" i="93" s="1"/>
  <c r="I66" i="93"/>
  <c r="I76" i="93" s="1"/>
  <c r="Q347" i="42"/>
  <c r="Q329" i="42"/>
  <c r="N205" i="42"/>
  <c r="N201" i="42"/>
  <c r="Q204" i="42"/>
  <c r="Q50" i="42"/>
  <c r="L213" i="97"/>
  <c r="L86" i="97" s="1"/>
  <c r="L25" i="102"/>
  <c r="N185" i="36"/>
  <c r="K122" i="97"/>
  <c r="Y209" i="97"/>
  <c r="I77" i="102"/>
  <c r="I53" i="102"/>
  <c r="I78" i="93"/>
  <c r="M243" i="97"/>
  <c r="L303" i="97"/>
  <c r="Q207" i="42"/>
  <c r="Z211" i="97"/>
  <c r="J36" i="46"/>
  <c r="J35" i="46" s="1"/>
  <c r="L128" i="36"/>
  <c r="Q348" i="42"/>
  <c r="M309" i="97" l="1"/>
  <c r="K80" i="93"/>
  <c r="AA245" i="97" s="1"/>
  <c r="Q70" i="42"/>
  <c r="Q76" i="42" s="1"/>
  <c r="N133" i="97"/>
  <c r="N134" i="97"/>
  <c r="M246" i="97"/>
  <c r="K28" i="93"/>
  <c r="L74" i="93"/>
  <c r="L80" i="93" s="1"/>
  <c r="AB245" i="97" s="1"/>
  <c r="L27" i="93"/>
  <c r="N245" i="97" s="1"/>
  <c r="K57" i="93"/>
  <c r="Q188" i="36"/>
  <c r="Q64" i="36"/>
  <c r="P77" i="42"/>
  <c r="M308" i="97"/>
  <c r="Q209" i="42"/>
  <c r="Q71" i="42"/>
  <c r="N308" i="97" s="1"/>
  <c r="Q72" i="42"/>
  <c r="N309" i="97" s="1"/>
  <c r="N85" i="42"/>
  <c r="L307" i="97"/>
  <c r="N80" i="42"/>
  <c r="N83" i="42"/>
  <c r="N84" i="42"/>
  <c r="P76" i="42"/>
  <c r="Q334" i="42"/>
  <c r="N82" i="42"/>
  <c r="O59" i="42"/>
  <c r="N62" i="42"/>
  <c r="N63" i="42"/>
  <c r="N64" i="42"/>
  <c r="O73" i="42"/>
  <c r="O271" i="42"/>
  <c r="O54" i="42"/>
  <c r="O60" i="42" s="1"/>
  <c r="N60" i="42"/>
  <c r="R51" i="42"/>
  <c r="R57" i="42" s="1"/>
  <c r="P53" i="42"/>
  <c r="M130" i="97"/>
  <c r="L126" i="97"/>
  <c r="Q270" i="42"/>
  <c r="R371" i="42"/>
  <c r="R333" i="42"/>
  <c r="I83" i="93"/>
  <c r="M22" i="102"/>
  <c r="M28" i="102" s="1"/>
  <c r="M128" i="36"/>
  <c r="N189" i="36"/>
  <c r="N127" i="36" s="1"/>
  <c r="I55" i="93"/>
  <c r="Y243" i="97"/>
  <c r="Q145" i="42"/>
  <c r="Q56" i="42"/>
  <c r="Q266" i="42"/>
  <c r="J29" i="102"/>
  <c r="R50" i="42"/>
  <c r="N81" i="97"/>
  <c r="P57" i="36"/>
  <c r="R266" i="42"/>
  <c r="N79" i="63"/>
  <c r="Q361" i="42"/>
  <c r="Q332" i="42"/>
  <c r="Q58" i="42"/>
  <c r="J97" i="93"/>
  <c r="P187" i="36"/>
  <c r="P125" i="36" s="1"/>
  <c r="J66" i="93"/>
  <c r="J79" i="93" s="1"/>
  <c r="Z212" i="97"/>
  <c r="P185" i="36"/>
  <c r="N78" i="97"/>
  <c r="N208" i="97"/>
  <c r="N58" i="102"/>
  <c r="N67" i="102"/>
  <c r="N120" i="97"/>
  <c r="AB48" i="97"/>
  <c r="R82" i="63"/>
  <c r="O205" i="42"/>
  <c r="O201" i="42"/>
  <c r="K49" i="97"/>
  <c r="O29" i="63"/>
  <c r="O30" i="63" s="1"/>
  <c r="Q61" i="36"/>
  <c r="K55" i="93"/>
  <c r="AA243" i="97"/>
  <c r="R52" i="42"/>
  <c r="J78" i="102"/>
  <c r="J47" i="102"/>
  <c r="J50" i="102"/>
  <c r="M302" i="97"/>
  <c r="Q376" i="42"/>
  <c r="M59" i="102"/>
  <c r="AB215" i="97"/>
  <c r="M124" i="97"/>
  <c r="I112" i="93"/>
  <c r="I109" i="93"/>
  <c r="O381" i="42"/>
  <c r="K64" i="102"/>
  <c r="M213" i="97"/>
  <c r="M86" i="97" s="1"/>
  <c r="M25" i="102"/>
  <c r="R142" i="42"/>
  <c r="N243" i="97"/>
  <c r="P65" i="36"/>
  <c r="P66" i="36" s="1"/>
  <c r="O382" i="42"/>
  <c r="K65" i="102"/>
  <c r="J51" i="102"/>
  <c r="O185" i="36"/>
  <c r="N11" i="42"/>
  <c r="J180" i="97" s="1"/>
  <c r="N210" i="42"/>
  <c r="AA211" i="97"/>
  <c r="P58" i="42"/>
  <c r="L217" i="97"/>
  <c r="K108" i="93"/>
  <c r="AA214" i="97"/>
  <c r="J78" i="93"/>
  <c r="M121" i="97"/>
  <c r="AA208" i="97"/>
  <c r="O187" i="36"/>
  <c r="O125" i="36" s="1"/>
  <c r="R207" i="42"/>
  <c r="Q380" i="42"/>
  <c r="M63" i="102"/>
  <c r="R63" i="36"/>
  <c r="N66" i="36"/>
  <c r="Z209" i="97"/>
  <c r="L122" i="97"/>
  <c r="Q122" i="36"/>
  <c r="R184" i="36"/>
  <c r="L84" i="97"/>
  <c r="P25" i="63"/>
  <c r="Q55" i="63"/>
  <c r="N52" i="63"/>
  <c r="K97" i="93"/>
  <c r="K118" i="93" s="1"/>
  <c r="Q187" i="36"/>
  <c r="Q125" i="36" s="1"/>
  <c r="K66" i="93"/>
  <c r="K76" i="93" s="1"/>
  <c r="J108" i="93"/>
  <c r="I52" i="102"/>
  <c r="Q379" i="42"/>
  <c r="M62" i="102"/>
  <c r="O66" i="36"/>
  <c r="N123" i="36"/>
  <c r="M26" i="102"/>
  <c r="M300" i="97"/>
  <c r="L35" i="93"/>
  <c r="M128" i="97"/>
  <c r="N214" i="97"/>
  <c r="N87" i="97" s="1"/>
  <c r="N66" i="102"/>
  <c r="L29" i="102"/>
  <c r="L27" i="102"/>
  <c r="R347" i="42"/>
  <c r="R329" i="42"/>
  <c r="N301" i="97"/>
  <c r="I53" i="93"/>
  <c r="R204" i="42"/>
  <c r="N181" i="36"/>
  <c r="I79" i="93"/>
  <c r="I81" i="93" s="1"/>
  <c r="N122" i="97"/>
  <c r="AB209" i="97"/>
  <c r="AB216" i="97"/>
  <c r="R348" i="42"/>
  <c r="N130" i="97" l="1"/>
  <c r="Q147" i="42"/>
  <c r="K127" i="97"/>
  <c r="N307" i="97"/>
  <c r="Q78" i="42"/>
  <c r="N246" i="97"/>
  <c r="I88" i="93"/>
  <c r="R64" i="36"/>
  <c r="L57" i="93"/>
  <c r="L28" i="93"/>
  <c r="Q77" i="42"/>
  <c r="J81" i="93"/>
  <c r="J58" i="93" s="1"/>
  <c r="J76" i="93"/>
  <c r="J53" i="93" s="1"/>
  <c r="O74" i="42"/>
  <c r="O65" i="42"/>
  <c r="O63" i="42"/>
  <c r="O62" i="42"/>
  <c r="O64" i="42"/>
  <c r="L310" i="97"/>
  <c r="O79" i="42"/>
  <c r="P73" i="42"/>
  <c r="P79" i="42" s="1"/>
  <c r="P271" i="42"/>
  <c r="M303" i="97"/>
  <c r="P59" i="42"/>
  <c r="Q53" i="42"/>
  <c r="I58" i="93"/>
  <c r="M126" i="97"/>
  <c r="K129" i="97"/>
  <c r="R384" i="42"/>
  <c r="Q269" i="42"/>
  <c r="P54" i="42"/>
  <c r="R385" i="42"/>
  <c r="N119" i="36"/>
  <c r="R270" i="42"/>
  <c r="L127" i="97"/>
  <c r="Q65" i="36"/>
  <c r="Q66" i="36" s="1"/>
  <c r="N190" i="36"/>
  <c r="L36" i="46" s="1"/>
  <c r="J83" i="93"/>
  <c r="P123" i="36"/>
  <c r="Q185" i="36"/>
  <c r="L92" i="93"/>
  <c r="L61" i="93"/>
  <c r="N128" i="97"/>
  <c r="R380" i="42"/>
  <c r="N63" i="102"/>
  <c r="AA209" i="97"/>
  <c r="M122" i="97"/>
  <c r="R361" i="42"/>
  <c r="R332" i="42"/>
  <c r="R58" i="42"/>
  <c r="J112" i="93"/>
  <c r="J109" i="93"/>
  <c r="R145" i="42"/>
  <c r="O11" i="42"/>
  <c r="K180" i="97" s="1"/>
  <c r="O210" i="42"/>
  <c r="N34" i="46"/>
  <c r="Y213" i="97"/>
  <c r="Y217" i="97" s="1"/>
  <c r="Y218" i="97" s="1"/>
  <c r="K76" i="102"/>
  <c r="L34" i="46"/>
  <c r="O393" i="42"/>
  <c r="Q57" i="36"/>
  <c r="P381" i="42"/>
  <c r="L64" i="102"/>
  <c r="L30" i="46"/>
  <c r="AB214" i="97"/>
  <c r="AA212" i="97"/>
  <c r="N17" i="42"/>
  <c r="R61" i="36"/>
  <c r="N121" i="97"/>
  <c r="AB208" i="97"/>
  <c r="N302" i="97"/>
  <c r="M29" i="102"/>
  <c r="M27" i="102"/>
  <c r="K75" i="102"/>
  <c r="K72" i="102"/>
  <c r="K79" i="93"/>
  <c r="K81" i="93" s="1"/>
  <c r="K83" i="93"/>
  <c r="J53" i="102"/>
  <c r="J77" i="102"/>
  <c r="M84" i="97"/>
  <c r="Q25" i="63"/>
  <c r="R379" i="42"/>
  <c r="N62" i="102"/>
  <c r="M34" i="46"/>
  <c r="N124" i="97"/>
  <c r="P201" i="42"/>
  <c r="P205" i="42"/>
  <c r="K112" i="93"/>
  <c r="K109" i="93"/>
  <c r="R269" i="42"/>
  <c r="X219" i="97"/>
  <c r="X49" i="97"/>
  <c r="N83" i="63"/>
  <c r="N300" i="97"/>
  <c r="R56" i="42"/>
  <c r="P382" i="42"/>
  <c r="L65" i="102"/>
  <c r="R122" i="36"/>
  <c r="M217" i="97"/>
  <c r="R55" i="63"/>
  <c r="Z243" i="97"/>
  <c r="J55" i="93"/>
  <c r="Y244" i="97"/>
  <c r="Y246" i="97" s="1"/>
  <c r="I56" i="93"/>
  <c r="J118" i="93"/>
  <c r="P29" i="63"/>
  <c r="P30" i="63" s="1"/>
  <c r="L49" i="97"/>
  <c r="O301" i="97"/>
  <c r="O79" i="63"/>
  <c r="O123" i="36"/>
  <c r="O52" i="63"/>
  <c r="J56" i="93"/>
  <c r="Z244" i="97"/>
  <c r="R188" i="36" l="1"/>
  <c r="P52" i="63"/>
  <c r="R382" i="42"/>
  <c r="R209" i="42"/>
  <c r="R71" i="42"/>
  <c r="O83" i="42"/>
  <c r="O84" i="42"/>
  <c r="O82" i="42"/>
  <c r="O85" i="42"/>
  <c r="N303" i="97"/>
  <c r="P62" i="42"/>
  <c r="P64" i="42"/>
  <c r="P63" i="42"/>
  <c r="P65" i="42"/>
  <c r="O80" i="42"/>
  <c r="M310" i="97"/>
  <c r="P74" i="42"/>
  <c r="R147" i="42"/>
  <c r="R70" i="42"/>
  <c r="Q271" i="42"/>
  <c r="Q73" i="42"/>
  <c r="Z246" i="97"/>
  <c r="R381" i="42"/>
  <c r="R334" i="42"/>
  <c r="P60" i="42"/>
  <c r="R72" i="42"/>
  <c r="R53" i="42"/>
  <c r="Q54" i="42"/>
  <c r="Q65" i="42" s="1"/>
  <c r="L129" i="97"/>
  <c r="Q59" i="42"/>
  <c r="N126" i="97"/>
  <c r="J88" i="93"/>
  <c r="P79" i="63"/>
  <c r="Z219" i="97" s="1"/>
  <c r="N128" i="36"/>
  <c r="K78" i="102"/>
  <c r="K47" i="102"/>
  <c r="Q29" i="63"/>
  <c r="M49" i="97"/>
  <c r="M30" i="46"/>
  <c r="N213" i="97"/>
  <c r="N64" i="102"/>
  <c r="N25" i="102"/>
  <c r="N22" i="102"/>
  <c r="L35" i="46"/>
  <c r="O17" i="42"/>
  <c r="O300" i="97"/>
  <c r="L108" i="93"/>
  <c r="K51" i="102"/>
  <c r="N65" i="102"/>
  <c r="N76" i="102" s="1"/>
  <c r="N26" i="102"/>
  <c r="M127" i="97"/>
  <c r="O34" i="46"/>
  <c r="Q123" i="36"/>
  <c r="Y49" i="97"/>
  <c r="Y219" i="97"/>
  <c r="O83" i="63"/>
  <c r="N84" i="97"/>
  <c r="R25" i="63"/>
  <c r="L75" i="102"/>
  <c r="L72" i="102"/>
  <c r="Q381" i="42"/>
  <c r="M64" i="102"/>
  <c r="K50" i="102"/>
  <c r="Z213" i="97"/>
  <c r="Z217" i="97" s="1"/>
  <c r="Z218" i="97" s="1"/>
  <c r="L76" i="102"/>
  <c r="AB212" i="97"/>
  <c r="O181" i="36"/>
  <c r="O189" i="36"/>
  <c r="P393" i="42"/>
  <c r="J52" i="102"/>
  <c r="K53" i="93"/>
  <c r="Q205" i="42"/>
  <c r="Q201" i="42"/>
  <c r="O302" i="97"/>
  <c r="Q382" i="42"/>
  <c r="M65" i="102"/>
  <c r="N56" i="63"/>
  <c r="N84" i="63"/>
  <c r="K88" i="93"/>
  <c r="P210" i="42"/>
  <c r="P11" i="42"/>
  <c r="L180" i="97" s="1"/>
  <c r="K56" i="93"/>
  <c r="AA244" i="97"/>
  <c r="AA246" i="97" s="1"/>
  <c r="K58" i="93"/>
  <c r="L97" i="93"/>
  <c r="L118" i="93" s="1"/>
  <c r="R187" i="36"/>
  <c r="R125" i="36" s="1"/>
  <c r="L66" i="93"/>
  <c r="L76" i="93" s="1"/>
  <c r="L78" i="93"/>
  <c r="R393" i="42" l="1"/>
  <c r="R77" i="42"/>
  <c r="O308" i="97"/>
  <c r="R78" i="42"/>
  <c r="P83" i="42"/>
  <c r="P84" i="42"/>
  <c r="P82" i="42"/>
  <c r="O309" i="97"/>
  <c r="P85" i="42"/>
  <c r="O303" i="97"/>
  <c r="R54" i="42"/>
  <c r="R60" i="42" s="1"/>
  <c r="R59" i="42"/>
  <c r="Q63" i="42"/>
  <c r="Q62" i="42"/>
  <c r="Q64" i="42"/>
  <c r="N310" i="97"/>
  <c r="Q74" i="42"/>
  <c r="M129" i="97"/>
  <c r="O307" i="97"/>
  <c r="R76" i="42"/>
  <c r="P80" i="42"/>
  <c r="Q79" i="42"/>
  <c r="Q60" i="42"/>
  <c r="N75" i="102"/>
  <c r="N129" i="97"/>
  <c r="P83" i="63"/>
  <c r="Z49" i="97"/>
  <c r="L83" i="93"/>
  <c r="L88" i="93" s="1"/>
  <c r="P181" i="36"/>
  <c r="N30" i="46"/>
  <c r="P17" i="42"/>
  <c r="AA213" i="97"/>
  <c r="AA217" i="97" s="1"/>
  <c r="AA218" i="97" s="1"/>
  <c r="M76" i="102"/>
  <c r="M51" i="102" s="1"/>
  <c r="Q79" i="63"/>
  <c r="N72" i="102"/>
  <c r="N86" i="97"/>
  <c r="N217" i="97"/>
  <c r="M75" i="102"/>
  <c r="M72" i="102"/>
  <c r="R57" i="36"/>
  <c r="R65" i="36"/>
  <c r="R205" i="42"/>
  <c r="R201" i="42"/>
  <c r="Q393" i="42"/>
  <c r="K53" i="102"/>
  <c r="K77" i="102"/>
  <c r="AB243" i="97"/>
  <c r="L55" i="93"/>
  <c r="Q11" i="42"/>
  <c r="M180" i="97" s="1"/>
  <c r="Q210" i="42"/>
  <c r="O190" i="36"/>
  <c r="O127" i="36"/>
  <c r="L78" i="102"/>
  <c r="L47" i="102"/>
  <c r="R29" i="63"/>
  <c r="N49" i="97"/>
  <c r="R185" i="36"/>
  <c r="Q30" i="63"/>
  <c r="L50" i="102"/>
  <c r="N51" i="102"/>
  <c r="Q52" i="63"/>
  <c r="L112" i="93"/>
  <c r="L109" i="93"/>
  <c r="L53" i="93"/>
  <c r="O119" i="36"/>
  <c r="N127" i="97"/>
  <c r="L51" i="102"/>
  <c r="N57" i="63"/>
  <c r="L79" i="93"/>
  <c r="P189" i="36"/>
  <c r="O56" i="63"/>
  <c r="O84" i="63"/>
  <c r="AB213" i="97"/>
  <c r="AB217" i="97" s="1"/>
  <c r="AB218" i="97" s="1"/>
  <c r="N28" i="102"/>
  <c r="R271" i="42" l="1"/>
  <c r="R73" i="42"/>
  <c r="Q83" i="42"/>
  <c r="Q82" i="42"/>
  <c r="Q84" i="42"/>
  <c r="Q85" i="42"/>
  <c r="R62" i="42"/>
  <c r="R63" i="42"/>
  <c r="R64" i="42"/>
  <c r="R65" i="42"/>
  <c r="Q80" i="42"/>
  <c r="N50" i="102"/>
  <c r="L81" i="93"/>
  <c r="L58" i="93" s="1"/>
  <c r="R52" i="63"/>
  <c r="P119" i="36"/>
  <c r="P56" i="63"/>
  <c r="P84" i="63"/>
  <c r="R181" i="36"/>
  <c r="R119" i="36" s="1"/>
  <c r="R189" i="36"/>
  <c r="R190" i="36" s="1"/>
  <c r="O57" i="63"/>
  <c r="K52" i="102"/>
  <c r="N78" i="102"/>
  <c r="N47" i="102"/>
  <c r="O30" i="46"/>
  <c r="Q17" i="42"/>
  <c r="M36" i="46"/>
  <c r="M35" i="46" s="1"/>
  <c r="O128" i="36"/>
  <c r="R210" i="42"/>
  <c r="R11" i="42"/>
  <c r="N180" i="97" s="1"/>
  <c r="M78" i="102"/>
  <c r="M47" i="102"/>
  <c r="AA49" i="97"/>
  <c r="Q83" i="63"/>
  <c r="AA219" i="97"/>
  <c r="N27" i="102"/>
  <c r="N29" i="102"/>
  <c r="M50" i="102"/>
  <c r="R123" i="36"/>
  <c r="R79" i="63"/>
  <c r="L77" i="102"/>
  <c r="L53" i="102"/>
  <c r="R30" i="63"/>
  <c r="P190" i="36"/>
  <c r="P127" i="36"/>
  <c r="AB244" i="97"/>
  <c r="L56" i="93"/>
  <c r="R66" i="36"/>
  <c r="Q189" i="36"/>
  <c r="Q181" i="36"/>
  <c r="P36" i="46" l="1"/>
  <c r="O310" i="97"/>
  <c r="R79" i="42"/>
  <c r="R74" i="42"/>
  <c r="AB246" i="97"/>
  <c r="P57" i="63"/>
  <c r="R127" i="36"/>
  <c r="Q84" i="63"/>
  <c r="Q56" i="63"/>
  <c r="N53" i="102"/>
  <c r="N77" i="102"/>
  <c r="AB49" i="97"/>
  <c r="AB219" i="97"/>
  <c r="R83" i="63"/>
  <c r="P30" i="46"/>
  <c r="Q119" i="36"/>
  <c r="N36" i="46"/>
  <c r="N35" i="46" s="1"/>
  <c r="P128" i="36"/>
  <c r="L52" i="102"/>
  <c r="Q190" i="36"/>
  <c r="Q127" i="36"/>
  <c r="R17" i="42"/>
  <c r="P34" i="46"/>
  <c r="R128" i="36"/>
  <c r="M77" i="102"/>
  <c r="M53" i="102"/>
  <c r="R84" i="42" l="1"/>
  <c r="R83" i="42"/>
  <c r="R80" i="42"/>
  <c r="R85" i="42"/>
  <c r="R82" i="42"/>
  <c r="N52" i="102"/>
  <c r="P35" i="46"/>
  <c r="R56" i="63"/>
  <c r="R84" i="63"/>
  <c r="Q57" i="63"/>
  <c r="O36" i="46"/>
  <c r="O35" i="46" s="1"/>
  <c r="Q128" i="36"/>
  <c r="M52" i="102"/>
  <c r="R57" i="63" l="1"/>
  <c r="P360" i="42" l="1"/>
  <c r="R358" i="42"/>
  <c r="R357" i="42" l="1"/>
  <c r="O357" i="42"/>
  <c r="N357" i="42"/>
  <c r="P359" i="42"/>
  <c r="Q358" i="42"/>
  <c r="L357" i="42"/>
  <c r="P358" i="42"/>
  <c r="M358" i="42"/>
  <c r="N360" i="42"/>
  <c r="N358" i="42"/>
  <c r="O359" i="42"/>
  <c r="M359" i="42"/>
  <c r="O358" i="42"/>
  <c r="O360" i="42"/>
  <c r="O356" i="42" l="1"/>
  <c r="O331" i="42"/>
  <c r="O32" i="42" s="1"/>
  <c r="N331" i="42"/>
  <c r="N32" i="42" s="1"/>
  <c r="N356" i="42"/>
  <c r="M356" i="42"/>
  <c r="M331" i="42"/>
  <c r="M32" i="42" s="1"/>
  <c r="Q357" i="42"/>
  <c r="L358" i="42"/>
  <c r="M357" i="42"/>
  <c r="N359" i="42"/>
  <c r="K357" i="42"/>
  <c r="N268" i="42"/>
  <c r="N33" i="42" s="1"/>
  <c r="P357" i="42"/>
  <c r="J357" i="42"/>
  <c r="N38" i="42" l="1"/>
  <c r="M38" i="42"/>
  <c r="J295" i="97"/>
  <c r="O268" i="42"/>
  <c r="O33" i="42" s="1"/>
  <c r="K296" i="97"/>
  <c r="M268" i="42"/>
  <c r="M33" i="42" s="1"/>
  <c r="O38" i="42"/>
  <c r="K295" i="97"/>
  <c r="N34" i="42"/>
  <c r="N44" i="42" s="1"/>
  <c r="P38" i="42"/>
  <c r="L295" i="97"/>
  <c r="N43" i="42" l="1"/>
  <c r="N42" i="42"/>
  <c r="N45" i="42"/>
  <c r="N39" i="42"/>
  <c r="M39" i="42"/>
  <c r="J296" i="97"/>
  <c r="L296" i="97"/>
  <c r="P39" i="42"/>
  <c r="M34" i="42"/>
  <c r="O39" i="42"/>
  <c r="O34" i="42"/>
  <c r="O40" i="42" s="1"/>
  <c r="O45" i="42" l="1"/>
  <c r="M42" i="42"/>
  <c r="M43" i="42"/>
  <c r="M44" i="42"/>
  <c r="O42" i="42"/>
  <c r="O43" i="42"/>
  <c r="O44" i="42"/>
  <c r="M45" i="42"/>
  <c r="P40" i="42"/>
  <c r="N40" i="42"/>
  <c r="M40" i="42"/>
  <c r="L342" i="42"/>
  <c r="M342" i="42" l="1"/>
  <c r="J342" i="42"/>
  <c r="Q342" i="42"/>
  <c r="K342" i="42"/>
  <c r="H342" i="42"/>
  <c r="O342" i="42" l="1"/>
  <c r="R342" i="42"/>
  <c r="P342" i="42"/>
  <c r="G342" i="42"/>
  <c r="G326" i="42"/>
  <c r="G330" i="42"/>
  <c r="N342" i="42"/>
  <c r="I342" i="42"/>
  <c r="G335" i="42" l="1"/>
  <c r="G12" i="42"/>
  <c r="G389" i="42"/>
  <c r="G392" i="42"/>
  <c r="G267" i="42"/>
  <c r="G263" i="42"/>
  <c r="C181" i="97" l="1"/>
  <c r="G272" i="42"/>
  <c r="G13" i="42"/>
  <c r="C183" i="97" s="1"/>
  <c r="E31" i="46"/>
  <c r="E32" i="46" l="1"/>
  <c r="G14" i="42"/>
  <c r="G23" i="42" l="1"/>
  <c r="G22" i="42"/>
  <c r="G24" i="42"/>
  <c r="G25" i="42"/>
  <c r="G86" i="42" l="1"/>
  <c r="G26" i="42"/>
  <c r="G46" i="42"/>
  <c r="H349" i="42"/>
  <c r="P349" i="42" l="1"/>
  <c r="H389" i="42"/>
  <c r="H392" i="42"/>
  <c r="O349" i="42"/>
  <c r="Q349" i="42"/>
  <c r="H330" i="42"/>
  <c r="J349" i="42"/>
  <c r="H326" i="42"/>
  <c r="N349" i="42"/>
  <c r="R349" i="42"/>
  <c r="H335" i="42" l="1"/>
  <c r="H12" i="42"/>
  <c r="D181" i="97" s="1"/>
  <c r="L349" i="42"/>
  <c r="M349" i="42"/>
  <c r="I349" i="42"/>
  <c r="I330" i="42"/>
  <c r="K349" i="42"/>
  <c r="H267" i="42" l="1"/>
  <c r="H263" i="42"/>
  <c r="I392" i="42"/>
  <c r="I389" i="42"/>
  <c r="I267" i="42"/>
  <c r="I12" i="42"/>
  <c r="I335" i="42"/>
  <c r="F31" i="46"/>
  <c r="E181" i="97" l="1"/>
  <c r="H272" i="42"/>
  <c r="H13" i="42"/>
  <c r="D183" i="97" s="1"/>
  <c r="I272" i="42"/>
  <c r="I13" i="42"/>
  <c r="E183" i="97" s="1"/>
  <c r="G31" i="46"/>
  <c r="I14" i="42" l="1"/>
  <c r="I24" i="42" s="1"/>
  <c r="H14" i="42"/>
  <c r="F32" i="46"/>
  <c r="G32" i="46"/>
  <c r="I25" i="42" l="1"/>
  <c r="I22" i="42"/>
  <c r="I23" i="42"/>
  <c r="I46" i="42"/>
  <c r="H23" i="42"/>
  <c r="H22" i="42"/>
  <c r="H24" i="42"/>
  <c r="H25" i="42"/>
  <c r="I86" i="42"/>
  <c r="I26" i="42" l="1"/>
  <c r="H26" i="42"/>
  <c r="H86" i="42"/>
  <c r="H46" i="42"/>
  <c r="J139" i="42" l="1"/>
  <c r="J143" i="42"/>
  <c r="J330" i="42" l="1"/>
  <c r="J355" i="42"/>
  <c r="J10" i="42"/>
  <c r="F179" i="97" s="1"/>
  <c r="J148" i="42"/>
  <c r="J267" i="42" l="1"/>
  <c r="H29" i="46"/>
  <c r="J12" i="42"/>
  <c r="F181" i="97" s="1"/>
  <c r="J335" i="42"/>
  <c r="J16" i="42"/>
  <c r="J389" i="42"/>
  <c r="J392" i="42"/>
  <c r="J18" i="42" l="1"/>
  <c r="H31" i="46"/>
  <c r="J13" i="42"/>
  <c r="F183" i="97" s="1"/>
  <c r="J272" i="42"/>
  <c r="H32" i="46" l="1"/>
  <c r="J19" i="42"/>
  <c r="J14" i="42"/>
  <c r="J23" i="42" l="1"/>
  <c r="J20" i="42"/>
  <c r="J46" i="42"/>
  <c r="J22" i="42"/>
  <c r="J24" i="42"/>
  <c r="J25" i="42"/>
  <c r="J86" i="42" l="1"/>
  <c r="J26" i="42"/>
  <c r="L330" i="42" l="1"/>
  <c r="K330" i="42"/>
  <c r="K355" i="42"/>
  <c r="L355" i="42" l="1"/>
  <c r="L389" i="42" s="1"/>
  <c r="L335" i="42"/>
  <c r="L12" i="42"/>
  <c r="H181" i="97" s="1"/>
  <c r="K139" i="42"/>
  <c r="K143" i="42"/>
  <c r="K392" i="42"/>
  <c r="K389" i="42"/>
  <c r="K335" i="42"/>
  <c r="K12" i="42"/>
  <c r="G181" i="97" s="1"/>
  <c r="L392" i="42" l="1"/>
  <c r="L139" i="42"/>
  <c r="L143" i="42"/>
  <c r="K267" i="42"/>
  <c r="L18" i="42"/>
  <c r="K18" i="42"/>
  <c r="J31" i="46"/>
  <c r="I31" i="46"/>
  <c r="K148" i="42"/>
  <c r="K10" i="42"/>
  <c r="G179" i="97" s="1"/>
  <c r="I29" i="46" l="1"/>
  <c r="M139" i="42"/>
  <c r="K29" i="46" s="1"/>
  <c r="M143" i="42"/>
  <c r="K16" i="42"/>
  <c r="K272" i="42"/>
  <c r="K13" i="42"/>
  <c r="G183" i="97" s="1"/>
  <c r="L267" i="42"/>
  <c r="L148" i="42"/>
  <c r="L10" i="42"/>
  <c r="L16" i="42" l="1"/>
  <c r="H179" i="97"/>
  <c r="K19" i="42"/>
  <c r="I32" i="46"/>
  <c r="M148" i="42"/>
  <c r="M10" i="42"/>
  <c r="L13" i="42"/>
  <c r="H183" i="97" s="1"/>
  <c r="L272" i="42"/>
  <c r="K14" i="42"/>
  <c r="N139" i="42"/>
  <c r="N143" i="42"/>
  <c r="M355" i="42"/>
  <c r="M330" i="42"/>
  <c r="J29" i="46"/>
  <c r="M16" i="42" l="1"/>
  <c r="I179" i="97"/>
  <c r="L14" i="42"/>
  <c r="L22" i="42" s="1"/>
  <c r="N355" i="42"/>
  <c r="N330" i="42"/>
  <c r="M389" i="42"/>
  <c r="M392" i="42"/>
  <c r="K20" i="42"/>
  <c r="K23" i="42"/>
  <c r="K24" i="42"/>
  <c r="K22" i="42"/>
  <c r="N10" i="42"/>
  <c r="N148" i="42"/>
  <c r="M267" i="42"/>
  <c r="O139" i="42"/>
  <c r="O143" i="42"/>
  <c r="M335" i="42"/>
  <c r="M12" i="42"/>
  <c r="I181" i="97" s="1"/>
  <c r="J32" i="46"/>
  <c r="K25" i="42"/>
  <c r="L19" i="42"/>
  <c r="L24" i="42"/>
  <c r="L25" i="42" l="1"/>
  <c r="N16" i="42"/>
  <c r="J179" i="97"/>
  <c r="L23" i="42"/>
  <c r="L20" i="42"/>
  <c r="P139" i="42"/>
  <c r="P143" i="42"/>
  <c r="O148" i="42"/>
  <c r="O10" i="42"/>
  <c r="L29" i="46"/>
  <c r="K86" i="42"/>
  <c r="K46" i="42"/>
  <c r="N392" i="42"/>
  <c r="N389" i="42"/>
  <c r="M18" i="42"/>
  <c r="L86" i="42"/>
  <c r="K31" i="46"/>
  <c r="M13" i="42"/>
  <c r="I183" i="97" s="1"/>
  <c r="M272" i="42"/>
  <c r="O267" i="42"/>
  <c r="L46" i="42"/>
  <c r="N267" i="42"/>
  <c r="O355" i="42"/>
  <c r="O330" i="42"/>
  <c r="K26" i="42"/>
  <c r="N335" i="42"/>
  <c r="N12" i="42"/>
  <c r="J181" i="97" s="1"/>
  <c r="L26" i="42" l="1"/>
  <c r="O16" i="42"/>
  <c r="K179" i="97"/>
  <c r="Q139" i="42"/>
  <c r="Q143" i="42"/>
  <c r="N272" i="42"/>
  <c r="N13" i="42"/>
  <c r="J183" i="97" s="1"/>
  <c r="L31" i="46"/>
  <c r="O335" i="42"/>
  <c r="O12" i="42"/>
  <c r="P267" i="42"/>
  <c r="O392" i="42"/>
  <c r="O389" i="42"/>
  <c r="K32" i="46"/>
  <c r="N18" i="42"/>
  <c r="P330" i="42"/>
  <c r="P355" i="42"/>
  <c r="O272" i="42"/>
  <c r="O13" i="42"/>
  <c r="K183" i="97" s="1"/>
  <c r="M14" i="42"/>
  <c r="M25" i="42" s="1"/>
  <c r="M19" i="42"/>
  <c r="M29" i="46"/>
  <c r="P148" i="42"/>
  <c r="P10" i="42"/>
  <c r="O18" i="42" l="1"/>
  <c r="K181" i="97"/>
  <c r="P16" i="42"/>
  <c r="L179" i="97"/>
  <c r="N14" i="42"/>
  <c r="N23" i="42" s="1"/>
  <c r="N19" i="42"/>
  <c r="O14" i="42"/>
  <c r="O24" i="42" s="1"/>
  <c r="O86" i="42"/>
  <c r="P12" i="42"/>
  <c r="P335" i="42"/>
  <c r="P392" i="42"/>
  <c r="P389" i="42"/>
  <c r="N29" i="46"/>
  <c r="M23" i="42"/>
  <c r="M66" i="42"/>
  <c r="M20" i="42"/>
  <c r="M22" i="42"/>
  <c r="M24" i="42"/>
  <c r="R139" i="42"/>
  <c r="R143" i="42"/>
  <c r="M31" i="46"/>
  <c r="Q148" i="42"/>
  <c r="Q10" i="42"/>
  <c r="M32" i="46"/>
  <c r="Q355" i="42"/>
  <c r="Q330" i="42"/>
  <c r="P272" i="42"/>
  <c r="P13" i="42"/>
  <c r="L183" i="97" s="1"/>
  <c r="O19" i="42"/>
  <c r="L32" i="46"/>
  <c r="P18" i="42" l="1"/>
  <c r="L181" i="97"/>
  <c r="N24" i="42"/>
  <c r="Q16" i="42"/>
  <c r="M179" i="97"/>
  <c r="N25" i="42"/>
  <c r="N22" i="42"/>
  <c r="N20" i="42"/>
  <c r="O20" i="42"/>
  <c r="O25" i="42"/>
  <c r="O22" i="42"/>
  <c r="O23" i="42"/>
  <c r="M26" i="42"/>
  <c r="P14" i="42"/>
  <c r="P20" i="42" s="1"/>
  <c r="N66" i="42"/>
  <c r="O66" i="42"/>
  <c r="Q267" i="42"/>
  <c r="N31" i="46"/>
  <c r="O46" i="42"/>
  <c r="M86" i="42"/>
  <c r="M46" i="42"/>
  <c r="N32" i="46"/>
  <c r="Q12" i="42"/>
  <c r="Q335" i="42"/>
  <c r="Q392" i="42"/>
  <c r="Q389" i="42"/>
  <c r="R10" i="42"/>
  <c r="R148" i="42"/>
  <c r="P19" i="42"/>
  <c r="N86" i="42"/>
  <c r="O29" i="46"/>
  <c r="R355" i="42"/>
  <c r="R330" i="42"/>
  <c r="N46" i="42"/>
  <c r="Q18" i="42" l="1"/>
  <c r="M181" i="97"/>
  <c r="N26" i="42"/>
  <c r="R16" i="42"/>
  <c r="N179" i="97"/>
  <c r="O26" i="42"/>
  <c r="P23" i="42"/>
  <c r="P25" i="42"/>
  <c r="P24" i="42"/>
  <c r="P22" i="42"/>
  <c r="Q13" i="42"/>
  <c r="M183" i="97" s="1"/>
  <c r="Q272" i="42"/>
  <c r="P29" i="46"/>
  <c r="R12" i="42"/>
  <c r="R335" i="42"/>
  <c r="P66" i="42"/>
  <c r="P46" i="42"/>
  <c r="P86" i="42"/>
  <c r="R392" i="42"/>
  <c r="R389" i="42"/>
  <c r="O31" i="46"/>
  <c r="R267" i="42"/>
  <c r="R18" i="42" l="1"/>
  <c r="N181" i="97"/>
  <c r="P26" i="42"/>
  <c r="R272" i="42"/>
  <c r="R13" i="42"/>
  <c r="N183" i="97" s="1"/>
  <c r="P31" i="46"/>
  <c r="O32" i="46"/>
  <c r="Q14" i="42"/>
  <c r="Q25" i="42" s="1"/>
  <c r="Q19" i="42"/>
  <c r="R14" i="42" l="1"/>
  <c r="R20" i="42" s="1"/>
  <c r="R19" i="42"/>
  <c r="P32" i="46"/>
  <c r="Q23" i="42"/>
  <c r="Q46" i="42"/>
  <c r="Q20" i="42"/>
  <c r="Q22" i="42"/>
  <c r="Q24" i="42"/>
  <c r="R25" i="42" l="1"/>
  <c r="Q26" i="42"/>
  <c r="R23" i="42"/>
  <c r="R46" i="42"/>
  <c r="R22" i="42"/>
  <c r="R24" i="42"/>
  <c r="Q86" i="42"/>
  <c r="Q66" i="42"/>
  <c r="R26" i="42" l="1"/>
  <c r="R66" i="42"/>
  <c r="R86" i="42"/>
</calcChain>
</file>

<file path=xl/sharedStrings.xml><?xml version="1.0" encoding="utf-8"?>
<sst xmlns="http://schemas.openxmlformats.org/spreadsheetml/2006/main" count="719" uniqueCount="299">
  <si>
    <t>Forecast Methodology</t>
  </si>
  <si>
    <t xml:space="preserve">LightCounting has no vested interest in the transceiver market and does not participate in any vendor specific projects and/or consultations. </t>
  </si>
  <si>
    <t>LightCounting forecasting involves combining forecasts from more than one source and uses various methods.</t>
  </si>
  <si>
    <t>Trend extrapolation</t>
  </si>
  <si>
    <t>Forecast methodology is based on extrapolation of historical transceiver sales using product life-cycle model (S-curve methodology) for individual products. Information on historical sales of transceivers is obtained by means of LightCounting market surveys conducted on a semi-annual basis.</t>
  </si>
  <si>
    <t>Expert Opinions</t>
  </si>
  <si>
    <t>LightCounting forecasting highly involves industry expert opinions as well as discussions with transceiver vendors, their suppliers and customers. It is through the synthesis of these opinions that a final forecast is obtained.</t>
  </si>
  <si>
    <t>Cross-impact Analysis</t>
  </si>
  <si>
    <t>Relationships often exist between legacy and new products that may not be revealed by any forecasting techniques. LightCounting forecasting recognizes that the occurrence of an event can, in turn, affect the likelihoods of other events such as the impact of 40-Gbps sales on 10-Gbps sales, and expects similar penetration rates for new product introductions.</t>
  </si>
  <si>
    <t>Scenario Analysis</t>
  </si>
  <si>
    <t xml:space="preserve">Scenarios consider developments such as new data rates, form factors or possible growth rates. Expert opinions are often used to evaluate and compare different scenarios and pick the most possible one.  </t>
  </si>
  <si>
    <t>Financial Analysis</t>
  </si>
  <si>
    <t xml:space="preserve">LightCounting makes global economic and financial analysis of specific companies, use publicly available information such as SEC filings, company presentations or other market researches as input to its forecasting. </t>
  </si>
  <si>
    <t>Total</t>
  </si>
  <si>
    <t>Application Segments</t>
  </si>
  <si>
    <t>USD (millions)</t>
  </si>
  <si>
    <t xml:space="preserve">  </t>
  </si>
  <si>
    <t>Multi-chassis fabric interconnects</t>
  </si>
  <si>
    <t>Primary use</t>
  </si>
  <si>
    <t>CXP</t>
  </si>
  <si>
    <t>Revenues</t>
  </si>
  <si>
    <t>Units are devices or modules</t>
  </si>
  <si>
    <t>Shipments (devices)</t>
  </si>
  <si>
    <t>Average Selling Prices</t>
  </si>
  <si>
    <t>High Performance Computing</t>
  </si>
  <si>
    <t xml:space="preserve">Total Devices </t>
  </si>
  <si>
    <t>Summary - Applications</t>
  </si>
  <si>
    <t>Shipments</t>
  </si>
  <si>
    <t xml:space="preserve">The LightCounting optical interconnect forecast begins with historical shipment data derived from our proprietary vendor shipments database. </t>
  </si>
  <si>
    <t xml:space="preserve">are based on the results of interviews with leading vendors and other industry experts. Several 'sanity checks' are then performed to assess </t>
  </si>
  <si>
    <t>the results of the forecast, and feedback is provided from several industry participants. Final adjustments are made.</t>
  </si>
  <si>
    <t>The historical trends are extrapolated using the life-cycle model described below. The specific assumptions for each product</t>
  </si>
  <si>
    <t xml:space="preserve">The parameters in the table below define the year to year growth and decline of product volumes for individual product groups. </t>
  </si>
  <si>
    <t xml:space="preserve">New products introduced during the forecast period begin at the sampling stage. </t>
  </si>
  <si>
    <t>Application segment forecast</t>
  </si>
  <si>
    <t>Model developed by: John Lively</t>
  </si>
  <si>
    <t>The life-cycle model used to create forecasts for individual product groups is an 'S'-shaped growth curve with a variable product lifetime.</t>
  </si>
  <si>
    <t>Forecast Dashboard</t>
  </si>
  <si>
    <t>Revenues ($ million)</t>
  </si>
  <si>
    <t>A.S.P. ($)</t>
  </si>
  <si>
    <t>Dashboard lookup codes</t>
  </si>
  <si>
    <t>Abstract</t>
  </si>
  <si>
    <t>QSFP+</t>
  </si>
  <si>
    <t>SFP+ AOC</t>
  </si>
  <si>
    <t>TBD</t>
  </si>
  <si>
    <t>EOM</t>
  </si>
  <si>
    <t>XCVR</t>
  </si>
  <si>
    <t>AOC</t>
  </si>
  <si>
    <t xml:space="preserve">12-Ch CXP AOC </t>
  </si>
  <si>
    <t>AOCs</t>
  </si>
  <si>
    <t>QSFP28</t>
  </si>
  <si>
    <t>Type</t>
  </si>
  <si>
    <t>Lanes</t>
  </si>
  <si>
    <t>Form Factor</t>
  </si>
  <si>
    <t>Mini-SAS HD</t>
  </si>
  <si>
    <t>Device type</t>
  </si>
  <si>
    <t>Lane Speed</t>
  </si>
  <si>
    <t>All</t>
  </si>
  <si>
    <t>Model Designation</t>
  </si>
  <si>
    <t>Common names</t>
  </si>
  <si>
    <t>SFP56</t>
  </si>
  <si>
    <t>QSFP56</t>
  </si>
  <si>
    <t>Single</t>
  </si>
  <si>
    <t>Multi-</t>
  </si>
  <si>
    <t>10G</t>
  </si>
  <si>
    <t>12-14G</t>
  </si>
  <si>
    <t>25-28G</t>
  </si>
  <si>
    <t>50-56G</t>
  </si>
  <si>
    <r>
      <rPr>
        <sz val="11"/>
        <color theme="1"/>
        <rFont val="Calibri"/>
        <family val="2"/>
      </rPr>
      <t>≤</t>
    </r>
    <r>
      <rPr>
        <sz val="11"/>
        <color theme="1"/>
        <rFont val="Calibri"/>
        <family val="2"/>
        <scheme val="minor"/>
      </rPr>
      <t>10G</t>
    </r>
  </si>
  <si>
    <t>Click in yellow box to select product to display</t>
  </si>
  <si>
    <t>25G</t>
  </si>
  <si>
    <t>40G</t>
  </si>
  <si>
    <t>48G</t>
  </si>
  <si>
    <t>50G</t>
  </si>
  <si>
    <t>100G</t>
  </si>
  <si>
    <t>200G</t>
  </si>
  <si>
    <t>300G</t>
  </si>
  <si>
    <r>
      <rPr>
        <sz val="11"/>
        <color theme="1"/>
        <rFont val="Calibri"/>
        <family val="2"/>
      </rPr>
      <t>≤</t>
    </r>
    <r>
      <rPr>
        <sz val="11"/>
        <color theme="1"/>
        <rFont val="Calibri"/>
        <family val="2"/>
        <scheme val="minor"/>
      </rPr>
      <t>12.5G</t>
    </r>
  </si>
  <si>
    <t>≤12.5G</t>
  </si>
  <si>
    <t>Sum of above</t>
  </si>
  <si>
    <t>Also includes PSM8 EOMs</t>
  </si>
  <si>
    <t>SFP28</t>
  </si>
  <si>
    <t>SFP+</t>
  </si>
  <si>
    <t>Application segments</t>
  </si>
  <si>
    <t>Shipments total</t>
  </si>
  <si>
    <t>Total devices</t>
  </si>
  <si>
    <t>CXP28</t>
  </si>
  <si>
    <t>EOM Shipment Volumes By Application Segment</t>
  </si>
  <si>
    <t>Chart labels</t>
  </si>
  <si>
    <t>Device shipments: AOCs</t>
  </si>
  <si>
    <t>Growth rates: AOCs</t>
  </si>
  <si>
    <t>Percentage mix: AOCs</t>
  </si>
  <si>
    <t>Growth rates: EOMs</t>
  </si>
  <si>
    <t>Percentage mix: EOMs</t>
  </si>
  <si>
    <t>Copper</t>
  </si>
  <si>
    <t>Total revenues</t>
  </si>
  <si>
    <t>InfiniBand QDR, DDR; 40GbE</t>
  </si>
  <si>
    <t>InfiniBand FDR</t>
  </si>
  <si>
    <t>InfiniBand HDR</t>
  </si>
  <si>
    <t>4:1</t>
  </si>
  <si>
    <t>AOC breakout: 4x10G from 40G</t>
  </si>
  <si>
    <t>4x10 breakout AOC</t>
  </si>
  <si>
    <t>4x25 breakout AOC</t>
  </si>
  <si>
    <t>QSFP28/SFP28</t>
  </si>
  <si>
    <t>QSFP+/SFP+</t>
  </si>
  <si>
    <t>SAS 3.0</t>
  </si>
  <si>
    <t>SAS 4.0</t>
  </si>
  <si>
    <t>8,12,16,24</t>
  </si>
  <si>
    <t>100 m</t>
  </si>
  <si>
    <t>500 m</t>
  </si>
  <si>
    <t>2 km</t>
  </si>
  <si>
    <t>10 km</t>
  </si>
  <si>
    <t>400G</t>
  </si>
  <si>
    <t>12G</t>
  </si>
  <si>
    <t>24G</t>
  </si>
  <si>
    <t>800 Gbps</t>
  </si>
  <si>
    <t>1.6 Tbps</t>
  </si>
  <si>
    <t>800G</t>
  </si>
  <si>
    <t>8:1</t>
  </si>
  <si>
    <t>8x100G breakout AOC</t>
  </si>
  <si>
    <t>Total AOCs</t>
  </si>
  <si>
    <t>30m</t>
  </si>
  <si>
    <t>Four application segments are included in this forecast:</t>
  </si>
  <si>
    <t>Total 2</t>
  </si>
  <si>
    <t>Device shipments: EOMs</t>
  </si>
  <si>
    <t>4,8,12,16,24</t>
  </si>
  <si>
    <t>Aggregate speed</t>
  </si>
  <si>
    <t>150G</t>
  </si>
  <si>
    <t>56G</t>
  </si>
  <si>
    <t>96G</t>
  </si>
  <si>
    <t>100G-600G</t>
  </si>
  <si>
    <t>Agg. Speed</t>
  </si>
  <si>
    <t>Revenues ($ mn)</t>
  </si>
  <si>
    <t>Annual shipments</t>
  </si>
  <si>
    <t>Shipments: AOCs</t>
  </si>
  <si>
    <t>AOC Forecast Breakdown by Application Segment</t>
  </si>
  <si>
    <t>400G, 2x200G</t>
  </si>
  <si>
    <t xml:space="preserve">QSFP-DD800, OSFP </t>
  </si>
  <si>
    <t>QSFP-DD, OSFP, QSFP112</t>
  </si>
  <si>
    <t>50-56G, 100G</t>
  </si>
  <si>
    <t>4 or 8</t>
  </si>
  <si>
    <t>25-28G, 50G, 100G</t>
  </si>
  <si>
    <t>1, 2, or 4</t>
  </si>
  <si>
    <t>QSFP28, SFP-DD, SFP112</t>
  </si>
  <si>
    <t>4:1 or 8:1</t>
  </si>
  <si>
    <t>8x50G, 4x100G Breakout AOC</t>
  </si>
  <si>
    <t>100GbE AOC</t>
  </si>
  <si>
    <t>AOC 100G</t>
  </si>
  <si>
    <t>AOC 400G</t>
  </si>
  <si>
    <t>AOC 800G</t>
  </si>
  <si>
    <t>AOC 400G breakout</t>
  </si>
  <si>
    <t>AOC 100G breakout</t>
  </si>
  <si>
    <t>Product forecast - EOMs</t>
  </si>
  <si>
    <t>Product forecast - AOCs</t>
  </si>
  <si>
    <t>Product type</t>
  </si>
  <si>
    <r>
      <t>All other DACs (</t>
    </r>
    <r>
      <rPr>
        <sz val="10"/>
        <color theme="1"/>
        <rFont val="Calibri"/>
        <family val="2"/>
      </rPr>
      <t>≤</t>
    </r>
    <r>
      <rPr>
        <sz val="8"/>
        <color theme="1"/>
        <rFont val="Calibri"/>
        <family val="2"/>
      </rPr>
      <t>40G)</t>
    </r>
  </si>
  <si>
    <t>LightCounting High-Speed Cables Forecast</t>
  </si>
  <si>
    <t>Dollars per Gbps</t>
  </si>
  <si>
    <t xml:space="preserve">This forecast presents historical data from 2016 to 2019 and a market forecast through 2025 for AOCs, EOM, DACs, and chiplets used for interconnect applications.  The historical sales data accounts for sales of more than 30 optical component and module vendors, including 25 vendors that shared confidential sales data with LightCounting. The market forecast is based on a combination of historical trend extrapolation, expert opinion (based on numerous in-depth interviews with leading vendors), and models based on past experience in this segment.   </t>
  </si>
  <si>
    <t>800G total</t>
  </si>
  <si>
    <t>1.6Tb total</t>
  </si>
  <si>
    <t>30 m total</t>
  </si>
  <si>
    <t>500 m total</t>
  </si>
  <si>
    <t>10G and 25G AOCs</t>
  </si>
  <si>
    <t>40G and above AOCs</t>
  </si>
  <si>
    <t>400G AOCs</t>
  </si>
  <si>
    <t>10G AOCs</t>
  </si>
  <si>
    <t>25G AOCs</t>
  </si>
  <si>
    <t>10G DACs</t>
  </si>
  <si>
    <t>25G DACs</t>
  </si>
  <si>
    <t>100G AOCs</t>
  </si>
  <si>
    <t>40G AOCs</t>
  </si>
  <si>
    <t>40G DACs</t>
  </si>
  <si>
    <t>200G AOCs</t>
  </si>
  <si>
    <t>Other</t>
  </si>
  <si>
    <t>(includes Military, Aerospace)</t>
  </si>
  <si>
    <t>HPC &amp; AI Clusters</t>
  </si>
  <si>
    <t>High-performance computing and AI cluster interconnects</t>
  </si>
  <si>
    <t xml:space="preserve">FPGA-based products for military, aerospace, industrial, etc. </t>
  </si>
  <si>
    <t>800G AOCs</t>
  </si>
  <si>
    <t>800G CPO</t>
  </si>
  <si>
    <t>1.6T CPO</t>
  </si>
  <si>
    <t>100/400G EOMs</t>
  </si>
  <si>
    <t>Low speed vs. high-speed AOCs</t>
  </si>
  <si>
    <t>Device shipments: CPO</t>
  </si>
  <si>
    <t>EOM &amp; CPO by speed - unit shipments</t>
  </si>
  <si>
    <t>EOM &amp; CPO by speed - Revenues</t>
  </si>
  <si>
    <t>Passive (DACs) and active (ACC/AEC) copper cables forecast</t>
  </si>
  <si>
    <t>CPO</t>
  </si>
  <si>
    <t>AOC = Active Optical Cable</t>
  </si>
  <si>
    <t>EOM = Electro-Optical Module</t>
  </si>
  <si>
    <t>CPO = Co-Packaged Optics module</t>
  </si>
  <si>
    <t>DAC = Direct Attach Copper cable (passive copper)</t>
  </si>
  <si>
    <t>ACC = Active Copper Cable (active copper)</t>
  </si>
  <si>
    <t>AEC = Active Electronic Cable (active copper)</t>
  </si>
  <si>
    <t>Product category abbreviations</t>
  </si>
  <si>
    <t>AOC/Copper product detail - shipments</t>
  </si>
  <si>
    <t>AOC/Copper product detail - revenues</t>
  </si>
  <si>
    <t>DAC/ACC/AEC Forecast</t>
  </si>
  <si>
    <t>DAC/ACC/AEC annual shipments</t>
  </si>
  <si>
    <t>DAC/ACC/AEC annual revenues ($ mn)</t>
  </si>
  <si>
    <t>High-speed copper cables</t>
  </si>
  <si>
    <t>CPOs total</t>
  </si>
  <si>
    <t>CPO Shipments</t>
  </si>
  <si>
    <t>CPO ASPs</t>
  </si>
  <si>
    <t>CPO Revenues ($ mn)</t>
  </si>
  <si>
    <t>Growth rates: CPOs</t>
  </si>
  <si>
    <t>Percentage mix: CPOs</t>
  </si>
  <si>
    <t>Product forecast for all optical products: AOC, EOM, CPO</t>
  </si>
  <si>
    <t>8x50G AOC, 4x100G Straight AOC</t>
  </si>
  <si>
    <t>XCVR - CXP28</t>
  </si>
  <si>
    <t>XCVR - CXP</t>
  </si>
  <si>
    <t>EOM Next Gen</t>
  </si>
  <si>
    <t>200G - 3.2T</t>
  </si>
  <si>
    <t>100 m total</t>
  </si>
  <si>
    <t>2 km total</t>
  </si>
  <si>
    <t>10 km total</t>
  </si>
  <si>
    <t>800G average</t>
  </si>
  <si>
    <t>1.6Tb average</t>
  </si>
  <si>
    <t>30 m average</t>
  </si>
  <si>
    <t>500 m average</t>
  </si>
  <si>
    <t>100 m average</t>
  </si>
  <si>
    <t>2 km average</t>
  </si>
  <si>
    <t>10 km average</t>
  </si>
  <si>
    <t>1.6T</t>
  </si>
  <si>
    <t>Total 1</t>
  </si>
  <si>
    <t>Analysis and assumptions: Vladimir Kozlov, John Lively</t>
  </si>
  <si>
    <t>Total two</t>
  </si>
  <si>
    <t>Lookup names</t>
  </si>
  <si>
    <t>Device shipments: Copper Cables</t>
  </si>
  <si>
    <t>Growth rates: Copper Cables</t>
  </si>
  <si>
    <t>Percentage mix: Copper Cables</t>
  </si>
  <si>
    <t>DAC</t>
  </si>
  <si>
    <t>SFP</t>
  </si>
  <si>
    <t>QSFP</t>
  </si>
  <si>
    <t>14G</t>
  </si>
  <si>
    <t>Active Cu</t>
  </si>
  <si>
    <t>Copper Cables Shipment Volumes By Application Segment</t>
  </si>
  <si>
    <t>1.6T AOCs</t>
  </si>
  <si>
    <t>OSFP-XD</t>
  </si>
  <si>
    <t>AOC 1.6T</t>
  </si>
  <si>
    <t>100G Copper</t>
  </si>
  <si>
    <t>200G Copper</t>
  </si>
  <si>
    <t>400G Copper</t>
  </si>
  <si>
    <t>800G Copper</t>
  </si>
  <si>
    <t>1.6T Copper</t>
  </si>
  <si>
    <t>Copper = sum of DAC, ACC, and AEC</t>
  </si>
  <si>
    <t>AOCs by Application Segment (excluding 10/25G)</t>
  </si>
  <si>
    <t>Copper = DAC+ACC+AEC</t>
  </si>
  <si>
    <t>Active Cu = ACC+AEC</t>
  </si>
  <si>
    <t>XCVR = Pluggable Optical Transceivers</t>
  </si>
  <si>
    <t>Optical product abbreviations</t>
  </si>
  <si>
    <t>Copper product abbreviations</t>
  </si>
  <si>
    <t>Product categories</t>
  </si>
  <si>
    <t>Total Cloud Revenues</t>
  </si>
  <si>
    <t>Total Cloud Revenues: Optical</t>
  </si>
  <si>
    <t>Total Cloud Revenues: Copper</t>
  </si>
  <si>
    <t>30m+100m average, used in Switch forecast</t>
  </si>
  <si>
    <t>External laser module (4xDR4)</t>
  </si>
  <si>
    <t>External laser module (4xFR4)</t>
  </si>
  <si>
    <t>External laser module (Comb) -LP</t>
  </si>
  <si>
    <t>External laser module (Comb) - HP</t>
  </si>
  <si>
    <t>400G - AEC</t>
  </si>
  <si>
    <t>800G - AEC</t>
  </si>
  <si>
    <t>1.6T - AEC</t>
  </si>
  <si>
    <t>800G - DAC/ACC</t>
  </si>
  <si>
    <t>400G - DAC/ACC</t>
  </si>
  <si>
    <t>100G  - AEC</t>
  </si>
  <si>
    <t>4x14G - DAC</t>
  </si>
  <si>
    <t>100G - DAC/ACC</t>
  </si>
  <si>
    <t>200G - AEC</t>
  </si>
  <si>
    <t>200G - DAC/ACC</t>
  </si>
  <si>
    <t>4x10G - DAC</t>
  </si>
  <si>
    <t>25G - DAC</t>
  </si>
  <si>
    <t>10G - DAC</t>
  </si>
  <si>
    <t>1.6T - DAC/ACC</t>
  </si>
  <si>
    <t>AEC</t>
  </si>
  <si>
    <t>DAC/ACC</t>
  </si>
  <si>
    <t>Product Forecast - Co-Packaged Optics (CPO) and External Lasers</t>
  </si>
  <si>
    <t>CPO&amp;External lasers total</t>
  </si>
  <si>
    <t>External laser modules</t>
  </si>
  <si>
    <t xml:space="preserve">CPO&amp;External lasers </t>
  </si>
  <si>
    <t>CPO&amp;External lasers - Shipment Volumes By Application Segment</t>
  </si>
  <si>
    <t>EOM, CPO/Lasers, and Copper Forecast by Application Segment</t>
  </si>
  <si>
    <t>EOM and CPO/Lasers Forecast</t>
  </si>
  <si>
    <t>Core Routing</t>
  </si>
  <si>
    <t>DC Compute Nodes</t>
  </si>
  <si>
    <t>Datacenter compute node interconnects</t>
  </si>
  <si>
    <t>CPOs by Application Segment</t>
  </si>
  <si>
    <t>Companion Report: High Speed Cables, Board-mounted and Co-packaged Optics, December 2022, by Vlad Kozlov, Roy Rubenstein</t>
  </si>
  <si>
    <t>40-50G AOCs</t>
  </si>
  <si>
    <t>100-150G AOCs</t>
  </si>
  <si>
    <t>200-300G AOCs</t>
  </si>
  <si>
    <t>DC Compute Nodes - 1x10, 1x25G AOCs</t>
  </si>
  <si>
    <r>
      <t xml:space="preserve">AECs </t>
    </r>
    <r>
      <rPr>
        <sz val="10"/>
        <color theme="1"/>
        <rFont val="Calibri"/>
        <family val="2"/>
      </rPr>
      <t>≥100G</t>
    </r>
  </si>
  <si>
    <t>DAC/ACCs  ≥100G</t>
  </si>
  <si>
    <t xml:space="preserve">Device shipments: CPOs </t>
  </si>
  <si>
    <t>DC Compute Node - Revenues</t>
  </si>
  <si>
    <r>
      <t xml:space="preserve">December 2022 </t>
    </r>
    <r>
      <rPr>
        <sz val="11"/>
        <color theme="3"/>
        <rFont val="Arial"/>
        <family val="2"/>
      </rPr>
      <t>- sample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</si>
</sst>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quot;$&quot;* #,##0.0_);_(&quot;$&quot;* \(#,##0.0\);_(&quot;$&quot;* &quot;-&quot;??_);_(@_)"/>
    <numFmt numFmtId="167" formatCode="General_)"/>
    <numFmt numFmtId="168" formatCode="0.00_)"/>
    <numFmt numFmtId="169" formatCode="[&gt;9.9]0;[&gt;0]0.0;\-;"/>
    <numFmt numFmtId="170" formatCode="_(* #,##0.000_);_(* \(#,##0.000\);_(* &quot;-&quot;??_);_(@_)"/>
  </numFmts>
  <fonts count="77">
    <font>
      <sz val="10"/>
      <color theme="1"/>
      <name val="Arial"/>
      <family val="2"/>
    </font>
    <font>
      <sz val="11"/>
      <color theme="1"/>
      <name val="Calibri"/>
      <family val="2"/>
      <scheme val="minor"/>
    </font>
    <font>
      <sz val="10"/>
      <color theme="1"/>
      <name val="Calibri"/>
      <family val="2"/>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indexed="8"/>
      <name val="Arial"/>
      <family val="2"/>
    </font>
    <font>
      <sz val="10"/>
      <name val="Arial"/>
      <family val="2"/>
    </font>
    <font>
      <sz val="10"/>
      <color theme="1"/>
      <name val="Arial"/>
      <family val="2"/>
    </font>
    <font>
      <sz val="11"/>
      <color theme="1"/>
      <name val="Calibri"/>
      <family val="2"/>
      <scheme val="minor"/>
    </font>
    <font>
      <sz val="10"/>
      <color rgb="FFFF0000"/>
      <name val="Arial"/>
      <family val="2"/>
    </font>
    <font>
      <b/>
      <sz val="14"/>
      <color theme="1"/>
      <name val="Arial"/>
      <family val="2"/>
    </font>
    <font>
      <sz val="14"/>
      <color theme="1"/>
      <name val="Arial"/>
      <family val="2"/>
    </font>
    <font>
      <u/>
      <sz val="10"/>
      <color theme="11"/>
      <name val="Arial"/>
      <family val="2"/>
    </font>
    <font>
      <b/>
      <sz val="10"/>
      <color theme="1"/>
      <name val="Calibri"/>
      <family val="2"/>
      <scheme val="minor"/>
    </font>
    <font>
      <sz val="12"/>
      <color theme="1"/>
      <name val="Calibri"/>
      <family val="2"/>
      <scheme val="minor"/>
    </font>
    <font>
      <b/>
      <sz val="14"/>
      <color theme="1"/>
      <name val="Calibri"/>
      <family val="2"/>
      <scheme val="minor"/>
    </font>
    <font>
      <sz val="10"/>
      <name val="Calibri"/>
      <family val="2"/>
      <scheme val="minor"/>
    </font>
    <font>
      <sz val="10"/>
      <color theme="3"/>
      <name val="Calibri"/>
      <family val="2"/>
      <scheme val="minor"/>
    </font>
    <font>
      <b/>
      <sz val="11"/>
      <color rgb="FF1F487C"/>
      <name val="Calibri"/>
      <family val="2"/>
      <scheme val="minor"/>
    </font>
    <font>
      <b/>
      <sz val="18"/>
      <color theme="1"/>
      <name val="Calibri"/>
      <family val="2"/>
      <scheme val="minor"/>
    </font>
    <font>
      <sz val="10"/>
      <color rgb="FFFF0000"/>
      <name val="Calibri"/>
      <family val="2"/>
      <scheme val="minor"/>
    </font>
    <font>
      <b/>
      <sz val="10"/>
      <name val="Calibri"/>
      <family val="2"/>
      <scheme val="minor"/>
    </font>
    <font>
      <b/>
      <sz val="16"/>
      <color rgb="FF1F487C"/>
      <name val="Calibri"/>
      <family val="2"/>
      <scheme val="minor"/>
    </font>
    <font>
      <b/>
      <sz val="11"/>
      <color theme="1"/>
      <name val="Calibri"/>
      <family val="2"/>
      <scheme val="minor"/>
    </font>
    <font>
      <b/>
      <sz val="11"/>
      <color rgb="FFFF0000"/>
      <name val="Calibri"/>
      <family val="2"/>
      <scheme val="minor"/>
    </font>
    <font>
      <b/>
      <sz val="10"/>
      <name val="Arial"/>
      <family val="2"/>
    </font>
    <font>
      <sz val="14"/>
      <color theme="1"/>
      <name val="Calibri"/>
      <family val="2"/>
      <scheme val="minor"/>
    </font>
    <font>
      <sz val="12"/>
      <color rgb="FFFF0000"/>
      <name val="Calibri"/>
      <family val="2"/>
      <scheme val="minor"/>
    </font>
    <font>
      <sz val="16"/>
      <color theme="1"/>
      <name val="Calibri"/>
      <family val="2"/>
      <scheme val="minor"/>
    </font>
    <font>
      <b/>
      <sz val="18"/>
      <color rgb="FF1F487C"/>
      <name val="Calibri"/>
      <family val="2"/>
      <scheme val="minor"/>
    </font>
    <font>
      <sz val="10"/>
      <color rgb="FF0070C0"/>
      <name val="Calibri"/>
      <family val="2"/>
      <scheme val="minor"/>
    </font>
    <font>
      <sz val="20"/>
      <color theme="1"/>
      <name val="Calibri"/>
      <family val="2"/>
      <scheme val="minor"/>
    </font>
    <font>
      <sz val="20"/>
      <color theme="3"/>
      <name val="Calibri"/>
      <family val="2"/>
      <scheme val="minor"/>
    </font>
    <font>
      <sz val="12"/>
      <color theme="1"/>
      <name val="Arial"/>
      <family val="2"/>
    </font>
    <font>
      <sz val="11"/>
      <color rgb="FFFF0000"/>
      <name val="Calibri"/>
      <family val="2"/>
      <scheme val="minor"/>
    </font>
    <font>
      <sz val="10"/>
      <name val="Helvetica"/>
      <family val="2"/>
    </font>
    <font>
      <sz val="10"/>
      <name val="Helvetica"/>
      <family val="2"/>
    </font>
    <font>
      <sz val="10"/>
      <color indexed="8"/>
      <name val="Helvetica"/>
      <family val="2"/>
    </font>
    <font>
      <b/>
      <sz val="12"/>
      <color indexed="8"/>
      <name val="Helvetica"/>
      <family val="2"/>
    </font>
    <font>
      <b/>
      <sz val="10"/>
      <color indexed="8"/>
      <name val="Helvetica"/>
      <family val="2"/>
    </font>
    <font>
      <b/>
      <i/>
      <sz val="16"/>
      <name val="Helv"/>
    </font>
    <font>
      <sz val="10"/>
      <name val="Geneva"/>
      <family val="2"/>
    </font>
    <font>
      <sz val="11"/>
      <color theme="1"/>
      <name val="Arial"/>
      <family val="2"/>
    </font>
    <font>
      <b/>
      <sz val="16"/>
      <name val="Calibri"/>
      <family val="2"/>
      <scheme val="minor"/>
    </font>
    <font>
      <sz val="11"/>
      <color theme="1"/>
      <name val="Calibri"/>
      <family val="2"/>
    </font>
    <font>
      <b/>
      <sz val="16"/>
      <color theme="3"/>
      <name val="Calibri"/>
      <family val="2"/>
      <scheme val="minor"/>
    </font>
    <font>
      <b/>
      <sz val="12"/>
      <color theme="1"/>
      <name val="Calibri"/>
      <family val="2"/>
      <scheme val="minor"/>
    </font>
    <font>
      <b/>
      <sz val="14"/>
      <color theme="0"/>
      <name val="Calibri"/>
      <family val="2"/>
      <scheme val="minor"/>
    </font>
    <font>
      <b/>
      <sz val="20"/>
      <color theme="1"/>
      <name val="Arial"/>
      <family val="2"/>
    </font>
    <font>
      <sz val="11"/>
      <color rgb="FFFF0000"/>
      <name val="Arial"/>
      <family val="2"/>
    </font>
    <font>
      <sz val="12"/>
      <color rgb="FFFF0000"/>
      <name val="Arial"/>
      <family val="2"/>
    </font>
    <font>
      <sz val="8"/>
      <color theme="1"/>
      <name val="Calibri"/>
      <family val="2"/>
    </font>
    <font>
      <sz val="12"/>
      <name val="Arial"/>
      <family val="2"/>
    </font>
    <font>
      <b/>
      <sz val="14"/>
      <color rgb="FF1F487C"/>
      <name val="Calibri"/>
      <family val="2"/>
      <scheme val="minor"/>
    </font>
    <font>
      <b/>
      <sz val="12"/>
      <color rgb="FF1F487C"/>
      <name val="Calibri"/>
      <family val="2"/>
      <scheme val="minor"/>
    </font>
    <font>
      <b/>
      <sz val="18"/>
      <color theme="1"/>
      <name val="Arial"/>
      <family val="2"/>
    </font>
    <font>
      <b/>
      <sz val="18"/>
      <color rgb="FF000000"/>
      <name val="Arial"/>
      <family val="2"/>
    </font>
    <font>
      <sz val="11"/>
      <color theme="3"/>
      <name val="Arial"/>
      <family val="2"/>
    </font>
    <font>
      <b/>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rgb="FFCCFFCC"/>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0" tint="-4.9989318521683403E-2"/>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top/>
      <bottom style="dashed">
        <color auto="1"/>
      </bottom>
      <diagonal/>
    </border>
    <border>
      <left style="thin">
        <color auto="1"/>
      </left>
      <right/>
      <top/>
      <bottom style="dashed">
        <color auto="1"/>
      </bottom>
      <diagonal/>
    </border>
    <border>
      <left/>
      <right style="thin">
        <color auto="1"/>
      </right>
      <top/>
      <bottom style="dashed">
        <color auto="1"/>
      </bottom>
      <diagonal/>
    </border>
    <border>
      <left style="thin">
        <color auto="1"/>
      </left>
      <right style="thin">
        <color auto="1"/>
      </right>
      <top style="thin">
        <color auto="1"/>
      </top>
      <bottom style="dashed">
        <color auto="1"/>
      </bottom>
      <diagonal/>
    </border>
    <border>
      <left style="thin">
        <color indexed="64"/>
      </left>
      <right/>
      <top style="dashed">
        <color auto="1"/>
      </top>
      <bottom/>
      <diagonal/>
    </border>
  </borders>
  <cellStyleXfs count="411">
    <xf numFmtId="0" fontId="0" fillId="0" borderId="0"/>
    <xf numFmtId="43" fontId="2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3" fillId="0" borderId="0" applyFont="0" applyFill="0" applyBorder="0" applyAlignment="0" applyProtection="0"/>
    <xf numFmtId="44" fontId="25" fillId="0" borderId="0" applyFont="0" applyFill="0" applyBorder="0" applyAlignment="0" applyProtection="0"/>
    <xf numFmtId="44" fontId="23" fillId="0" borderId="0" applyFont="0" applyFill="0" applyBorder="0" applyAlignment="0" applyProtection="0"/>
    <xf numFmtId="0" fontId="23" fillId="0" borderId="0"/>
    <xf numFmtId="9" fontId="25" fillId="0" borderId="0" applyFont="0" applyFill="0" applyBorder="0" applyAlignment="0" applyProtection="0"/>
    <xf numFmtId="9" fontId="2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0" fontId="32" fillId="0" borderId="0"/>
    <xf numFmtId="43" fontId="32"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44" fontId="2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xf numFmtId="0" fontId="17" fillId="0" borderId="0"/>
    <xf numFmtId="0" fontId="53" fillId="0" borderId="0"/>
    <xf numFmtId="43" fontId="17" fillId="0" borderId="0" applyFont="0" applyFill="0" applyBorder="0" applyAlignment="0" applyProtection="0"/>
    <xf numFmtId="43" fontId="17" fillId="0" borderId="0" applyFont="0" applyFill="0" applyBorder="0" applyAlignment="0" applyProtection="0"/>
    <xf numFmtId="43" fontId="24" fillId="0" borderId="0" applyFont="0" applyFill="0" applyBorder="0" applyAlignment="0" applyProtection="0"/>
    <xf numFmtId="43" fontId="5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5" fontId="55" fillId="0" borderId="0" applyFont="0" applyFill="0" applyBorder="0" applyAlignment="0" applyProtection="0">
      <protection locked="0"/>
    </xf>
    <xf numFmtId="167" fontId="56" fillId="0" borderId="0" applyNumberFormat="0" applyFill="0" applyBorder="0" applyAlignment="0" applyProtection="0">
      <protection locked="0"/>
    </xf>
    <xf numFmtId="167" fontId="57" fillId="0" borderId="0" applyNumberFormat="0" applyFill="0" applyBorder="0" applyAlignment="0" applyProtection="0">
      <protection locked="0"/>
    </xf>
    <xf numFmtId="168" fontId="58" fillId="0" borderId="0"/>
    <xf numFmtId="0" fontId="17" fillId="0" borderId="0"/>
    <xf numFmtId="0" fontId="17" fillId="0" borderId="0"/>
    <xf numFmtId="0" fontId="17" fillId="0" borderId="0"/>
    <xf numFmtId="0" fontId="17" fillId="0" borderId="0"/>
    <xf numFmtId="0" fontId="24" fillId="0" borderId="0"/>
    <xf numFmtId="0" fontId="54" fillId="0" borderId="0"/>
    <xf numFmtId="9" fontId="24" fillId="0" borderId="0" applyFont="0" applyFill="0" applyBorder="0" applyAlignment="0" applyProtection="0"/>
    <xf numFmtId="9" fontId="54" fillId="0" borderId="0" applyFont="0" applyFill="0" applyBorder="0" applyAlignment="0" applyProtection="0"/>
    <xf numFmtId="0" fontId="24" fillId="0" borderId="0"/>
    <xf numFmtId="169" fontId="59" fillId="0" borderId="13" applyBorder="0" applyAlignment="0">
      <alignment horizontal="center"/>
    </xf>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cellStyleXfs>
  <cellXfs count="475">
    <xf numFmtId="0" fontId="0" fillId="0" borderId="0" xfId="0"/>
    <xf numFmtId="0" fontId="0" fillId="2" borderId="0" xfId="0" applyFill="1" applyProtection="1">
      <protection locked="0"/>
    </xf>
    <xf numFmtId="0" fontId="0" fillId="2" borderId="0" xfId="0" applyFill="1"/>
    <xf numFmtId="0" fontId="28" fillId="2" borderId="0" xfId="0" applyFont="1" applyFill="1"/>
    <xf numFmtId="0" fontId="28" fillId="2" borderId="0" xfId="0" applyFont="1" applyFill="1" applyProtection="1">
      <protection locked="0"/>
    </xf>
    <xf numFmtId="0" fontId="27" fillId="0" borderId="0" xfId="0" applyFont="1"/>
    <xf numFmtId="0" fontId="27" fillId="2" borderId="0" xfId="0" applyFont="1" applyFill="1" applyProtection="1">
      <protection locked="0"/>
    </xf>
    <xf numFmtId="0" fontId="27" fillId="2" borderId="0" xfId="0" applyFont="1" applyFill="1" applyAlignment="1" applyProtection="1">
      <alignment wrapText="1"/>
      <protection locked="0"/>
    </xf>
    <xf numFmtId="0" fontId="21" fillId="0" borderId="0" xfId="0" applyFont="1"/>
    <xf numFmtId="9" fontId="21" fillId="0" borderId="0" xfId="8" applyFont="1"/>
    <xf numFmtId="9" fontId="21" fillId="0" borderId="0" xfId="0" applyNumberFormat="1" applyFont="1"/>
    <xf numFmtId="0" fontId="31" fillId="0" borderId="0" xfId="0" applyFont="1"/>
    <xf numFmtId="0" fontId="21" fillId="0" borderId="8" xfId="0" applyFont="1" applyBorder="1"/>
    <xf numFmtId="164" fontId="21" fillId="0" borderId="0" xfId="0" applyNumberFormat="1" applyFont="1"/>
    <xf numFmtId="0" fontId="20" fillId="0" borderId="0" xfId="0" applyFont="1"/>
    <xf numFmtId="0" fontId="34" fillId="0" borderId="0" xfId="0" applyFont="1"/>
    <xf numFmtId="0" fontId="38" fillId="0" borderId="0" xfId="0" applyFont="1"/>
    <xf numFmtId="0" fontId="38" fillId="0" borderId="0" xfId="0" applyFont="1" applyAlignment="1">
      <alignment horizontal="right"/>
    </xf>
    <xf numFmtId="164" fontId="38" fillId="0" borderId="0" xfId="0" applyNumberFormat="1" applyFont="1"/>
    <xf numFmtId="0" fontId="37" fillId="0" borderId="0" xfId="0" applyFont="1" applyAlignment="1">
      <alignment horizontal="center"/>
    </xf>
    <xf numFmtId="0" fontId="0" fillId="0" borderId="8" xfId="0" applyBorder="1"/>
    <xf numFmtId="0" fontId="0" fillId="0" borderId="0" xfId="0" applyAlignment="1">
      <alignment horizontal="center"/>
    </xf>
    <xf numFmtId="0" fontId="35" fillId="0" borderId="0" xfId="0" applyFont="1"/>
    <xf numFmtId="0" fontId="40" fillId="0" borderId="0" xfId="0" applyFont="1"/>
    <xf numFmtId="0" fontId="40" fillId="0" borderId="0" xfId="0" applyFont="1" applyAlignment="1">
      <alignment vertical="center"/>
    </xf>
    <xf numFmtId="164" fontId="21" fillId="0" borderId="10" xfId="1" applyNumberFormat="1" applyFont="1" applyFill="1" applyBorder="1"/>
    <xf numFmtId="165" fontId="34" fillId="0" borderId="10" xfId="5" applyNumberFormat="1" applyFont="1" applyBorder="1"/>
    <xf numFmtId="164" fontId="34" fillId="0" borderId="8" xfId="1" applyNumberFormat="1" applyFont="1" applyFill="1" applyBorder="1"/>
    <xf numFmtId="0" fontId="36" fillId="0" borderId="0" xfId="0" applyFont="1" applyAlignment="1">
      <alignment horizontal="left" vertical="center"/>
    </xf>
    <xf numFmtId="0" fontId="21" fillId="0" borderId="2" xfId="0" applyFont="1" applyBorder="1"/>
    <xf numFmtId="0" fontId="21" fillId="0" borderId="7" xfId="0" applyFont="1" applyBorder="1"/>
    <xf numFmtId="0" fontId="21" fillId="0" borderId="11" xfId="0" applyFont="1" applyBorder="1"/>
    <xf numFmtId="9" fontId="34" fillId="0" borderId="0" xfId="8" applyFont="1" applyFill="1" applyBorder="1"/>
    <xf numFmtId="9" fontId="21" fillId="0" borderId="7" xfId="0" applyNumberFormat="1" applyFont="1" applyBorder="1"/>
    <xf numFmtId="9" fontId="34" fillId="0" borderId="10" xfId="8" applyFont="1" applyFill="1" applyBorder="1"/>
    <xf numFmtId="0" fontId="21" fillId="0" borderId="10" xfId="0" applyFont="1" applyBorder="1"/>
    <xf numFmtId="164" fontId="21" fillId="0" borderId="7" xfId="0" applyNumberFormat="1" applyFont="1" applyBorder="1"/>
    <xf numFmtId="165" fontId="34" fillId="0" borderId="0" xfId="5" applyNumberFormat="1" applyFont="1" applyBorder="1"/>
    <xf numFmtId="0" fontId="40" fillId="0" borderId="0" xfId="0" applyFont="1" applyAlignment="1">
      <alignment horizontal="left" vertical="center"/>
    </xf>
    <xf numFmtId="164" fontId="0" fillId="0" borderId="0" xfId="0" applyNumberFormat="1"/>
    <xf numFmtId="164" fontId="34" fillId="0" borderId="8" xfId="1" applyNumberFormat="1" applyFont="1" applyBorder="1"/>
    <xf numFmtId="0" fontId="0" fillId="0" borderId="0" xfId="0" applyAlignment="1">
      <alignment horizontal="right"/>
    </xf>
    <xf numFmtId="164" fontId="34" fillId="0" borderId="0" xfId="0" applyNumberFormat="1" applyFont="1"/>
    <xf numFmtId="164" fontId="34" fillId="0" borderId="8" xfId="0" applyNumberFormat="1" applyFont="1" applyBorder="1"/>
    <xf numFmtId="164" fontId="38" fillId="0" borderId="0" xfId="1" applyNumberFormat="1" applyFont="1"/>
    <xf numFmtId="164" fontId="34" fillId="0" borderId="0" xfId="1" applyNumberFormat="1" applyFont="1" applyFill="1" applyBorder="1"/>
    <xf numFmtId="164" fontId="34" fillId="0" borderId="5" xfId="1" applyNumberFormat="1" applyFont="1" applyFill="1" applyBorder="1"/>
    <xf numFmtId="0" fontId="24" fillId="2" borderId="0" xfId="0" applyFont="1" applyFill="1" applyProtection="1">
      <protection locked="0"/>
    </xf>
    <xf numFmtId="0" fontId="43" fillId="2" borderId="0" xfId="0" applyFont="1" applyFill="1" applyProtection="1">
      <protection locked="0"/>
    </xf>
    <xf numFmtId="0" fontId="24" fillId="2" borderId="0" xfId="0" applyFont="1" applyFill="1"/>
    <xf numFmtId="164" fontId="21" fillId="0" borderId="0" xfId="1" applyNumberFormat="1" applyFont="1" applyFill="1" applyBorder="1"/>
    <xf numFmtId="43" fontId="34" fillId="0" borderId="0" xfId="1" applyFont="1"/>
    <xf numFmtId="0" fontId="21" fillId="0" borderId="0" xfId="0" applyFont="1" applyAlignment="1">
      <alignment horizontal="right"/>
    </xf>
    <xf numFmtId="0" fontId="47" fillId="0" borderId="0" xfId="0" applyFont="1" applyAlignment="1">
      <alignment horizontal="left" vertical="center"/>
    </xf>
    <xf numFmtId="0" fontId="19" fillId="0" borderId="0" xfId="122"/>
    <xf numFmtId="0" fontId="19" fillId="0" borderId="0" xfId="122" applyAlignment="1">
      <alignment horizontal="left"/>
    </xf>
    <xf numFmtId="0" fontId="19" fillId="0" borderId="0" xfId="122" applyAlignment="1">
      <alignment horizontal="right"/>
    </xf>
    <xf numFmtId="0" fontId="46" fillId="0" borderId="0" xfId="122" applyFont="1"/>
    <xf numFmtId="0" fontId="46" fillId="0" borderId="0" xfId="122" applyFont="1" applyAlignment="1">
      <alignment horizontal="right"/>
    </xf>
    <xf numFmtId="0" fontId="18" fillId="0" borderId="0" xfId="122" applyFont="1" applyAlignment="1">
      <alignment horizontal="center"/>
    </xf>
    <xf numFmtId="0" fontId="44" fillId="0" borderId="0" xfId="122" applyFont="1"/>
    <xf numFmtId="0" fontId="44" fillId="0" borderId="8" xfId="122" applyFont="1" applyBorder="1"/>
    <xf numFmtId="0" fontId="44" fillId="0" borderId="0" xfId="122" applyFont="1" applyAlignment="1">
      <alignment horizontal="right"/>
    </xf>
    <xf numFmtId="0" fontId="51" fillId="2" borderId="0" xfId="0" applyFont="1" applyFill="1"/>
    <xf numFmtId="0" fontId="51" fillId="0" borderId="0" xfId="0" applyFont="1"/>
    <xf numFmtId="0" fontId="17" fillId="0" borderId="0" xfId="0" applyFont="1"/>
    <xf numFmtId="0" fontId="17" fillId="0" borderId="0" xfId="0" applyFont="1" applyAlignment="1">
      <alignment horizontal="right"/>
    </xf>
    <xf numFmtId="165" fontId="34" fillId="0" borderId="0" xfId="5" applyNumberFormat="1" applyFont="1" applyFill="1" applyBorder="1"/>
    <xf numFmtId="165" fontId="34" fillId="0" borderId="8" xfId="5" applyNumberFormat="1" applyFont="1" applyFill="1" applyBorder="1"/>
    <xf numFmtId="0" fontId="17" fillId="0" borderId="8" xfId="0" applyFont="1" applyBorder="1"/>
    <xf numFmtId="164" fontId="34" fillId="0" borderId="0" xfId="1" applyNumberFormat="1" applyFont="1" applyBorder="1"/>
    <xf numFmtId="165" fontId="17" fillId="0" borderId="0" xfId="5" applyNumberFormat="1" applyFont="1"/>
    <xf numFmtId="44" fontId="17" fillId="0" borderId="0" xfId="5" applyFont="1"/>
    <xf numFmtId="0" fontId="17" fillId="0" borderId="0" xfId="0" quotePrefix="1" applyFont="1"/>
    <xf numFmtId="164" fontId="17" fillId="0" borderId="0" xfId="1" applyNumberFormat="1" applyFont="1" applyBorder="1"/>
    <xf numFmtId="165" fontId="38" fillId="0" borderId="0" xfId="5" applyNumberFormat="1" applyFont="1"/>
    <xf numFmtId="0" fontId="21" fillId="0" borderId="0" xfId="0" applyFont="1" applyAlignment="1">
      <alignment horizontal="center"/>
    </xf>
    <xf numFmtId="0" fontId="17" fillId="0" borderId="0" xfId="0" applyFont="1" applyAlignment="1">
      <alignment horizontal="center"/>
    </xf>
    <xf numFmtId="0" fontId="17" fillId="0" borderId="8" xfId="0" applyFont="1" applyBorder="1" applyAlignment="1">
      <alignment horizontal="center"/>
    </xf>
    <xf numFmtId="164" fontId="34" fillId="0" borderId="10" xfId="1" applyNumberFormat="1" applyFont="1" applyBorder="1"/>
    <xf numFmtId="0" fontId="21" fillId="0" borderId="6" xfId="0" applyFont="1" applyBorder="1"/>
    <xf numFmtId="0" fontId="21" fillId="0" borderId="6" xfId="0" applyFont="1" applyBorder="1" applyAlignment="1">
      <alignment horizontal="center"/>
    </xf>
    <xf numFmtId="0" fontId="17" fillId="0" borderId="10" xfId="0" applyFont="1" applyBorder="1" applyAlignment="1">
      <alignment horizontal="center"/>
    </xf>
    <xf numFmtId="164" fontId="21" fillId="0" borderId="6" xfId="1" applyNumberFormat="1" applyFont="1" applyFill="1" applyBorder="1"/>
    <xf numFmtId="164" fontId="21" fillId="0" borderId="2" xfId="0" applyNumberFormat="1" applyFont="1" applyBorder="1"/>
    <xf numFmtId="0" fontId="17" fillId="0" borderId="2" xfId="0" applyFont="1" applyBorder="1"/>
    <xf numFmtId="0" fontId="17" fillId="0" borderId="7" xfId="0" applyFont="1" applyBorder="1"/>
    <xf numFmtId="0" fontId="17" fillId="0" borderId="2" xfId="0" applyFont="1" applyBorder="1" applyAlignment="1">
      <alignment horizontal="center"/>
    </xf>
    <xf numFmtId="0" fontId="48" fillId="0" borderId="1" xfId="0" applyFont="1" applyBorder="1" applyAlignment="1">
      <alignment horizontal="right"/>
    </xf>
    <xf numFmtId="0" fontId="48" fillId="0" borderId="3" xfId="0" applyFont="1" applyBorder="1" applyAlignment="1">
      <alignment horizontal="right"/>
    </xf>
    <xf numFmtId="0" fontId="48" fillId="0" borderId="4" xfId="0" applyFont="1" applyBorder="1" applyAlignment="1">
      <alignment horizontal="right"/>
    </xf>
    <xf numFmtId="0" fontId="18" fillId="0" borderId="1" xfId="0" applyFont="1" applyBorder="1"/>
    <xf numFmtId="0" fontId="21" fillId="0" borderId="11" xfId="0" applyFont="1" applyBorder="1" applyAlignment="1">
      <alignment horizontal="center"/>
    </xf>
    <xf numFmtId="0" fontId="17" fillId="0" borderId="6" xfId="0" applyFont="1" applyBorder="1" applyAlignment="1">
      <alignment horizontal="center"/>
    </xf>
    <xf numFmtId="0" fontId="17" fillId="0" borderId="9"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5" xfId="0" applyFont="1" applyBorder="1" applyAlignment="1">
      <alignment horizontal="center"/>
    </xf>
    <xf numFmtId="164" fontId="21" fillId="0" borderId="9" xfId="1" applyNumberFormat="1" applyFont="1" applyFill="1" applyBorder="1"/>
    <xf numFmtId="165" fontId="34" fillId="0" borderId="8" xfId="5" applyNumberFormat="1" applyFont="1" applyBorder="1"/>
    <xf numFmtId="0" fontId="17" fillId="0" borderId="7" xfId="0" applyFont="1" applyBorder="1" applyAlignment="1">
      <alignment horizontal="center"/>
    </xf>
    <xf numFmtId="0" fontId="17" fillId="0" borderId="11" xfId="0" applyFont="1" applyBorder="1"/>
    <xf numFmtId="165" fontId="21" fillId="0" borderId="6" xfId="5" applyNumberFormat="1" applyFont="1" applyBorder="1"/>
    <xf numFmtId="165" fontId="21" fillId="0" borderId="10" xfId="5" applyNumberFormat="1" applyFont="1" applyBorder="1"/>
    <xf numFmtId="0" fontId="17" fillId="0" borderId="0" xfId="117" applyFont="1"/>
    <xf numFmtId="0" fontId="33" fillId="2" borderId="0" xfId="0" applyFont="1" applyFill="1"/>
    <xf numFmtId="165" fontId="21" fillId="0" borderId="0" xfId="5" applyNumberFormat="1" applyFont="1" applyBorder="1"/>
    <xf numFmtId="164" fontId="32" fillId="0" borderId="0" xfId="1" applyNumberFormat="1" applyFont="1" applyFill="1"/>
    <xf numFmtId="165" fontId="32" fillId="0" borderId="0" xfId="5" applyNumberFormat="1" applyFont="1" applyFill="1"/>
    <xf numFmtId="166" fontId="34" fillId="0" borderId="0" xfId="5" applyNumberFormat="1" applyFont="1" applyBorder="1"/>
    <xf numFmtId="165" fontId="21" fillId="0" borderId="2" xfId="5" applyNumberFormat="1" applyFont="1" applyBorder="1"/>
    <xf numFmtId="165" fontId="21" fillId="0" borderId="7" xfId="5" applyNumberFormat="1" applyFont="1" applyBorder="1"/>
    <xf numFmtId="0" fontId="41" fillId="0" borderId="8" xfId="0" applyFont="1" applyBorder="1" applyAlignment="1">
      <alignment horizontal="center" wrapText="1"/>
    </xf>
    <xf numFmtId="0" fontId="15" fillId="0" borderId="0" xfId="0" applyFont="1" applyAlignment="1">
      <alignment horizontal="center"/>
    </xf>
    <xf numFmtId="0" fontId="15" fillId="0" borderId="0" xfId="0" applyFont="1"/>
    <xf numFmtId="0" fontId="15" fillId="0" borderId="0" xfId="117" applyFont="1"/>
    <xf numFmtId="0" fontId="15" fillId="0" borderId="7" xfId="0" applyFont="1" applyBorder="1"/>
    <xf numFmtId="0" fontId="15" fillId="0" borderId="11" xfId="0" applyFont="1" applyBorder="1"/>
    <xf numFmtId="0" fontId="17" fillId="0" borderId="9" xfId="0" applyFont="1" applyBorder="1"/>
    <xf numFmtId="164" fontId="34" fillId="0" borderId="10" xfId="1" applyNumberFormat="1" applyFont="1" applyFill="1" applyBorder="1"/>
    <xf numFmtId="165" fontId="34" fillId="0" borderId="10" xfId="5" applyNumberFormat="1" applyFont="1" applyFill="1" applyBorder="1"/>
    <xf numFmtId="0" fontId="14" fillId="0" borderId="0" xfId="0" applyFont="1" applyAlignment="1">
      <alignment horizontal="center"/>
    </xf>
    <xf numFmtId="165" fontId="17" fillId="0" borderId="8" xfId="5" applyNumberFormat="1" applyFont="1" applyFill="1" applyBorder="1"/>
    <xf numFmtId="0" fontId="41" fillId="0" borderId="1" xfId="0" applyFont="1" applyBorder="1" applyAlignment="1">
      <alignment horizontal="left" vertical="center"/>
    </xf>
    <xf numFmtId="0" fontId="15" fillId="0" borderId="10" xfId="0" applyFont="1" applyBorder="1"/>
    <xf numFmtId="0" fontId="15" fillId="0" borderId="12" xfId="0" applyFont="1" applyBorder="1"/>
    <xf numFmtId="0" fontId="41" fillId="0" borderId="2" xfId="0" applyFont="1" applyBorder="1" applyAlignment="1">
      <alignment vertical="center"/>
    </xf>
    <xf numFmtId="0" fontId="34" fillId="0" borderId="0" xfId="0" applyFont="1" applyAlignment="1">
      <alignment horizontal="center"/>
    </xf>
    <xf numFmtId="0" fontId="34" fillId="0" borderId="13" xfId="0" applyFont="1" applyBorder="1" applyAlignment="1">
      <alignment horizontal="center"/>
    </xf>
    <xf numFmtId="0" fontId="21" fillId="0" borderId="7" xfId="0" applyFont="1" applyBorder="1" applyAlignment="1">
      <alignment horizontal="center"/>
    </xf>
    <xf numFmtId="0" fontId="34" fillId="0" borderId="9" xfId="0" applyFont="1" applyBorder="1" applyAlignment="1">
      <alignment horizontal="center"/>
    </xf>
    <xf numFmtId="0" fontId="17" fillId="0" borderId="15" xfId="0" applyFont="1" applyBorder="1"/>
    <xf numFmtId="165" fontId="17" fillId="0" borderId="0" xfId="0" applyNumberFormat="1" applyFont="1" applyAlignment="1">
      <alignment horizontal="center"/>
    </xf>
    <xf numFmtId="165" fontId="38" fillId="0" borderId="0" xfId="0" applyNumberFormat="1" applyFont="1"/>
    <xf numFmtId="165" fontId="17" fillId="0" borderId="9" xfId="0" applyNumberFormat="1" applyFont="1" applyBorder="1" applyAlignment="1">
      <alignment horizontal="center"/>
    </xf>
    <xf numFmtId="164" fontId="34" fillId="0" borderId="9" xfId="1" applyNumberFormat="1" applyFont="1" applyFill="1" applyBorder="1"/>
    <xf numFmtId="164" fontId="34" fillId="0" borderId="7" xfId="1" applyNumberFormat="1" applyFont="1" applyFill="1" applyBorder="1"/>
    <xf numFmtId="165" fontId="21" fillId="0" borderId="0" xfId="5" applyNumberFormat="1" applyFont="1" applyFill="1" applyBorder="1"/>
    <xf numFmtId="0" fontId="21" fillId="0" borderId="13" xfId="0" applyFont="1" applyBorder="1" applyAlignment="1">
      <alignment horizontal="center"/>
    </xf>
    <xf numFmtId="165" fontId="34" fillId="0" borderId="9" xfId="5" applyNumberFormat="1" applyFont="1" applyFill="1" applyBorder="1"/>
    <xf numFmtId="165" fontId="34" fillId="0" borderId="5" xfId="5" applyNumberFormat="1" applyFont="1" applyFill="1" applyBorder="1"/>
    <xf numFmtId="43" fontId="34" fillId="0" borderId="0" xfId="1" applyFont="1" applyBorder="1"/>
    <xf numFmtId="0" fontId="17" fillId="0" borderId="14" xfId="0" applyFont="1" applyBorder="1" applyAlignment="1">
      <alignment horizontal="center"/>
    </xf>
    <xf numFmtId="0" fontId="21" fillId="0" borderId="10" xfId="0" applyFont="1" applyBorder="1" applyAlignment="1">
      <alignment horizontal="center"/>
    </xf>
    <xf numFmtId="0" fontId="21" fillId="0" borderId="12" xfId="0" applyFont="1" applyBorder="1" applyAlignment="1">
      <alignment horizontal="center"/>
    </xf>
    <xf numFmtId="0" fontId="34" fillId="0" borderId="6" xfId="0" applyFont="1" applyBorder="1" applyAlignment="1">
      <alignment horizontal="center"/>
    </xf>
    <xf numFmtId="0" fontId="34" fillId="0" borderId="10" xfId="0" applyFont="1" applyBorder="1" applyAlignment="1">
      <alignment horizontal="center"/>
    </xf>
    <xf numFmtId="0" fontId="34" fillId="0" borderId="12" xfId="0" applyFont="1" applyBorder="1" applyAlignment="1">
      <alignment horizontal="center"/>
    </xf>
    <xf numFmtId="0" fontId="39" fillId="0" borderId="2" xfId="0" applyFont="1" applyBorder="1"/>
    <xf numFmtId="0" fontId="39" fillId="0" borderId="7" xfId="0" applyFont="1" applyBorder="1"/>
    <xf numFmtId="170" fontId="21" fillId="0" borderId="0" xfId="0" applyNumberFormat="1" applyFont="1"/>
    <xf numFmtId="43" fontId="38" fillId="0" borderId="0" xfId="1" applyFont="1"/>
    <xf numFmtId="0" fontId="12" fillId="0" borderId="0" xfId="0" applyFont="1" applyAlignment="1">
      <alignment horizontal="center"/>
    </xf>
    <xf numFmtId="9" fontId="34" fillId="0" borderId="7" xfId="8" applyFont="1" applyFill="1" applyBorder="1"/>
    <xf numFmtId="0" fontId="63" fillId="0" borderId="0" xfId="0" applyFont="1"/>
    <xf numFmtId="0" fontId="17" fillId="0" borderId="15" xfId="0" applyFont="1" applyBorder="1" applyAlignment="1">
      <alignment horizontal="center"/>
    </xf>
    <xf numFmtId="164" fontId="34" fillId="0" borderId="6" xfId="1" applyNumberFormat="1" applyFont="1" applyFill="1" applyBorder="1"/>
    <xf numFmtId="164" fontId="17" fillId="0" borderId="0" xfId="0" applyNumberFormat="1" applyFont="1"/>
    <xf numFmtId="165" fontId="17" fillId="0" borderId="10" xfId="5" applyNumberFormat="1" applyFont="1" applyBorder="1"/>
    <xf numFmtId="165" fontId="17" fillId="0" borderId="0" xfId="5" applyNumberFormat="1" applyFont="1" applyBorder="1"/>
    <xf numFmtId="165" fontId="17" fillId="0" borderId="8" xfId="5" applyNumberFormat="1" applyFont="1" applyBorder="1"/>
    <xf numFmtId="165" fontId="21" fillId="0" borderId="8" xfId="5" applyNumberFormat="1" applyFont="1" applyFill="1" applyBorder="1"/>
    <xf numFmtId="165" fontId="21" fillId="0" borderId="10" xfId="5" applyNumberFormat="1" applyFont="1" applyFill="1" applyBorder="1"/>
    <xf numFmtId="164" fontId="17" fillId="0" borderId="0" xfId="0" applyNumberFormat="1" applyFont="1" applyAlignment="1">
      <alignment horizontal="right"/>
    </xf>
    <xf numFmtId="0" fontId="61" fillId="0" borderId="0" xfId="0" applyFont="1" applyAlignment="1">
      <alignment horizontal="center" vertical="center"/>
    </xf>
    <xf numFmtId="0" fontId="17" fillId="0" borderId="0" xfId="0" applyFont="1" applyAlignment="1">
      <alignment horizontal="left"/>
    </xf>
    <xf numFmtId="0" fontId="17" fillId="0" borderId="10" xfId="0" applyFont="1" applyBorder="1"/>
    <xf numFmtId="165" fontId="17" fillId="0" borderId="0" xfId="0" applyNumberFormat="1" applyFont="1"/>
    <xf numFmtId="0" fontId="17" fillId="5" borderId="0" xfId="0" applyFont="1" applyFill="1"/>
    <xf numFmtId="0" fontId="11" fillId="0" borderId="0" xfId="0" applyFont="1" applyAlignment="1">
      <alignment horizontal="center"/>
    </xf>
    <xf numFmtId="0" fontId="41" fillId="0" borderId="6" xfId="0" applyFont="1" applyBorder="1" applyAlignment="1">
      <alignment vertical="center"/>
    </xf>
    <xf numFmtId="0" fontId="44" fillId="6" borderId="0" xfId="122" applyFont="1" applyFill="1"/>
    <xf numFmtId="0" fontId="44" fillId="7" borderId="0" xfId="122" applyFont="1" applyFill="1"/>
    <xf numFmtId="0" fontId="44" fillId="8" borderId="0" xfId="122" applyFont="1" applyFill="1"/>
    <xf numFmtId="0" fontId="65" fillId="8" borderId="0" xfId="122" applyFont="1" applyFill="1" applyAlignment="1">
      <alignment horizontal="right"/>
    </xf>
    <xf numFmtId="0" fontId="65" fillId="7" borderId="0" xfId="122" applyFont="1" applyFill="1" applyAlignment="1">
      <alignment horizontal="right"/>
    </xf>
    <xf numFmtId="0" fontId="65" fillId="6" borderId="0" xfId="122" applyFont="1" applyFill="1" applyAlignment="1">
      <alignment horizontal="right"/>
    </xf>
    <xf numFmtId="165" fontId="17" fillId="0" borderId="13" xfId="0" applyNumberFormat="1" applyFont="1" applyBorder="1" applyAlignment="1">
      <alignment horizontal="center"/>
    </xf>
    <xf numFmtId="165" fontId="34" fillId="0" borderId="7" xfId="5" applyNumberFormat="1" applyFont="1" applyFill="1" applyBorder="1"/>
    <xf numFmtId="43" fontId="34" fillId="0" borderId="0" xfId="1" applyFont="1" applyFill="1" applyBorder="1"/>
    <xf numFmtId="0" fontId="10" fillId="0" borderId="0" xfId="0" applyFont="1" applyAlignment="1">
      <alignment horizontal="center"/>
    </xf>
    <xf numFmtId="0" fontId="17" fillId="0" borderId="0" xfId="122" applyFont="1" applyAlignment="1">
      <alignment horizontal="right"/>
    </xf>
    <xf numFmtId="0" fontId="18" fillId="0" borderId="0" xfId="122" applyFont="1" applyAlignment="1">
      <alignment horizontal="right"/>
    </xf>
    <xf numFmtId="0" fontId="19" fillId="0" borderId="0" xfId="122" applyAlignment="1">
      <alignment horizontal="center"/>
    </xf>
    <xf numFmtId="0" fontId="49" fillId="0" borderId="0" xfId="122" applyFont="1"/>
    <xf numFmtId="164" fontId="38" fillId="0" borderId="0" xfId="1" applyNumberFormat="1" applyFont="1" applyFill="1"/>
    <xf numFmtId="164" fontId="34" fillId="0" borderId="10" xfId="0" applyNumberFormat="1" applyFont="1" applyBorder="1"/>
    <xf numFmtId="164" fontId="34" fillId="0" borderId="12" xfId="0" applyNumberFormat="1" applyFont="1" applyBorder="1"/>
    <xf numFmtId="164" fontId="34" fillId="0" borderId="13" xfId="0" applyNumberFormat="1" applyFont="1" applyBorder="1"/>
    <xf numFmtId="17" fontId="51" fillId="2" borderId="0" xfId="0" applyNumberFormat="1" applyFont="1" applyFill="1" applyProtection="1">
      <protection locked="0"/>
    </xf>
    <xf numFmtId="0" fontId="66" fillId="2" borderId="0" xfId="0" applyFont="1" applyFill="1" applyAlignment="1">
      <alignment horizontal="center"/>
    </xf>
    <xf numFmtId="166" fontId="34" fillId="0" borderId="0" xfId="5" applyNumberFormat="1" applyFont="1" applyFill="1" applyBorder="1"/>
    <xf numFmtId="0" fontId="9" fillId="0" borderId="0" xfId="0" applyFont="1"/>
    <xf numFmtId="0" fontId="17" fillId="0" borderId="5" xfId="0" applyFont="1" applyBorder="1"/>
    <xf numFmtId="0" fontId="8" fillId="0" borderId="0" xfId="0" applyFont="1" applyAlignment="1">
      <alignment horizontal="center"/>
    </xf>
    <xf numFmtId="0" fontId="17" fillId="0" borderId="6" xfId="0" applyFont="1" applyBorder="1"/>
    <xf numFmtId="0" fontId="17" fillId="0" borderId="11" xfId="0" applyFont="1" applyBorder="1" applyAlignment="1">
      <alignment horizontal="center"/>
    </xf>
    <xf numFmtId="164" fontId="17" fillId="0" borderId="2" xfId="0" applyNumberFormat="1" applyFont="1" applyBorder="1"/>
    <xf numFmtId="164" fontId="17" fillId="0" borderId="7" xfId="0" applyNumberFormat="1" applyFont="1" applyBorder="1"/>
    <xf numFmtId="164" fontId="17" fillId="0" borderId="11" xfId="0" applyNumberFormat="1" applyFont="1" applyBorder="1"/>
    <xf numFmtId="164" fontId="17" fillId="0" borderId="9" xfId="1" applyNumberFormat="1" applyFont="1" applyBorder="1"/>
    <xf numFmtId="165" fontId="17" fillId="0" borderId="2" xfId="5" applyNumberFormat="1" applyFont="1" applyBorder="1"/>
    <xf numFmtId="165" fontId="17" fillId="0" borderId="7" xfId="5" applyNumberFormat="1" applyFont="1" applyBorder="1"/>
    <xf numFmtId="165" fontId="17" fillId="0" borderId="11" xfId="5" applyNumberFormat="1" applyFont="1" applyBorder="1"/>
    <xf numFmtId="165" fontId="17" fillId="0" borderId="10" xfId="5" applyNumberFormat="1" applyFont="1" applyFill="1" applyBorder="1"/>
    <xf numFmtId="165" fontId="17" fillId="0" borderId="0" xfId="5" applyNumberFormat="1" applyFont="1" applyFill="1" applyBorder="1"/>
    <xf numFmtId="165" fontId="17" fillId="0" borderId="9" xfId="5" applyNumberFormat="1" applyFont="1" applyBorder="1"/>
    <xf numFmtId="165" fontId="17" fillId="0" borderId="5" xfId="5" applyNumberFormat="1" applyFont="1" applyBorder="1"/>
    <xf numFmtId="165" fontId="17" fillId="0" borderId="6" xfId="5" applyNumberFormat="1" applyFont="1" applyBorder="1"/>
    <xf numFmtId="0" fontId="11" fillId="0" borderId="0" xfId="0" applyFont="1"/>
    <xf numFmtId="0" fontId="13" fillId="0" borderId="0" xfId="0" applyFont="1" applyAlignment="1">
      <alignment horizontal="center"/>
    </xf>
    <xf numFmtId="164" fontId="21" fillId="0" borderId="8" xfId="1" applyNumberFormat="1" applyFont="1" applyFill="1" applyBorder="1"/>
    <xf numFmtId="0" fontId="8" fillId="0" borderId="0" xfId="0" applyFont="1"/>
    <xf numFmtId="0" fontId="41" fillId="0" borderId="7" xfId="0" applyFont="1" applyBorder="1" applyAlignment="1">
      <alignment vertical="center"/>
    </xf>
    <xf numFmtId="0" fontId="21" fillId="0" borderId="1" xfId="0" applyFont="1" applyBorder="1"/>
    <xf numFmtId="44" fontId="34" fillId="0" borderId="0" xfId="5" applyFont="1" applyBorder="1"/>
    <xf numFmtId="164" fontId="34" fillId="0" borderId="14" xfId="0" applyNumberFormat="1" applyFont="1" applyBorder="1"/>
    <xf numFmtId="0" fontId="17" fillId="0" borderId="2" xfId="0" applyFont="1" applyBorder="1" applyAlignment="1">
      <alignment horizontal="left"/>
    </xf>
    <xf numFmtId="0" fontId="17" fillId="0" borderId="6" xfId="0" applyFont="1" applyBorder="1" applyAlignment="1">
      <alignment horizontal="left"/>
    </xf>
    <xf numFmtId="0" fontId="17" fillId="0" borderId="5" xfId="0" applyFont="1" applyBorder="1" applyAlignment="1">
      <alignment horizontal="left"/>
    </xf>
    <xf numFmtId="0" fontId="17" fillId="0" borderId="4" xfId="0" applyFont="1" applyBorder="1"/>
    <xf numFmtId="20" fontId="8" fillId="0" borderId="0" xfId="0" quotePrefix="1" applyNumberFormat="1" applyFont="1" applyAlignment="1">
      <alignment horizontal="center"/>
    </xf>
    <xf numFmtId="0" fontId="14" fillId="0" borderId="0" xfId="0" quotePrefix="1" applyFont="1" applyAlignment="1">
      <alignment horizontal="center"/>
    </xf>
    <xf numFmtId="0" fontId="8" fillId="0" borderId="0" xfId="0" quotePrefix="1" applyFont="1" applyAlignment="1">
      <alignment horizontal="center"/>
    </xf>
    <xf numFmtId="0" fontId="17" fillId="0" borderId="9" xfId="0" applyFont="1" applyBorder="1" applyAlignment="1">
      <alignment horizontal="left"/>
    </xf>
    <xf numFmtId="44" fontId="38" fillId="0" borderId="0" xfId="0" applyNumberFormat="1" applyFont="1"/>
    <xf numFmtId="165" fontId="38" fillId="0" borderId="0" xfId="5" applyNumberFormat="1" applyFont="1" applyBorder="1"/>
    <xf numFmtId="0" fontId="0" fillId="0" borderId="8" xfId="0" applyBorder="1" applyAlignment="1">
      <alignment horizontal="center"/>
    </xf>
    <xf numFmtId="0" fontId="7" fillId="0" borderId="0" xfId="0" applyFont="1"/>
    <xf numFmtId="164" fontId="17" fillId="0" borderId="6" xfId="0" applyNumberFormat="1" applyFont="1" applyBorder="1"/>
    <xf numFmtId="164" fontId="17" fillId="0" borderId="10" xfId="0" applyNumberFormat="1" applyFont="1" applyBorder="1"/>
    <xf numFmtId="164" fontId="17" fillId="0" borderId="9" xfId="0" applyNumberFormat="1" applyFont="1" applyBorder="1"/>
    <xf numFmtId="164" fontId="17" fillId="0" borderId="9" xfId="0" applyNumberFormat="1" applyFont="1" applyBorder="1" applyAlignment="1">
      <alignment horizontal="right"/>
    </xf>
    <xf numFmtId="164" fontId="17" fillId="0" borderId="5" xfId="0" applyNumberFormat="1" applyFont="1" applyBorder="1"/>
    <xf numFmtId="164" fontId="17" fillId="0" borderId="8" xfId="0" applyNumberFormat="1" applyFont="1" applyBorder="1"/>
    <xf numFmtId="44" fontId="17" fillId="0" borderId="10" xfId="5" applyFont="1" applyBorder="1"/>
    <xf numFmtId="44" fontId="17" fillId="0" borderId="0" xfId="5" applyFont="1" applyBorder="1"/>
    <xf numFmtId="44" fontId="17" fillId="0" borderId="8" xfId="5" applyFont="1" applyBorder="1"/>
    <xf numFmtId="165" fontId="34" fillId="0" borderId="17" xfId="5" applyNumberFormat="1" applyFont="1" applyFill="1" applyBorder="1"/>
    <xf numFmtId="43" fontId="34" fillId="0" borderId="17" xfId="1" applyFont="1" applyFill="1" applyBorder="1"/>
    <xf numFmtId="0" fontId="7" fillId="0" borderId="0" xfId="117" applyFont="1"/>
    <xf numFmtId="0" fontId="39" fillId="0" borderId="2" xfId="0" applyFont="1" applyBorder="1" applyAlignment="1">
      <alignment horizontal="left"/>
    </xf>
    <xf numFmtId="0" fontId="60" fillId="0" borderId="0" xfId="0" applyFont="1"/>
    <xf numFmtId="164" fontId="52" fillId="0" borderId="0" xfId="0" applyNumberFormat="1" applyFont="1"/>
    <xf numFmtId="164" fontId="60" fillId="0" borderId="0" xfId="0" applyNumberFormat="1" applyFont="1"/>
    <xf numFmtId="0" fontId="45" fillId="0" borderId="0" xfId="0" applyFont="1" applyAlignment="1">
      <alignment horizontal="right"/>
    </xf>
    <xf numFmtId="0" fontId="68" fillId="0" borderId="0" xfId="0" applyFont="1" applyAlignment="1">
      <alignment horizontal="right"/>
    </xf>
    <xf numFmtId="164" fontId="68" fillId="0" borderId="0" xfId="0" applyNumberFormat="1" applyFont="1" applyAlignment="1">
      <alignment horizontal="right"/>
    </xf>
    <xf numFmtId="164" fontId="67" fillId="0" borderId="0" xfId="0" applyNumberFormat="1" applyFont="1"/>
    <xf numFmtId="0" fontId="7" fillId="0" borderId="0" xfId="0" quotePrefix="1" applyFont="1" applyAlignment="1">
      <alignment horizontal="center"/>
    </xf>
    <xf numFmtId="0" fontId="7" fillId="0" borderId="0" xfId="0" applyFont="1" applyAlignment="1">
      <alignment horizontal="center"/>
    </xf>
    <xf numFmtId="0" fontId="21" fillId="0" borderId="0" xfId="0" applyFont="1" applyAlignment="1">
      <alignment horizontal="left"/>
    </xf>
    <xf numFmtId="0" fontId="41" fillId="0" borderId="10" xfId="0" applyFont="1" applyBorder="1" applyAlignment="1">
      <alignment horizontal="left" vertical="center"/>
    </xf>
    <xf numFmtId="0" fontId="41" fillId="0" borderId="10" xfId="0" applyFont="1" applyBorder="1" applyAlignment="1">
      <alignment vertical="center"/>
    </xf>
    <xf numFmtId="0" fontId="41" fillId="3" borderId="2" xfId="117" applyFont="1" applyFill="1" applyBorder="1" applyAlignment="1">
      <alignment vertical="center"/>
    </xf>
    <xf numFmtId="0" fontId="41" fillId="3" borderId="7" xfId="117" applyFont="1" applyFill="1" applyBorder="1" applyAlignment="1">
      <alignment vertical="center"/>
    </xf>
    <xf numFmtId="0" fontId="41" fillId="3" borderId="11" xfId="117" applyFont="1" applyFill="1" applyBorder="1" applyAlignment="1">
      <alignment vertical="center"/>
    </xf>
    <xf numFmtId="0" fontId="7" fillId="0" borderId="0" xfId="0" applyFont="1" applyAlignment="1">
      <alignment horizontal="left"/>
    </xf>
    <xf numFmtId="0" fontId="7" fillId="0" borderId="0" xfId="0" applyFont="1" applyAlignment="1">
      <alignment horizontal="right"/>
    </xf>
    <xf numFmtId="0" fontId="34" fillId="0" borderId="7" xfId="0" applyFont="1" applyBorder="1"/>
    <xf numFmtId="0" fontId="34" fillId="0" borderId="7" xfId="0" applyFont="1" applyBorder="1" applyAlignment="1">
      <alignment horizontal="center"/>
    </xf>
    <xf numFmtId="0" fontId="34" fillId="0" borderId="11" xfId="0" applyFont="1" applyBorder="1" applyAlignment="1">
      <alignment horizontal="center"/>
    </xf>
    <xf numFmtId="43" fontId="38" fillId="0" borderId="0" xfId="0" applyNumberFormat="1" applyFont="1"/>
    <xf numFmtId="0" fontId="64" fillId="0" borderId="8" xfId="0" applyFont="1" applyBorder="1" applyAlignment="1">
      <alignment horizontal="right" indent="1"/>
    </xf>
    <xf numFmtId="164" fontId="45" fillId="0" borderId="0" xfId="1" applyNumberFormat="1" applyFont="1"/>
    <xf numFmtId="0" fontId="7" fillId="0" borderId="8" xfId="0" applyFont="1" applyBorder="1"/>
    <xf numFmtId="165" fontId="7" fillId="0" borderId="0" xfId="5" applyNumberFormat="1" applyFont="1"/>
    <xf numFmtId="164" fontId="7" fillId="0" borderId="0" xfId="0" applyNumberFormat="1" applyFont="1" applyAlignment="1">
      <alignment horizontal="right"/>
    </xf>
    <xf numFmtId="164" fontId="7" fillId="0" borderId="0" xfId="0" applyNumberFormat="1" applyFont="1"/>
    <xf numFmtId="0" fontId="31" fillId="0" borderId="2" xfId="0" applyFont="1" applyBorder="1"/>
    <xf numFmtId="0" fontId="31" fillId="0" borderId="11" xfId="0" applyFont="1" applyBorder="1"/>
    <xf numFmtId="165" fontId="45" fillId="0" borderId="0" xfId="5" applyNumberFormat="1" applyFont="1"/>
    <xf numFmtId="165" fontId="45" fillId="0" borderId="0" xfId="5" applyNumberFormat="1" applyFont="1" applyFill="1"/>
    <xf numFmtId="0" fontId="6" fillId="0" borderId="15" xfId="0" applyFont="1" applyBorder="1"/>
    <xf numFmtId="0" fontId="32" fillId="0" borderId="15" xfId="0" applyFont="1" applyBorder="1"/>
    <xf numFmtId="165" fontId="32" fillId="0" borderId="15" xfId="5" applyNumberFormat="1" applyFont="1" applyBorder="1"/>
    <xf numFmtId="0" fontId="61" fillId="0" borderId="0" xfId="0" applyFont="1" applyAlignment="1">
      <alignment horizontal="left" vertical="center"/>
    </xf>
    <xf numFmtId="0" fontId="5" fillId="0" borderId="0" xfId="0" applyFont="1" applyAlignment="1">
      <alignment horizontal="center"/>
    </xf>
    <xf numFmtId="44" fontId="34" fillId="0" borderId="0" xfId="5" applyFont="1" applyFill="1" applyBorder="1"/>
    <xf numFmtId="0" fontId="40" fillId="0" borderId="0" xfId="0" applyFont="1" applyAlignment="1">
      <alignment horizontal="center"/>
    </xf>
    <xf numFmtId="0" fontId="5" fillId="0" borderId="0" xfId="0" quotePrefix="1" applyFont="1" applyAlignment="1">
      <alignment horizontal="center"/>
    </xf>
    <xf numFmtId="0" fontId="5" fillId="0" borderId="0" xfId="0" applyFont="1"/>
    <xf numFmtId="0" fontId="17" fillId="0" borderId="15" xfId="0" applyFont="1" applyBorder="1" applyAlignment="1">
      <alignment horizontal="left"/>
    </xf>
    <xf numFmtId="0" fontId="31" fillId="0" borderId="15" xfId="0" applyFont="1" applyBorder="1" applyAlignment="1">
      <alignment horizontal="left"/>
    </xf>
    <xf numFmtId="0" fontId="17" fillId="0" borderId="1" xfId="0" applyFont="1" applyBorder="1" applyAlignment="1">
      <alignment horizontal="left"/>
    </xf>
    <xf numFmtId="0" fontId="17" fillId="0" borderId="3" xfId="0" applyFont="1" applyBorder="1" applyAlignment="1">
      <alignment horizontal="left"/>
    </xf>
    <xf numFmtId="0" fontId="17" fillId="0" borderId="4" xfId="0" applyFont="1" applyBorder="1" applyAlignment="1">
      <alignment horizontal="left"/>
    </xf>
    <xf numFmtId="0" fontId="39" fillId="0" borderId="15" xfId="0" applyFont="1" applyBorder="1"/>
    <xf numFmtId="164" fontId="34" fillId="0" borderId="6" xfId="0" applyNumberFormat="1" applyFont="1" applyBorder="1"/>
    <xf numFmtId="164" fontId="34" fillId="0" borderId="9" xfId="0" applyNumberFormat="1" applyFont="1" applyBorder="1"/>
    <xf numFmtId="164" fontId="34" fillId="0" borderId="5" xfId="0" applyNumberFormat="1" applyFont="1" applyBorder="1"/>
    <xf numFmtId="166" fontId="17" fillId="0" borderId="9" xfId="5" applyNumberFormat="1" applyFont="1" applyBorder="1"/>
    <xf numFmtId="166" fontId="17" fillId="0" borderId="0" xfId="5" applyNumberFormat="1" applyFont="1" applyBorder="1"/>
    <xf numFmtId="166" fontId="17" fillId="0" borderId="5" xfId="5" applyNumberFormat="1" applyFont="1" applyBorder="1"/>
    <xf numFmtId="166" fontId="17" fillId="0" borderId="8" xfId="5" applyNumberFormat="1" applyFont="1" applyBorder="1"/>
    <xf numFmtId="0" fontId="31" fillId="0" borderId="0" xfId="0" applyFont="1" applyAlignment="1">
      <alignment horizontal="left"/>
    </xf>
    <xf numFmtId="0" fontId="32" fillId="0" borderId="1" xfId="0" applyFont="1" applyBorder="1" applyAlignment="1">
      <alignment horizontal="right"/>
    </xf>
    <xf numFmtId="0" fontId="32" fillId="0" borderId="3" xfId="0" applyFont="1" applyBorder="1" applyAlignment="1">
      <alignment horizontal="right"/>
    </xf>
    <xf numFmtId="0" fontId="7" fillId="0" borderId="2" xfId="0" applyFont="1" applyBorder="1"/>
    <xf numFmtId="0" fontId="7" fillId="0" borderId="7" xfId="0" applyFont="1" applyBorder="1"/>
    <xf numFmtId="0" fontId="7" fillId="0" borderId="11" xfId="0" applyFont="1" applyBorder="1"/>
    <xf numFmtId="164" fontId="7" fillId="0" borderId="6" xfId="0" applyNumberFormat="1" applyFont="1" applyBorder="1"/>
    <xf numFmtId="164" fontId="7" fillId="0" borderId="10" xfId="0" applyNumberFormat="1" applyFont="1" applyBorder="1"/>
    <xf numFmtId="164" fontId="7" fillId="0" borderId="12" xfId="0" applyNumberFormat="1" applyFont="1" applyBorder="1"/>
    <xf numFmtId="164" fontId="7" fillId="0" borderId="9" xfId="0" applyNumberFormat="1" applyFont="1" applyBorder="1"/>
    <xf numFmtId="164" fontId="7" fillId="0" borderId="13" xfId="0" applyNumberFormat="1" applyFont="1" applyBorder="1"/>
    <xf numFmtId="0" fontId="70" fillId="2" borderId="0" xfId="0" applyFont="1" applyFill="1"/>
    <xf numFmtId="0" fontId="34" fillId="0" borderId="20" xfId="0" applyFont="1" applyBorder="1" applyAlignment="1">
      <alignment horizontal="center"/>
    </xf>
    <xf numFmtId="0" fontId="34" fillId="0" borderId="19" xfId="0" applyFont="1" applyBorder="1" applyAlignment="1">
      <alignment horizontal="center"/>
    </xf>
    <xf numFmtId="0" fontId="34" fillId="0" borderId="21" xfId="0" applyFont="1" applyBorder="1" applyAlignment="1">
      <alignment horizontal="center"/>
    </xf>
    <xf numFmtId="164" fontId="34" fillId="0" borderId="19" xfId="1" applyNumberFormat="1" applyFont="1" applyFill="1" applyBorder="1"/>
    <xf numFmtId="0" fontId="17" fillId="0" borderId="16" xfId="0" applyFon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4" fillId="0" borderId="15" xfId="0" applyFont="1" applyBorder="1"/>
    <xf numFmtId="0" fontId="5" fillId="0" borderId="0" xfId="0" applyFont="1" applyAlignment="1">
      <alignment horizontal="right"/>
    </xf>
    <xf numFmtId="0" fontId="4" fillId="0" borderId="3" xfId="0" applyFont="1" applyBorder="1" applyAlignment="1">
      <alignment horizontal="right"/>
    </xf>
    <xf numFmtId="0" fontId="44" fillId="0" borderId="0" xfId="0" applyFont="1"/>
    <xf numFmtId="0" fontId="45" fillId="0" borderId="0" xfId="0" applyFont="1" applyAlignment="1">
      <alignment horizontal="center"/>
    </xf>
    <xf numFmtId="164" fontId="45" fillId="0" borderId="0" xfId="1" applyNumberFormat="1" applyFont="1" applyAlignment="1">
      <alignment horizontal="center"/>
    </xf>
    <xf numFmtId="165" fontId="7" fillId="0" borderId="6" xfId="5" applyNumberFormat="1" applyFont="1" applyBorder="1"/>
    <xf numFmtId="165" fontId="7" fillId="0" borderId="10" xfId="5" applyNumberFormat="1" applyFont="1" applyBorder="1"/>
    <xf numFmtId="165" fontId="7" fillId="0" borderId="12" xfId="5" applyNumberFormat="1" applyFont="1" applyBorder="1"/>
    <xf numFmtId="165" fontId="7" fillId="0" borderId="9" xfId="5" applyNumberFormat="1" applyFont="1" applyBorder="1"/>
    <xf numFmtId="165" fontId="7" fillId="0" borderId="0" xfId="5" applyNumberFormat="1" applyFont="1" applyBorder="1"/>
    <xf numFmtId="165" fontId="7" fillId="0" borderId="13" xfId="5" applyNumberFormat="1" applyFont="1" applyBorder="1"/>
    <xf numFmtId="0" fontId="32" fillId="0" borderId="6" xfId="0" applyFont="1" applyBorder="1" applyAlignment="1">
      <alignment horizontal="right"/>
    </xf>
    <xf numFmtId="0" fontId="4" fillId="0" borderId="9" xfId="0" applyFont="1" applyBorder="1" applyAlignment="1">
      <alignment horizontal="right"/>
    </xf>
    <xf numFmtId="0" fontId="32" fillId="0" borderId="9" xfId="0" applyFont="1" applyBorder="1" applyAlignment="1">
      <alignment horizontal="right"/>
    </xf>
    <xf numFmtId="0" fontId="7" fillId="0" borderId="6" xfId="0" applyFont="1" applyBorder="1"/>
    <xf numFmtId="0" fontId="7" fillId="0" borderId="10" xfId="0" applyFont="1" applyBorder="1"/>
    <xf numFmtId="0" fontId="7" fillId="0" borderId="12" xfId="0" applyFont="1" applyBorder="1"/>
    <xf numFmtId="0" fontId="32" fillId="0" borderId="15" xfId="0" applyFont="1" applyBorder="1" applyAlignment="1">
      <alignment horizontal="right"/>
    </xf>
    <xf numFmtId="164" fontId="7" fillId="0" borderId="0" xfId="1" applyNumberFormat="1" applyFont="1" applyFill="1" applyAlignment="1">
      <alignment horizontal="right"/>
    </xf>
    <xf numFmtId="164" fontId="7" fillId="0" borderId="0" xfId="1" applyNumberFormat="1" applyFont="1" applyFill="1"/>
    <xf numFmtId="164" fontId="7" fillId="0" borderId="19" xfId="1" applyNumberFormat="1" applyFont="1" applyFill="1" applyBorder="1" applyAlignment="1">
      <alignment horizontal="right"/>
    </xf>
    <xf numFmtId="164" fontId="7" fillId="0" borderId="19" xfId="1" applyNumberFormat="1" applyFont="1" applyFill="1" applyBorder="1"/>
    <xf numFmtId="165" fontId="7" fillId="0" borderId="0" xfId="5" applyNumberFormat="1" applyFont="1" applyFill="1"/>
    <xf numFmtId="0" fontId="7" fillId="0" borderId="19" xfId="0" applyFont="1" applyBorder="1" applyAlignment="1">
      <alignment horizontal="right"/>
    </xf>
    <xf numFmtId="165" fontId="7" fillId="0" borderId="19" xfId="5" applyNumberFormat="1" applyFont="1" applyFill="1" applyBorder="1"/>
    <xf numFmtId="0" fontId="3" fillId="0" borderId="2" xfId="0" applyFont="1" applyBorder="1" applyAlignment="1">
      <alignment horizontal="right"/>
    </xf>
    <xf numFmtId="164" fontId="5" fillId="0" borderId="19" xfId="1" applyNumberFormat="1" applyFont="1" applyFill="1" applyBorder="1" applyAlignment="1">
      <alignment horizontal="right"/>
    </xf>
    <xf numFmtId="164" fontId="5" fillId="0" borderId="0" xfId="1" applyNumberFormat="1" applyFont="1" applyFill="1" applyAlignment="1">
      <alignment horizontal="right"/>
    </xf>
    <xf numFmtId="0" fontId="44" fillId="5" borderId="3" xfId="0" applyFont="1" applyFill="1" applyBorder="1" applyAlignment="1">
      <alignment horizontal="left" indent="1"/>
    </xf>
    <xf numFmtId="0" fontId="44" fillId="5" borderId="3" xfId="0" quotePrefix="1" applyFont="1" applyFill="1" applyBorder="1" applyAlignment="1">
      <alignment horizontal="left" indent="1"/>
    </xf>
    <xf numFmtId="0" fontId="33" fillId="5" borderId="22" xfId="0" applyFont="1" applyFill="1" applyBorder="1" applyAlignment="1">
      <alignment horizontal="left" indent="1"/>
    </xf>
    <xf numFmtId="0" fontId="71" fillId="0" borderId="0" xfId="0" applyFont="1" applyAlignment="1">
      <alignment horizontal="left" vertical="center"/>
    </xf>
    <xf numFmtId="17" fontId="29" fillId="2" borderId="0" xfId="0" applyNumberFormat="1" applyFont="1" applyFill="1" applyProtection="1">
      <protection locked="0"/>
    </xf>
    <xf numFmtId="0" fontId="33" fillId="5" borderId="2" xfId="0" applyFont="1" applyFill="1" applyBorder="1" applyAlignment="1">
      <alignment horizontal="left" indent="1"/>
    </xf>
    <xf numFmtId="0" fontId="17" fillId="5" borderId="7" xfId="0" applyFont="1" applyFill="1" applyBorder="1"/>
    <xf numFmtId="0" fontId="17" fillId="5" borderId="11" xfId="0" applyFont="1" applyFill="1" applyBorder="1"/>
    <xf numFmtId="0" fontId="44" fillId="5" borderId="9" xfId="0" applyFont="1" applyFill="1" applyBorder="1" applyAlignment="1">
      <alignment horizontal="left" indent="1"/>
    </xf>
    <xf numFmtId="0" fontId="17" fillId="5" borderId="8" xfId="0" applyFont="1" applyFill="1" applyBorder="1"/>
    <xf numFmtId="0" fontId="65" fillId="9" borderId="0" xfId="129" applyFont="1" applyFill="1" applyAlignment="1">
      <alignment horizontal="left" indent="2"/>
    </xf>
    <xf numFmtId="164" fontId="3" fillId="0" borderId="0" xfId="1" applyNumberFormat="1" applyFont="1" applyFill="1"/>
    <xf numFmtId="164" fontId="32" fillId="0" borderId="0" xfId="1" applyNumberFormat="1" applyFont="1" applyFill="1" applyBorder="1"/>
    <xf numFmtId="20" fontId="5" fillId="0" borderId="0" xfId="0" quotePrefix="1" applyNumberFormat="1" applyFont="1" applyAlignment="1">
      <alignment horizontal="center"/>
    </xf>
    <xf numFmtId="0" fontId="72" fillId="0" borderId="0" xfId="0" applyFont="1" applyAlignment="1">
      <alignment horizontal="right"/>
    </xf>
    <xf numFmtId="0" fontId="64" fillId="0" borderId="0" xfId="0" applyFont="1" applyAlignment="1">
      <alignment horizontal="left"/>
    </xf>
    <xf numFmtId="0" fontId="31" fillId="0" borderId="1" xfId="0" applyFont="1" applyBorder="1"/>
    <xf numFmtId="164" fontId="17" fillId="0" borderId="6" xfId="0" applyNumberFormat="1" applyFont="1" applyBorder="1" applyAlignment="1">
      <alignment horizontal="right"/>
    </xf>
    <xf numFmtId="164" fontId="17" fillId="0" borderId="10" xfId="0" applyNumberFormat="1" applyFont="1" applyBorder="1" applyAlignment="1">
      <alignment horizontal="right"/>
    </xf>
    <xf numFmtId="164" fontId="21" fillId="0" borderId="5" xfId="1" applyNumberFormat="1" applyFont="1" applyFill="1" applyBorder="1"/>
    <xf numFmtId="164" fontId="17" fillId="0" borderId="8" xfId="0" applyNumberFormat="1" applyFont="1" applyBorder="1" applyAlignment="1">
      <alignment horizontal="right"/>
    </xf>
    <xf numFmtId="0" fontId="17" fillId="0" borderId="8" xfId="0" applyFont="1" applyBorder="1" applyAlignment="1">
      <alignment horizontal="left"/>
    </xf>
    <xf numFmtId="166" fontId="17" fillId="0" borderId="0" xfId="5" applyNumberFormat="1" applyFont="1" applyFill="1" applyBorder="1"/>
    <xf numFmtId="164" fontId="21" fillId="0" borderId="23" xfId="1" applyNumberFormat="1" applyFont="1" applyFill="1" applyBorder="1"/>
    <xf numFmtId="0" fontId="3" fillId="0" borderId="3" xfId="0" applyFont="1" applyBorder="1" applyAlignment="1">
      <alignment horizontal="right"/>
    </xf>
    <xf numFmtId="164" fontId="6" fillId="0" borderId="15" xfId="1" applyNumberFormat="1" applyFont="1" applyFill="1" applyBorder="1"/>
    <xf numFmtId="164" fontId="5" fillId="0" borderId="0" xfId="1" applyNumberFormat="1" applyFont="1" applyFill="1" applyBorder="1" applyAlignment="1">
      <alignment horizontal="right"/>
    </xf>
    <xf numFmtId="164" fontId="7" fillId="0" borderId="0" xfId="1" applyNumberFormat="1" applyFont="1" applyFill="1" applyBorder="1"/>
    <xf numFmtId="164" fontId="7" fillId="0" borderId="14" xfId="0" applyNumberFormat="1" applyFont="1" applyBorder="1"/>
    <xf numFmtId="0" fontId="48" fillId="0" borderId="1" xfId="0" applyFont="1" applyBorder="1" applyAlignment="1">
      <alignment horizontal="left"/>
    </xf>
    <xf numFmtId="0" fontId="34" fillId="0" borderId="5" xfId="0" applyFont="1" applyBorder="1" applyAlignment="1">
      <alignment horizontal="center"/>
    </xf>
    <xf numFmtId="0" fontId="34" fillId="0" borderId="8" xfId="0" applyFont="1" applyBorder="1" applyAlignment="1">
      <alignment horizontal="center"/>
    </xf>
    <xf numFmtId="0" fontId="34" fillId="0" borderId="14" xfId="0" applyFont="1" applyBorder="1" applyAlignment="1">
      <alignment horizontal="center"/>
    </xf>
    <xf numFmtId="0" fontId="0" fillId="0" borderId="2" xfId="0" applyBorder="1"/>
    <xf numFmtId="0" fontId="0" fillId="0" borderId="7" xfId="0" applyBorder="1"/>
    <xf numFmtId="0" fontId="21" fillId="10" borderId="7" xfId="0" applyFont="1" applyFill="1" applyBorder="1"/>
    <xf numFmtId="0" fontId="21" fillId="10" borderId="10" xfId="0" applyFont="1" applyFill="1" applyBorder="1"/>
    <xf numFmtId="0" fontId="62" fillId="0" borderId="0" xfId="0" applyFont="1" applyAlignment="1">
      <alignment horizontal="center"/>
    </xf>
    <xf numFmtId="165" fontId="21" fillId="0" borderId="9" xfId="5" applyNumberFormat="1" applyFont="1" applyBorder="1"/>
    <xf numFmtId="165" fontId="21" fillId="0" borderId="9" xfId="5" applyNumberFormat="1" applyFont="1" applyFill="1" applyBorder="1"/>
    <xf numFmtId="165" fontId="21" fillId="0" borderId="5" xfId="5" applyNumberFormat="1" applyFont="1" applyFill="1" applyBorder="1"/>
    <xf numFmtId="0" fontId="44" fillId="5" borderId="4" xfId="0" applyFont="1" applyFill="1" applyBorder="1" applyAlignment="1">
      <alignment horizontal="left" indent="1"/>
    </xf>
    <xf numFmtId="0" fontId="73" fillId="0" borderId="0" xfId="0" applyFont="1"/>
    <xf numFmtId="0" fontId="44" fillId="5" borderId="5" xfId="0" applyFont="1" applyFill="1" applyBorder="1" applyAlignment="1">
      <alignment horizontal="left" indent="1"/>
    </xf>
    <xf numFmtId="43" fontId="34" fillId="0" borderId="8" xfId="1" applyFont="1" applyFill="1" applyBorder="1"/>
    <xf numFmtId="0" fontId="48" fillId="0" borderId="3" xfId="0" applyFont="1" applyBorder="1" applyAlignment="1">
      <alignment horizontal="left"/>
    </xf>
    <xf numFmtId="0" fontId="48" fillId="0" borderId="4" xfId="0" applyFont="1" applyBorder="1" applyAlignment="1">
      <alignment horizontal="left"/>
    </xf>
    <xf numFmtId="0" fontId="7" fillId="0" borderId="8" xfId="0" applyFont="1" applyBorder="1" applyAlignment="1">
      <alignment horizontal="center"/>
    </xf>
    <xf numFmtId="0" fontId="5" fillId="0" borderId="8" xfId="0" applyFont="1" applyBorder="1" applyAlignment="1">
      <alignment horizontal="center"/>
    </xf>
    <xf numFmtId="0" fontId="7" fillId="0" borderId="8" xfId="0" quotePrefix="1" applyFont="1" applyBorder="1" applyAlignment="1">
      <alignment horizontal="center"/>
    </xf>
    <xf numFmtId="0" fontId="5" fillId="0" borderId="8" xfId="0" applyFont="1" applyBorder="1"/>
    <xf numFmtId="0" fontId="62" fillId="0" borderId="8" xfId="0" applyFont="1" applyBorder="1" applyAlignment="1">
      <alignment horizontal="center"/>
    </xf>
    <xf numFmtId="0" fontId="5" fillId="0" borderId="8" xfId="0" quotePrefix="1" applyFont="1" applyBorder="1" applyAlignment="1">
      <alignment horizontal="center"/>
    </xf>
    <xf numFmtId="0" fontId="17" fillId="5" borderId="10" xfId="0" applyFont="1" applyFill="1" applyBorder="1"/>
    <xf numFmtId="0" fontId="44" fillId="5" borderId="9" xfId="0" applyFont="1" applyFill="1" applyBorder="1" applyAlignment="1">
      <alignment horizontal="left" indent="2"/>
    </xf>
    <xf numFmtId="0" fontId="17" fillId="5" borderId="0" xfId="0" applyFont="1" applyFill="1" applyAlignment="1">
      <alignment horizontal="left" indent="1"/>
    </xf>
    <xf numFmtId="0" fontId="44" fillId="5" borderId="9" xfId="0" quotePrefix="1" applyFont="1" applyFill="1" applyBorder="1" applyAlignment="1">
      <alignment horizontal="left" indent="2"/>
    </xf>
    <xf numFmtId="0" fontId="17" fillId="5" borderId="8" xfId="0" applyFont="1" applyFill="1" applyBorder="1" applyAlignment="1">
      <alignment horizontal="left" indent="1"/>
    </xf>
    <xf numFmtId="0" fontId="44" fillId="5" borderId="9" xfId="0" applyFont="1" applyFill="1" applyBorder="1" applyAlignment="1">
      <alignment horizontal="left" indent="3"/>
    </xf>
    <xf numFmtId="0" fontId="44" fillId="5" borderId="5" xfId="0" applyFont="1" applyFill="1" applyBorder="1" applyAlignment="1">
      <alignment horizontal="left" indent="3"/>
    </xf>
    <xf numFmtId="0" fontId="44" fillId="5" borderId="6" xfId="0" applyFont="1" applyFill="1" applyBorder="1" applyAlignment="1">
      <alignment horizontal="left" indent="1"/>
    </xf>
    <xf numFmtId="0" fontId="17" fillId="5" borderId="12" xfId="0" applyFont="1" applyFill="1" applyBorder="1"/>
    <xf numFmtId="0" fontId="17" fillId="5" borderId="13" xfId="0" applyFont="1" applyFill="1" applyBorder="1" applyAlignment="1">
      <alignment horizontal="left" indent="1"/>
    </xf>
    <xf numFmtId="0" fontId="17" fillId="5" borderId="14" xfId="0" applyFont="1" applyFill="1" applyBorder="1" applyAlignment="1">
      <alignment horizontal="left" indent="1"/>
    </xf>
    <xf numFmtId="0" fontId="28" fillId="2" borderId="0" xfId="0" applyFont="1" applyFill="1" applyAlignment="1">
      <alignment horizontal="center"/>
    </xf>
    <xf numFmtId="0" fontId="40" fillId="0" borderId="0" xfId="0" applyFont="1" applyAlignment="1">
      <alignment horizontal="center" vertical="center"/>
    </xf>
    <xf numFmtId="0" fontId="36" fillId="0" borderId="0" xfId="0" applyFont="1" applyAlignment="1">
      <alignment horizontal="center" vertical="center"/>
    </xf>
    <xf numFmtId="0" fontId="42" fillId="0" borderId="0" xfId="0" applyFont="1" applyAlignment="1">
      <alignment horizontal="center" vertical="center"/>
    </xf>
    <xf numFmtId="165" fontId="34" fillId="0" borderId="6" xfId="5" applyNumberFormat="1" applyFont="1" applyFill="1" applyBorder="1"/>
    <xf numFmtId="165" fontId="34" fillId="0" borderId="2" xfId="5" applyNumberFormat="1" applyFont="1" applyFill="1" applyBorder="1"/>
    <xf numFmtId="0" fontId="0" fillId="0" borderId="10" xfId="0" applyBorder="1"/>
    <xf numFmtId="0" fontId="0" fillId="0" borderId="10" xfId="0" applyBorder="1" applyAlignment="1">
      <alignment horizontal="center"/>
    </xf>
    <xf numFmtId="0" fontId="0" fillId="0" borderId="6" xfId="0" applyBorder="1"/>
    <xf numFmtId="0" fontId="0" fillId="0" borderId="5" xfId="0" applyBorder="1"/>
    <xf numFmtId="165" fontId="0" fillId="0" borderId="5" xfId="0" applyNumberFormat="1" applyBorder="1"/>
    <xf numFmtId="165" fontId="0" fillId="0" borderId="8" xfId="0" applyNumberFormat="1" applyBorder="1"/>
    <xf numFmtId="166" fontId="34" fillId="0" borderId="17" xfId="5" applyNumberFormat="1" applyFont="1" applyFill="1" applyBorder="1"/>
    <xf numFmtId="166" fontId="21" fillId="0" borderId="10" xfId="5" applyNumberFormat="1" applyFont="1" applyBorder="1"/>
    <xf numFmtId="166" fontId="21" fillId="0" borderId="0" xfId="5" applyNumberFormat="1" applyFont="1" applyBorder="1"/>
    <xf numFmtId="166" fontId="21" fillId="0" borderId="0" xfId="5" applyNumberFormat="1" applyFont="1" applyFill="1" applyBorder="1"/>
    <xf numFmtId="166" fontId="21" fillId="0" borderId="8" xfId="5" applyNumberFormat="1" applyFont="1" applyFill="1" applyBorder="1"/>
    <xf numFmtId="44" fontId="17" fillId="0" borderId="0" xfId="0" applyNumberFormat="1" applyFont="1"/>
    <xf numFmtId="0" fontId="5" fillId="0" borderId="0" xfId="0" applyFont="1" applyAlignment="1">
      <alignment horizontal="left"/>
    </xf>
    <xf numFmtId="165" fontId="17" fillId="0" borderId="6" xfId="5" applyNumberFormat="1" applyFont="1" applyFill="1" applyBorder="1"/>
    <xf numFmtId="165" fontId="17" fillId="0" borderId="9" xfId="5" applyNumberFormat="1" applyFont="1" applyFill="1" applyBorder="1"/>
    <xf numFmtId="164" fontId="38" fillId="0" borderId="3" xfId="0" applyNumberFormat="1" applyFont="1" applyBorder="1"/>
    <xf numFmtId="0" fontId="17" fillId="0" borderId="9" xfId="0" applyFont="1" applyBorder="1" applyAlignment="1">
      <alignment horizontal="left" indent="2"/>
    </xf>
    <xf numFmtId="0" fontId="17" fillId="0" borderId="9" xfId="0" applyFont="1" applyBorder="1" applyAlignment="1">
      <alignment horizontal="left" indent="3"/>
    </xf>
    <xf numFmtId="43" fontId="34" fillId="0" borderId="10" xfId="1" applyFont="1" applyFill="1" applyBorder="1"/>
    <xf numFmtId="0" fontId="17" fillId="0" borderId="5" xfId="0" applyFont="1" applyBorder="1" applyAlignment="1">
      <alignment horizontal="left" indent="3"/>
    </xf>
    <xf numFmtId="0" fontId="17" fillId="0" borderId="6" xfId="0" applyFont="1" applyBorder="1" applyAlignment="1">
      <alignment horizontal="left" indent="3"/>
    </xf>
    <xf numFmtId="0" fontId="34" fillId="0" borderId="5" xfId="0" applyFont="1" applyBorder="1" applyAlignment="1">
      <alignment horizontal="left" indent="3"/>
    </xf>
    <xf numFmtId="0" fontId="34" fillId="0" borderId="6" xfId="0" applyFont="1" applyBorder="1" applyAlignment="1">
      <alignment horizontal="left" indent="3"/>
    </xf>
    <xf numFmtId="0" fontId="34" fillId="0" borderId="9" xfId="0" applyFont="1" applyBorder="1" applyAlignment="1">
      <alignment horizontal="left" indent="3"/>
    </xf>
    <xf numFmtId="165" fontId="0" fillId="0" borderId="6" xfId="0" applyNumberFormat="1" applyBorder="1"/>
    <xf numFmtId="165" fontId="0" fillId="0" borderId="10" xfId="0" applyNumberFormat="1" applyBorder="1"/>
    <xf numFmtId="165" fontId="45" fillId="0" borderId="0" xfId="5" applyNumberFormat="1" applyFont="1" applyAlignment="1">
      <alignment horizontal="center"/>
    </xf>
    <xf numFmtId="164" fontId="7" fillId="0" borderId="5" xfId="0" applyNumberFormat="1" applyFont="1" applyBorder="1"/>
    <xf numFmtId="164" fontId="7" fillId="0" borderId="8" xfId="0" applyNumberFormat="1" applyFont="1" applyBorder="1"/>
    <xf numFmtId="0" fontId="74" fillId="0" borderId="0" xfId="0" applyFont="1" applyAlignment="1">
      <alignment horizontal="left" vertical="center" readingOrder="1"/>
    </xf>
    <xf numFmtId="0" fontId="5" fillId="0" borderId="19" xfId="0" applyFont="1" applyBorder="1" applyAlignment="1">
      <alignment horizontal="right"/>
    </xf>
    <xf numFmtId="164" fontId="17" fillId="0" borderId="13" xfId="1" applyNumberFormat="1" applyFont="1" applyBorder="1"/>
    <xf numFmtId="0" fontId="17" fillId="0" borderId="3" xfId="0" applyFont="1" applyBorder="1"/>
    <xf numFmtId="0" fontId="76" fillId="2" borderId="0" xfId="0" applyFont="1" applyFill="1"/>
    <xf numFmtId="0" fontId="24" fillId="2" borderId="0" xfId="0" applyFont="1" applyFill="1" applyAlignment="1">
      <alignment horizontal="left" vertical="center" wrapText="1"/>
    </xf>
    <xf numFmtId="0" fontId="15" fillId="0" borderId="7" xfId="117" applyFont="1" applyBorder="1" applyAlignment="1">
      <alignment horizontal="left" vertical="center" wrapText="1"/>
    </xf>
    <xf numFmtId="0" fontId="15" fillId="0" borderId="11" xfId="117" applyFont="1" applyBorder="1" applyAlignment="1">
      <alignment horizontal="left" vertical="center" wrapText="1"/>
    </xf>
    <xf numFmtId="0" fontId="41" fillId="3" borderId="2" xfId="117" applyFont="1" applyFill="1" applyBorder="1" applyAlignment="1">
      <alignment horizontal="center" vertical="center"/>
    </xf>
    <xf numFmtId="0" fontId="41" fillId="3" borderId="11" xfId="117" applyFont="1" applyFill="1" applyBorder="1" applyAlignment="1">
      <alignment horizontal="center" vertical="center"/>
    </xf>
    <xf numFmtId="0" fontId="5" fillId="0" borderId="2" xfId="117" applyFont="1" applyBorder="1" applyAlignment="1">
      <alignment horizontal="left" vertical="center" wrapText="1"/>
    </xf>
    <xf numFmtId="0" fontId="5" fillId="0" borderId="7" xfId="117" applyFont="1" applyBorder="1" applyAlignment="1">
      <alignment horizontal="left" vertical="center" wrapText="1"/>
    </xf>
    <xf numFmtId="0" fontId="24" fillId="2" borderId="0" xfId="0" applyFont="1" applyFill="1" applyAlignment="1" applyProtection="1">
      <alignment wrapText="1"/>
      <protection locked="0"/>
    </xf>
    <xf numFmtId="0" fontId="24" fillId="0" borderId="0" xfId="0" applyFont="1" applyAlignment="1">
      <alignment wrapText="1"/>
    </xf>
    <xf numFmtId="0" fontId="50" fillId="4" borderId="2" xfId="122" applyFont="1" applyFill="1" applyBorder="1" applyAlignment="1">
      <alignment horizontal="center"/>
    </xf>
    <xf numFmtId="0" fontId="50" fillId="4" borderId="7" xfId="122" applyFont="1" applyFill="1" applyBorder="1" applyAlignment="1">
      <alignment horizontal="center"/>
    </xf>
    <xf numFmtId="0" fontId="50" fillId="4" borderId="11" xfId="122" applyFont="1" applyFill="1" applyBorder="1" applyAlignment="1">
      <alignment horizontal="center"/>
    </xf>
    <xf numFmtId="0" fontId="7" fillId="0" borderId="5" xfId="0" applyFont="1" applyBorder="1" applyAlignment="1">
      <alignment horizontal="left"/>
    </xf>
    <xf numFmtId="0" fontId="7" fillId="0" borderId="8" xfId="0" applyFont="1" applyBorder="1" applyAlignment="1">
      <alignment horizontal="left"/>
    </xf>
    <xf numFmtId="0" fontId="7" fillId="0" borderId="14" xfId="0" applyFont="1" applyBorder="1" applyAlignment="1">
      <alignment horizontal="left"/>
    </xf>
    <xf numFmtId="0" fontId="7" fillId="0" borderId="2" xfId="0" applyFont="1" applyBorder="1" applyAlignment="1">
      <alignment horizontal="left"/>
    </xf>
    <xf numFmtId="0" fontId="7" fillId="0" borderId="7" xfId="0" applyFont="1" applyBorder="1" applyAlignment="1">
      <alignment horizontal="left"/>
    </xf>
    <xf numFmtId="0" fontId="7" fillId="0" borderId="11" xfId="0" applyFont="1" applyBorder="1" applyAlignment="1">
      <alignment horizontal="left"/>
    </xf>
    <xf numFmtId="0" fontId="41" fillId="10" borderId="2" xfId="0" applyFont="1" applyFill="1" applyBorder="1" applyAlignment="1">
      <alignment horizontal="left"/>
    </xf>
    <xf numFmtId="0" fontId="41" fillId="10" borderId="7" xfId="0" applyFont="1" applyFill="1" applyBorder="1" applyAlignment="1">
      <alignment horizontal="left"/>
    </xf>
    <xf numFmtId="0" fontId="41" fillId="10" borderId="11" xfId="0" applyFont="1" applyFill="1" applyBorder="1" applyAlignment="1">
      <alignment horizontal="left"/>
    </xf>
    <xf numFmtId="0" fontId="7" fillId="0" borderId="6" xfId="0" applyFont="1" applyBorder="1" applyAlignment="1">
      <alignment horizontal="left"/>
    </xf>
    <xf numFmtId="0" fontId="7" fillId="0" borderId="10" xfId="0" applyFont="1" applyBorder="1" applyAlignment="1">
      <alignment horizontal="left"/>
    </xf>
    <xf numFmtId="0" fontId="7" fillId="0" borderId="12"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7" fillId="0" borderId="13" xfId="0" applyFont="1" applyBorder="1" applyAlignment="1">
      <alignment horizontal="left"/>
    </xf>
    <xf numFmtId="0" fontId="5" fillId="0" borderId="5" xfId="0" applyFont="1" applyBorder="1" applyAlignment="1">
      <alignment horizontal="left"/>
    </xf>
  </cellXfs>
  <cellStyles count="411">
    <cellStyle name="%" xfId="130" xr:uid="{00000000-0005-0000-0000-000000000000}"/>
    <cellStyle name="Comma" xfId="1" builtinId="3"/>
    <cellStyle name="Comma 2" xfId="2" xr:uid="{00000000-0005-0000-0000-000002000000}"/>
    <cellStyle name="Comma 2 2" xfId="126" xr:uid="{00000000-0005-0000-0000-000003000000}"/>
    <cellStyle name="Comma 3" xfId="3" xr:uid="{00000000-0005-0000-0000-000004000000}"/>
    <cellStyle name="Comma 3 2" xfId="127" xr:uid="{00000000-0005-0000-0000-000005000000}"/>
    <cellStyle name="Comma 4" xfId="4" xr:uid="{00000000-0005-0000-0000-000006000000}"/>
    <cellStyle name="Comma 5" xfId="118" xr:uid="{00000000-0005-0000-0000-000007000000}"/>
    <cellStyle name="Comma 5 2" xfId="123" xr:uid="{00000000-0005-0000-0000-000008000000}"/>
    <cellStyle name="Comma 5 2 2" xfId="131" xr:uid="{00000000-0005-0000-0000-000009000000}"/>
    <cellStyle name="Comma 5 3" xfId="132" xr:uid="{00000000-0005-0000-0000-00000A000000}"/>
    <cellStyle name="Comma 6" xfId="121" xr:uid="{00000000-0005-0000-0000-00000B000000}"/>
    <cellStyle name="Comma 7" xfId="133" xr:uid="{00000000-0005-0000-0000-00000C000000}"/>
    <cellStyle name="Comma 8" xfId="134" xr:uid="{00000000-0005-0000-0000-00000D000000}"/>
    <cellStyle name="Comma 9" xfId="405" xr:uid="{00000000-0005-0000-0000-00000E000000}"/>
    <cellStyle name="Comma 9 2" xfId="408" xr:uid="{00000000-0005-0000-0000-00000F000000}"/>
    <cellStyle name="Currency" xfId="5" builtinId="4"/>
    <cellStyle name="Currency 2" xfId="6" xr:uid="{00000000-0005-0000-0000-000011000000}"/>
    <cellStyle name="Currency 2 10" xfId="135" xr:uid="{00000000-0005-0000-0000-000012000000}"/>
    <cellStyle name="Currency 2 100" xfId="136" xr:uid="{00000000-0005-0000-0000-000013000000}"/>
    <cellStyle name="Currency 2 101" xfId="137" xr:uid="{00000000-0005-0000-0000-000014000000}"/>
    <cellStyle name="Currency 2 102" xfId="138" xr:uid="{00000000-0005-0000-0000-000015000000}"/>
    <cellStyle name="Currency 2 103" xfId="139" xr:uid="{00000000-0005-0000-0000-000016000000}"/>
    <cellStyle name="Currency 2 104" xfId="140" xr:uid="{00000000-0005-0000-0000-000017000000}"/>
    <cellStyle name="Currency 2 105" xfId="141" xr:uid="{00000000-0005-0000-0000-000018000000}"/>
    <cellStyle name="Currency 2 106" xfId="142" xr:uid="{00000000-0005-0000-0000-000019000000}"/>
    <cellStyle name="Currency 2 107" xfId="143" xr:uid="{00000000-0005-0000-0000-00001A000000}"/>
    <cellStyle name="Currency 2 108" xfId="144" xr:uid="{00000000-0005-0000-0000-00001B000000}"/>
    <cellStyle name="Currency 2 109" xfId="145" xr:uid="{00000000-0005-0000-0000-00001C000000}"/>
    <cellStyle name="Currency 2 11" xfId="146" xr:uid="{00000000-0005-0000-0000-00001D000000}"/>
    <cellStyle name="Currency 2 110" xfId="147" xr:uid="{00000000-0005-0000-0000-00001E000000}"/>
    <cellStyle name="Currency 2 111" xfId="148" xr:uid="{00000000-0005-0000-0000-00001F000000}"/>
    <cellStyle name="Currency 2 112" xfId="149" xr:uid="{00000000-0005-0000-0000-000020000000}"/>
    <cellStyle name="Currency 2 113" xfId="150" xr:uid="{00000000-0005-0000-0000-000021000000}"/>
    <cellStyle name="Currency 2 114" xfId="151" xr:uid="{00000000-0005-0000-0000-000022000000}"/>
    <cellStyle name="Currency 2 115" xfId="152" xr:uid="{00000000-0005-0000-0000-000023000000}"/>
    <cellStyle name="Currency 2 116" xfId="153" xr:uid="{00000000-0005-0000-0000-000024000000}"/>
    <cellStyle name="Currency 2 117" xfId="154" xr:uid="{00000000-0005-0000-0000-000025000000}"/>
    <cellStyle name="Currency 2 118" xfId="155" xr:uid="{00000000-0005-0000-0000-000026000000}"/>
    <cellStyle name="Currency 2 119" xfId="156" xr:uid="{00000000-0005-0000-0000-000027000000}"/>
    <cellStyle name="Currency 2 12" xfId="157" xr:uid="{00000000-0005-0000-0000-000028000000}"/>
    <cellStyle name="Currency 2 120" xfId="158" xr:uid="{00000000-0005-0000-0000-000029000000}"/>
    <cellStyle name="Currency 2 121" xfId="159" xr:uid="{00000000-0005-0000-0000-00002A000000}"/>
    <cellStyle name="Currency 2 122" xfId="160" xr:uid="{00000000-0005-0000-0000-00002B000000}"/>
    <cellStyle name="Currency 2 123" xfId="161" xr:uid="{00000000-0005-0000-0000-00002C000000}"/>
    <cellStyle name="Currency 2 124" xfId="162" xr:uid="{00000000-0005-0000-0000-00002D000000}"/>
    <cellStyle name="Currency 2 125" xfId="163" xr:uid="{00000000-0005-0000-0000-00002E000000}"/>
    <cellStyle name="Currency 2 126" xfId="164" xr:uid="{00000000-0005-0000-0000-00002F000000}"/>
    <cellStyle name="Currency 2 127" xfId="165" xr:uid="{00000000-0005-0000-0000-000030000000}"/>
    <cellStyle name="Currency 2 128" xfId="166" xr:uid="{00000000-0005-0000-0000-000031000000}"/>
    <cellStyle name="Currency 2 129" xfId="167" xr:uid="{00000000-0005-0000-0000-000032000000}"/>
    <cellStyle name="Currency 2 13" xfId="168" xr:uid="{00000000-0005-0000-0000-000033000000}"/>
    <cellStyle name="Currency 2 130" xfId="169" xr:uid="{00000000-0005-0000-0000-000034000000}"/>
    <cellStyle name="Currency 2 131" xfId="170" xr:uid="{00000000-0005-0000-0000-000035000000}"/>
    <cellStyle name="Currency 2 132" xfId="171" xr:uid="{00000000-0005-0000-0000-000036000000}"/>
    <cellStyle name="Currency 2 133" xfId="172" xr:uid="{00000000-0005-0000-0000-000037000000}"/>
    <cellStyle name="Currency 2 134" xfId="173" xr:uid="{00000000-0005-0000-0000-000038000000}"/>
    <cellStyle name="Currency 2 135" xfId="174" xr:uid="{00000000-0005-0000-0000-000039000000}"/>
    <cellStyle name="Currency 2 136" xfId="175" xr:uid="{00000000-0005-0000-0000-00003A000000}"/>
    <cellStyle name="Currency 2 137" xfId="176" xr:uid="{00000000-0005-0000-0000-00003B000000}"/>
    <cellStyle name="Currency 2 138" xfId="177" xr:uid="{00000000-0005-0000-0000-00003C000000}"/>
    <cellStyle name="Currency 2 139" xfId="178" xr:uid="{00000000-0005-0000-0000-00003D000000}"/>
    <cellStyle name="Currency 2 14" xfId="179" xr:uid="{00000000-0005-0000-0000-00003E000000}"/>
    <cellStyle name="Currency 2 140" xfId="180" xr:uid="{00000000-0005-0000-0000-00003F000000}"/>
    <cellStyle name="Currency 2 141" xfId="181" xr:uid="{00000000-0005-0000-0000-000040000000}"/>
    <cellStyle name="Currency 2 142" xfId="182" xr:uid="{00000000-0005-0000-0000-000041000000}"/>
    <cellStyle name="Currency 2 143" xfId="183" xr:uid="{00000000-0005-0000-0000-000042000000}"/>
    <cellStyle name="Currency 2 144" xfId="184" xr:uid="{00000000-0005-0000-0000-000043000000}"/>
    <cellStyle name="Currency 2 145" xfId="185" xr:uid="{00000000-0005-0000-0000-000044000000}"/>
    <cellStyle name="Currency 2 146" xfId="186" xr:uid="{00000000-0005-0000-0000-000045000000}"/>
    <cellStyle name="Currency 2 147" xfId="187" xr:uid="{00000000-0005-0000-0000-000046000000}"/>
    <cellStyle name="Currency 2 148" xfId="188" xr:uid="{00000000-0005-0000-0000-000047000000}"/>
    <cellStyle name="Currency 2 149" xfId="189" xr:uid="{00000000-0005-0000-0000-000048000000}"/>
    <cellStyle name="Currency 2 15" xfId="190" xr:uid="{00000000-0005-0000-0000-000049000000}"/>
    <cellStyle name="Currency 2 150" xfId="191" xr:uid="{00000000-0005-0000-0000-00004A000000}"/>
    <cellStyle name="Currency 2 151" xfId="192" xr:uid="{00000000-0005-0000-0000-00004B000000}"/>
    <cellStyle name="Currency 2 152" xfId="193" xr:uid="{00000000-0005-0000-0000-00004C000000}"/>
    <cellStyle name="Currency 2 153" xfId="194" xr:uid="{00000000-0005-0000-0000-00004D000000}"/>
    <cellStyle name="Currency 2 154" xfId="195" xr:uid="{00000000-0005-0000-0000-00004E000000}"/>
    <cellStyle name="Currency 2 155" xfId="196" xr:uid="{00000000-0005-0000-0000-00004F000000}"/>
    <cellStyle name="Currency 2 156" xfId="197" xr:uid="{00000000-0005-0000-0000-000050000000}"/>
    <cellStyle name="Currency 2 157" xfId="198" xr:uid="{00000000-0005-0000-0000-000051000000}"/>
    <cellStyle name="Currency 2 158" xfId="199" xr:uid="{00000000-0005-0000-0000-000052000000}"/>
    <cellStyle name="Currency 2 159" xfId="200" xr:uid="{00000000-0005-0000-0000-000053000000}"/>
    <cellStyle name="Currency 2 16" xfId="201" xr:uid="{00000000-0005-0000-0000-000054000000}"/>
    <cellStyle name="Currency 2 160" xfId="202" xr:uid="{00000000-0005-0000-0000-000055000000}"/>
    <cellStyle name="Currency 2 161" xfId="203" xr:uid="{00000000-0005-0000-0000-000056000000}"/>
    <cellStyle name="Currency 2 162" xfId="204" xr:uid="{00000000-0005-0000-0000-000057000000}"/>
    <cellStyle name="Currency 2 163" xfId="205" xr:uid="{00000000-0005-0000-0000-000058000000}"/>
    <cellStyle name="Currency 2 164" xfId="206" xr:uid="{00000000-0005-0000-0000-000059000000}"/>
    <cellStyle name="Currency 2 165" xfId="207" xr:uid="{00000000-0005-0000-0000-00005A000000}"/>
    <cellStyle name="Currency 2 166" xfId="208" xr:uid="{00000000-0005-0000-0000-00005B000000}"/>
    <cellStyle name="Currency 2 167" xfId="209" xr:uid="{00000000-0005-0000-0000-00005C000000}"/>
    <cellStyle name="Currency 2 168" xfId="210" xr:uid="{00000000-0005-0000-0000-00005D000000}"/>
    <cellStyle name="Currency 2 169" xfId="211" xr:uid="{00000000-0005-0000-0000-00005E000000}"/>
    <cellStyle name="Currency 2 17" xfId="212" xr:uid="{00000000-0005-0000-0000-00005F000000}"/>
    <cellStyle name="Currency 2 170" xfId="213" xr:uid="{00000000-0005-0000-0000-000060000000}"/>
    <cellStyle name="Currency 2 171" xfId="214" xr:uid="{00000000-0005-0000-0000-000061000000}"/>
    <cellStyle name="Currency 2 172" xfId="215" xr:uid="{00000000-0005-0000-0000-000062000000}"/>
    <cellStyle name="Currency 2 173" xfId="216" xr:uid="{00000000-0005-0000-0000-000063000000}"/>
    <cellStyle name="Currency 2 174" xfId="217" xr:uid="{00000000-0005-0000-0000-000064000000}"/>
    <cellStyle name="Currency 2 175" xfId="218" xr:uid="{00000000-0005-0000-0000-000065000000}"/>
    <cellStyle name="Currency 2 176" xfId="219" xr:uid="{00000000-0005-0000-0000-000066000000}"/>
    <cellStyle name="Currency 2 177" xfId="220" xr:uid="{00000000-0005-0000-0000-000067000000}"/>
    <cellStyle name="Currency 2 178" xfId="221" xr:uid="{00000000-0005-0000-0000-000068000000}"/>
    <cellStyle name="Currency 2 179" xfId="222" xr:uid="{00000000-0005-0000-0000-000069000000}"/>
    <cellStyle name="Currency 2 18" xfId="223" xr:uid="{00000000-0005-0000-0000-00006A000000}"/>
    <cellStyle name="Currency 2 180" xfId="224" xr:uid="{00000000-0005-0000-0000-00006B000000}"/>
    <cellStyle name="Currency 2 181" xfId="225" xr:uid="{00000000-0005-0000-0000-00006C000000}"/>
    <cellStyle name="Currency 2 182" xfId="226" xr:uid="{00000000-0005-0000-0000-00006D000000}"/>
    <cellStyle name="Currency 2 183" xfId="227" xr:uid="{00000000-0005-0000-0000-00006E000000}"/>
    <cellStyle name="Currency 2 184" xfId="228" xr:uid="{00000000-0005-0000-0000-00006F000000}"/>
    <cellStyle name="Currency 2 185" xfId="229" xr:uid="{00000000-0005-0000-0000-000070000000}"/>
    <cellStyle name="Currency 2 186" xfId="230" xr:uid="{00000000-0005-0000-0000-000071000000}"/>
    <cellStyle name="Currency 2 187" xfId="231" xr:uid="{00000000-0005-0000-0000-000072000000}"/>
    <cellStyle name="Currency 2 188" xfId="232" xr:uid="{00000000-0005-0000-0000-000073000000}"/>
    <cellStyle name="Currency 2 189" xfId="233" xr:uid="{00000000-0005-0000-0000-000074000000}"/>
    <cellStyle name="Currency 2 19" xfId="234" xr:uid="{00000000-0005-0000-0000-000075000000}"/>
    <cellStyle name="Currency 2 190" xfId="235" xr:uid="{00000000-0005-0000-0000-000076000000}"/>
    <cellStyle name="Currency 2 191" xfId="236" xr:uid="{00000000-0005-0000-0000-000077000000}"/>
    <cellStyle name="Currency 2 192" xfId="237" xr:uid="{00000000-0005-0000-0000-000078000000}"/>
    <cellStyle name="Currency 2 193" xfId="238" xr:uid="{00000000-0005-0000-0000-000079000000}"/>
    <cellStyle name="Currency 2 194" xfId="239" xr:uid="{00000000-0005-0000-0000-00007A000000}"/>
    <cellStyle name="Currency 2 195" xfId="240" xr:uid="{00000000-0005-0000-0000-00007B000000}"/>
    <cellStyle name="Currency 2 196" xfId="241" xr:uid="{00000000-0005-0000-0000-00007C000000}"/>
    <cellStyle name="Currency 2 197" xfId="242" xr:uid="{00000000-0005-0000-0000-00007D000000}"/>
    <cellStyle name="Currency 2 198" xfId="243" xr:uid="{00000000-0005-0000-0000-00007E000000}"/>
    <cellStyle name="Currency 2 199" xfId="244" xr:uid="{00000000-0005-0000-0000-00007F000000}"/>
    <cellStyle name="Currency 2 2" xfId="245" xr:uid="{00000000-0005-0000-0000-000080000000}"/>
    <cellStyle name="Currency 2 20" xfId="246" xr:uid="{00000000-0005-0000-0000-000081000000}"/>
    <cellStyle name="Currency 2 200" xfId="247" xr:uid="{00000000-0005-0000-0000-000082000000}"/>
    <cellStyle name="Currency 2 201" xfId="248" xr:uid="{00000000-0005-0000-0000-000083000000}"/>
    <cellStyle name="Currency 2 202" xfId="249" xr:uid="{00000000-0005-0000-0000-000084000000}"/>
    <cellStyle name="Currency 2 203" xfId="250" xr:uid="{00000000-0005-0000-0000-000085000000}"/>
    <cellStyle name="Currency 2 204" xfId="251" xr:uid="{00000000-0005-0000-0000-000086000000}"/>
    <cellStyle name="Currency 2 205" xfId="252" xr:uid="{00000000-0005-0000-0000-000087000000}"/>
    <cellStyle name="Currency 2 206" xfId="253" xr:uid="{00000000-0005-0000-0000-000088000000}"/>
    <cellStyle name="Currency 2 207" xfId="254" xr:uid="{00000000-0005-0000-0000-000089000000}"/>
    <cellStyle name="Currency 2 208" xfId="255" xr:uid="{00000000-0005-0000-0000-00008A000000}"/>
    <cellStyle name="Currency 2 209" xfId="256" xr:uid="{00000000-0005-0000-0000-00008B000000}"/>
    <cellStyle name="Currency 2 21" xfId="257" xr:uid="{00000000-0005-0000-0000-00008C000000}"/>
    <cellStyle name="Currency 2 210" xfId="258" xr:uid="{00000000-0005-0000-0000-00008D000000}"/>
    <cellStyle name="Currency 2 211" xfId="259" xr:uid="{00000000-0005-0000-0000-00008E000000}"/>
    <cellStyle name="Currency 2 212" xfId="260" xr:uid="{00000000-0005-0000-0000-00008F000000}"/>
    <cellStyle name="Currency 2 213" xfId="261" xr:uid="{00000000-0005-0000-0000-000090000000}"/>
    <cellStyle name="Currency 2 214" xfId="262" xr:uid="{00000000-0005-0000-0000-000091000000}"/>
    <cellStyle name="Currency 2 215" xfId="263" xr:uid="{00000000-0005-0000-0000-000092000000}"/>
    <cellStyle name="Currency 2 216" xfId="264" xr:uid="{00000000-0005-0000-0000-000093000000}"/>
    <cellStyle name="Currency 2 217" xfId="265" xr:uid="{00000000-0005-0000-0000-000094000000}"/>
    <cellStyle name="Currency 2 218" xfId="266" xr:uid="{00000000-0005-0000-0000-000095000000}"/>
    <cellStyle name="Currency 2 219" xfId="267" xr:uid="{00000000-0005-0000-0000-000096000000}"/>
    <cellStyle name="Currency 2 22" xfId="268" xr:uid="{00000000-0005-0000-0000-000097000000}"/>
    <cellStyle name="Currency 2 220" xfId="269" xr:uid="{00000000-0005-0000-0000-000098000000}"/>
    <cellStyle name="Currency 2 221" xfId="270" xr:uid="{00000000-0005-0000-0000-000099000000}"/>
    <cellStyle name="Currency 2 222" xfId="271" xr:uid="{00000000-0005-0000-0000-00009A000000}"/>
    <cellStyle name="Currency 2 223" xfId="272" xr:uid="{00000000-0005-0000-0000-00009B000000}"/>
    <cellStyle name="Currency 2 224" xfId="273" xr:uid="{00000000-0005-0000-0000-00009C000000}"/>
    <cellStyle name="Currency 2 225" xfId="274" xr:uid="{00000000-0005-0000-0000-00009D000000}"/>
    <cellStyle name="Currency 2 226" xfId="275" xr:uid="{00000000-0005-0000-0000-00009E000000}"/>
    <cellStyle name="Currency 2 227" xfId="276" xr:uid="{00000000-0005-0000-0000-00009F000000}"/>
    <cellStyle name="Currency 2 228" xfId="277" xr:uid="{00000000-0005-0000-0000-0000A0000000}"/>
    <cellStyle name="Currency 2 229" xfId="278" xr:uid="{00000000-0005-0000-0000-0000A1000000}"/>
    <cellStyle name="Currency 2 23" xfId="279" xr:uid="{00000000-0005-0000-0000-0000A2000000}"/>
    <cellStyle name="Currency 2 230" xfId="280" xr:uid="{00000000-0005-0000-0000-0000A3000000}"/>
    <cellStyle name="Currency 2 231" xfId="281" xr:uid="{00000000-0005-0000-0000-0000A4000000}"/>
    <cellStyle name="Currency 2 232" xfId="282" xr:uid="{00000000-0005-0000-0000-0000A5000000}"/>
    <cellStyle name="Currency 2 233" xfId="283" xr:uid="{00000000-0005-0000-0000-0000A6000000}"/>
    <cellStyle name="Currency 2 234" xfId="284" xr:uid="{00000000-0005-0000-0000-0000A7000000}"/>
    <cellStyle name="Currency 2 235" xfId="285" xr:uid="{00000000-0005-0000-0000-0000A8000000}"/>
    <cellStyle name="Currency 2 236" xfId="286" xr:uid="{00000000-0005-0000-0000-0000A9000000}"/>
    <cellStyle name="Currency 2 237" xfId="287" xr:uid="{00000000-0005-0000-0000-0000AA000000}"/>
    <cellStyle name="Currency 2 238" xfId="288" xr:uid="{00000000-0005-0000-0000-0000AB000000}"/>
    <cellStyle name="Currency 2 239" xfId="289" xr:uid="{00000000-0005-0000-0000-0000AC000000}"/>
    <cellStyle name="Currency 2 24" xfId="290" xr:uid="{00000000-0005-0000-0000-0000AD000000}"/>
    <cellStyle name="Currency 2 240" xfId="291" xr:uid="{00000000-0005-0000-0000-0000AE000000}"/>
    <cellStyle name="Currency 2 241" xfId="292" xr:uid="{00000000-0005-0000-0000-0000AF000000}"/>
    <cellStyle name="Currency 2 242" xfId="293" xr:uid="{00000000-0005-0000-0000-0000B0000000}"/>
    <cellStyle name="Currency 2 243" xfId="294" xr:uid="{00000000-0005-0000-0000-0000B1000000}"/>
    <cellStyle name="Currency 2 244" xfId="295" xr:uid="{00000000-0005-0000-0000-0000B2000000}"/>
    <cellStyle name="Currency 2 245" xfId="296" xr:uid="{00000000-0005-0000-0000-0000B3000000}"/>
    <cellStyle name="Currency 2 246" xfId="297" xr:uid="{00000000-0005-0000-0000-0000B4000000}"/>
    <cellStyle name="Currency 2 247" xfId="298" xr:uid="{00000000-0005-0000-0000-0000B5000000}"/>
    <cellStyle name="Currency 2 248" xfId="299" xr:uid="{00000000-0005-0000-0000-0000B6000000}"/>
    <cellStyle name="Currency 2 249" xfId="300" xr:uid="{00000000-0005-0000-0000-0000B7000000}"/>
    <cellStyle name="Currency 2 25" xfId="301" xr:uid="{00000000-0005-0000-0000-0000B8000000}"/>
    <cellStyle name="Currency 2 250" xfId="302" xr:uid="{00000000-0005-0000-0000-0000B9000000}"/>
    <cellStyle name="Currency 2 251" xfId="303" xr:uid="{00000000-0005-0000-0000-0000BA000000}"/>
    <cellStyle name="Currency 2 252" xfId="304" xr:uid="{00000000-0005-0000-0000-0000BB000000}"/>
    <cellStyle name="Currency 2 253" xfId="305" xr:uid="{00000000-0005-0000-0000-0000BC000000}"/>
    <cellStyle name="Currency 2 254" xfId="306" xr:uid="{00000000-0005-0000-0000-0000BD000000}"/>
    <cellStyle name="Currency 2 26" xfId="307" xr:uid="{00000000-0005-0000-0000-0000BE000000}"/>
    <cellStyle name="Currency 2 27" xfId="308" xr:uid="{00000000-0005-0000-0000-0000BF000000}"/>
    <cellStyle name="Currency 2 28" xfId="309" xr:uid="{00000000-0005-0000-0000-0000C0000000}"/>
    <cellStyle name="Currency 2 29" xfId="310" xr:uid="{00000000-0005-0000-0000-0000C1000000}"/>
    <cellStyle name="Currency 2 3" xfId="311" xr:uid="{00000000-0005-0000-0000-0000C2000000}"/>
    <cellStyle name="Currency 2 30" xfId="312" xr:uid="{00000000-0005-0000-0000-0000C3000000}"/>
    <cellStyle name="Currency 2 31" xfId="313" xr:uid="{00000000-0005-0000-0000-0000C4000000}"/>
    <cellStyle name="Currency 2 32" xfId="314" xr:uid="{00000000-0005-0000-0000-0000C5000000}"/>
    <cellStyle name="Currency 2 33" xfId="315" xr:uid="{00000000-0005-0000-0000-0000C6000000}"/>
    <cellStyle name="Currency 2 34" xfId="316" xr:uid="{00000000-0005-0000-0000-0000C7000000}"/>
    <cellStyle name="Currency 2 35" xfId="317" xr:uid="{00000000-0005-0000-0000-0000C8000000}"/>
    <cellStyle name="Currency 2 36" xfId="318" xr:uid="{00000000-0005-0000-0000-0000C9000000}"/>
    <cellStyle name="Currency 2 37" xfId="319" xr:uid="{00000000-0005-0000-0000-0000CA000000}"/>
    <cellStyle name="Currency 2 38" xfId="320" xr:uid="{00000000-0005-0000-0000-0000CB000000}"/>
    <cellStyle name="Currency 2 39" xfId="321" xr:uid="{00000000-0005-0000-0000-0000CC000000}"/>
    <cellStyle name="Currency 2 4" xfId="322" xr:uid="{00000000-0005-0000-0000-0000CD000000}"/>
    <cellStyle name="Currency 2 40" xfId="323" xr:uid="{00000000-0005-0000-0000-0000CE000000}"/>
    <cellStyle name="Currency 2 41" xfId="324" xr:uid="{00000000-0005-0000-0000-0000CF000000}"/>
    <cellStyle name="Currency 2 42" xfId="325" xr:uid="{00000000-0005-0000-0000-0000D0000000}"/>
    <cellStyle name="Currency 2 43" xfId="326" xr:uid="{00000000-0005-0000-0000-0000D1000000}"/>
    <cellStyle name="Currency 2 44" xfId="327" xr:uid="{00000000-0005-0000-0000-0000D2000000}"/>
    <cellStyle name="Currency 2 45" xfId="328" xr:uid="{00000000-0005-0000-0000-0000D3000000}"/>
    <cellStyle name="Currency 2 46" xfId="329" xr:uid="{00000000-0005-0000-0000-0000D4000000}"/>
    <cellStyle name="Currency 2 47" xfId="330" xr:uid="{00000000-0005-0000-0000-0000D5000000}"/>
    <cellStyle name="Currency 2 48" xfId="331" xr:uid="{00000000-0005-0000-0000-0000D6000000}"/>
    <cellStyle name="Currency 2 49" xfId="332" xr:uid="{00000000-0005-0000-0000-0000D7000000}"/>
    <cellStyle name="Currency 2 5" xfId="333" xr:uid="{00000000-0005-0000-0000-0000D8000000}"/>
    <cellStyle name="Currency 2 50" xfId="334" xr:uid="{00000000-0005-0000-0000-0000D9000000}"/>
    <cellStyle name="Currency 2 51" xfId="335" xr:uid="{00000000-0005-0000-0000-0000DA000000}"/>
    <cellStyle name="Currency 2 52" xfId="336" xr:uid="{00000000-0005-0000-0000-0000DB000000}"/>
    <cellStyle name="Currency 2 53" xfId="337" xr:uid="{00000000-0005-0000-0000-0000DC000000}"/>
    <cellStyle name="Currency 2 54" xfId="338" xr:uid="{00000000-0005-0000-0000-0000DD000000}"/>
    <cellStyle name="Currency 2 55" xfId="339" xr:uid="{00000000-0005-0000-0000-0000DE000000}"/>
    <cellStyle name="Currency 2 56" xfId="340" xr:uid="{00000000-0005-0000-0000-0000DF000000}"/>
    <cellStyle name="Currency 2 57" xfId="341" xr:uid="{00000000-0005-0000-0000-0000E0000000}"/>
    <cellStyle name="Currency 2 58" xfId="342" xr:uid="{00000000-0005-0000-0000-0000E1000000}"/>
    <cellStyle name="Currency 2 59" xfId="343" xr:uid="{00000000-0005-0000-0000-0000E2000000}"/>
    <cellStyle name="Currency 2 6" xfId="344" xr:uid="{00000000-0005-0000-0000-0000E3000000}"/>
    <cellStyle name="Currency 2 60" xfId="345" xr:uid="{00000000-0005-0000-0000-0000E4000000}"/>
    <cellStyle name="Currency 2 61" xfId="346" xr:uid="{00000000-0005-0000-0000-0000E5000000}"/>
    <cellStyle name="Currency 2 62" xfId="347" xr:uid="{00000000-0005-0000-0000-0000E6000000}"/>
    <cellStyle name="Currency 2 63" xfId="348" xr:uid="{00000000-0005-0000-0000-0000E7000000}"/>
    <cellStyle name="Currency 2 64" xfId="349" xr:uid="{00000000-0005-0000-0000-0000E8000000}"/>
    <cellStyle name="Currency 2 65" xfId="350" xr:uid="{00000000-0005-0000-0000-0000E9000000}"/>
    <cellStyle name="Currency 2 66" xfId="351" xr:uid="{00000000-0005-0000-0000-0000EA000000}"/>
    <cellStyle name="Currency 2 67" xfId="352" xr:uid="{00000000-0005-0000-0000-0000EB000000}"/>
    <cellStyle name="Currency 2 68" xfId="353" xr:uid="{00000000-0005-0000-0000-0000EC000000}"/>
    <cellStyle name="Currency 2 69" xfId="354" xr:uid="{00000000-0005-0000-0000-0000ED000000}"/>
    <cellStyle name="Currency 2 7" xfId="355" xr:uid="{00000000-0005-0000-0000-0000EE000000}"/>
    <cellStyle name="Currency 2 70" xfId="356" xr:uid="{00000000-0005-0000-0000-0000EF000000}"/>
    <cellStyle name="Currency 2 71" xfId="357" xr:uid="{00000000-0005-0000-0000-0000F0000000}"/>
    <cellStyle name="Currency 2 72" xfId="358" xr:uid="{00000000-0005-0000-0000-0000F1000000}"/>
    <cellStyle name="Currency 2 73" xfId="359" xr:uid="{00000000-0005-0000-0000-0000F2000000}"/>
    <cellStyle name="Currency 2 74" xfId="360" xr:uid="{00000000-0005-0000-0000-0000F3000000}"/>
    <cellStyle name="Currency 2 75" xfId="361" xr:uid="{00000000-0005-0000-0000-0000F4000000}"/>
    <cellStyle name="Currency 2 76" xfId="362" xr:uid="{00000000-0005-0000-0000-0000F5000000}"/>
    <cellStyle name="Currency 2 77" xfId="363" xr:uid="{00000000-0005-0000-0000-0000F6000000}"/>
    <cellStyle name="Currency 2 78" xfId="364" xr:uid="{00000000-0005-0000-0000-0000F7000000}"/>
    <cellStyle name="Currency 2 79" xfId="365" xr:uid="{00000000-0005-0000-0000-0000F8000000}"/>
    <cellStyle name="Currency 2 8" xfId="366" xr:uid="{00000000-0005-0000-0000-0000F9000000}"/>
    <cellStyle name="Currency 2 80" xfId="367" xr:uid="{00000000-0005-0000-0000-0000FA000000}"/>
    <cellStyle name="Currency 2 81" xfId="368" xr:uid="{00000000-0005-0000-0000-0000FB000000}"/>
    <cellStyle name="Currency 2 82" xfId="369" xr:uid="{00000000-0005-0000-0000-0000FC000000}"/>
    <cellStyle name="Currency 2 83" xfId="370" xr:uid="{00000000-0005-0000-0000-0000FD000000}"/>
    <cellStyle name="Currency 2 84" xfId="371" xr:uid="{00000000-0005-0000-0000-0000FE000000}"/>
    <cellStyle name="Currency 2 85" xfId="372" xr:uid="{00000000-0005-0000-0000-0000FF000000}"/>
    <cellStyle name="Currency 2 86" xfId="373" xr:uid="{00000000-0005-0000-0000-000000010000}"/>
    <cellStyle name="Currency 2 87" xfId="374" xr:uid="{00000000-0005-0000-0000-000001010000}"/>
    <cellStyle name="Currency 2 88" xfId="375" xr:uid="{00000000-0005-0000-0000-000002010000}"/>
    <cellStyle name="Currency 2 89" xfId="376" xr:uid="{00000000-0005-0000-0000-000003010000}"/>
    <cellStyle name="Currency 2 9" xfId="377" xr:uid="{00000000-0005-0000-0000-000004010000}"/>
    <cellStyle name="Currency 2 90" xfId="378" xr:uid="{00000000-0005-0000-0000-000005010000}"/>
    <cellStyle name="Currency 2 91" xfId="379" xr:uid="{00000000-0005-0000-0000-000006010000}"/>
    <cellStyle name="Currency 2 92" xfId="380" xr:uid="{00000000-0005-0000-0000-000007010000}"/>
    <cellStyle name="Currency 2 93" xfId="381" xr:uid="{00000000-0005-0000-0000-000008010000}"/>
    <cellStyle name="Currency 2 94" xfId="382" xr:uid="{00000000-0005-0000-0000-000009010000}"/>
    <cellStyle name="Currency 2 95" xfId="383" xr:uid="{00000000-0005-0000-0000-00000A010000}"/>
    <cellStyle name="Currency 2 96" xfId="384" xr:uid="{00000000-0005-0000-0000-00000B010000}"/>
    <cellStyle name="Currency 2 97" xfId="385" xr:uid="{00000000-0005-0000-0000-00000C010000}"/>
    <cellStyle name="Currency 2 98" xfId="386" xr:uid="{00000000-0005-0000-0000-00000D010000}"/>
    <cellStyle name="Currency 2 99" xfId="387" xr:uid="{00000000-0005-0000-0000-00000E010000}"/>
    <cellStyle name="Currency 3" xfId="119" xr:uid="{00000000-0005-0000-0000-00000F010000}"/>
    <cellStyle name="Currency 3 2" xfId="124" xr:uid="{00000000-0005-0000-0000-000010010000}"/>
    <cellStyle name="Currency 3 2 2" xfId="388" xr:uid="{00000000-0005-0000-0000-000011010000}"/>
    <cellStyle name="Currency 3 3" xfId="389" xr:uid="{00000000-0005-0000-0000-000012010000}"/>
    <cellStyle name="Currency 4" xfId="125" xr:uid="{00000000-0005-0000-0000-000013010000}"/>
    <cellStyle name="Currency 5" xfId="410" xr:uid="{00000000-0005-0000-0000-000014010000}"/>
    <cellStyle name="Date" xfId="390" xr:uid="{00000000-0005-0000-0000-000015010000}"/>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Heading 2 2" xfId="391" xr:uid="{00000000-0005-0000-0000-000081010000}"/>
    <cellStyle name="Heading 3 2" xfId="392" xr:uid="{00000000-0005-0000-0000-000082010000}"/>
    <cellStyle name="Normal" xfId="0" builtinId="0"/>
    <cellStyle name="Normal - Style1" xfId="393" xr:uid="{00000000-0005-0000-0000-000084010000}"/>
    <cellStyle name="Normal 2" xfId="7" xr:uid="{00000000-0005-0000-0000-000085010000}"/>
    <cellStyle name="Normal 3" xfId="117" xr:uid="{00000000-0005-0000-0000-000086010000}"/>
    <cellStyle name="Normal 3 2" xfId="122" xr:uid="{00000000-0005-0000-0000-000087010000}"/>
    <cellStyle name="Normal 3 2 2" xfId="129" xr:uid="{00000000-0005-0000-0000-000088010000}"/>
    <cellStyle name="Normal 3 2 2 2" xfId="394" xr:uid="{00000000-0005-0000-0000-000089010000}"/>
    <cellStyle name="Normal 3 2 3" xfId="395" xr:uid="{00000000-0005-0000-0000-00008A010000}"/>
    <cellStyle name="Normal 3 3" xfId="128" xr:uid="{00000000-0005-0000-0000-00008B010000}"/>
    <cellStyle name="Normal 3 3 2" xfId="396" xr:uid="{00000000-0005-0000-0000-00008C010000}"/>
    <cellStyle name="Normal 3 4" xfId="397" xr:uid="{00000000-0005-0000-0000-00008D010000}"/>
    <cellStyle name="Normal 4" xfId="120" xr:uid="{00000000-0005-0000-0000-00008E010000}"/>
    <cellStyle name="Normal 5" xfId="398" xr:uid="{00000000-0005-0000-0000-00008F010000}"/>
    <cellStyle name="Normal 6" xfId="399" xr:uid="{00000000-0005-0000-0000-000090010000}"/>
    <cellStyle name="Normal 7" xfId="404" xr:uid="{00000000-0005-0000-0000-000091010000}"/>
    <cellStyle name="Normal 7 2" xfId="407" xr:uid="{00000000-0005-0000-0000-000092010000}"/>
    <cellStyle name="Percent" xfId="8" builtinId="5"/>
    <cellStyle name="Percent 2" xfId="9" xr:uid="{00000000-0005-0000-0000-000094010000}"/>
    <cellStyle name="Percent 3" xfId="400" xr:uid="{00000000-0005-0000-0000-000095010000}"/>
    <cellStyle name="Percent 4" xfId="401" xr:uid="{00000000-0005-0000-0000-000096010000}"/>
    <cellStyle name="Percent 5" xfId="406" xr:uid="{00000000-0005-0000-0000-000097010000}"/>
    <cellStyle name="Percent 5 2" xfId="409" xr:uid="{00000000-0005-0000-0000-000098010000}"/>
    <cellStyle name="Style 1" xfId="402" xr:uid="{00000000-0005-0000-0000-000099010000}"/>
    <cellStyle name="Volume" xfId="403" xr:uid="{00000000-0005-0000-0000-00009A010000}"/>
  </cellStyles>
  <dxfs count="2">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CCFFCC"/>
      <color rgb="FFFFFFCC"/>
      <color rgb="FFFFCCCC"/>
      <color rgb="FFCCFFFF"/>
      <color rgb="FFF0A394"/>
      <color rgb="FFF37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Shipments</a:t>
            </a:r>
          </a:p>
          <a:p>
            <a:pPr>
              <a:defRPr/>
            </a:pPr>
            <a:endParaRPr lang="en-US"/>
          </a:p>
        </c:rich>
      </c:tx>
      <c:overlay val="0"/>
    </c:title>
    <c:autoTitleDeleted val="0"/>
    <c:plotArea>
      <c:layout>
        <c:manualLayout>
          <c:layoutTarget val="inner"/>
          <c:xMode val="edge"/>
          <c:yMode val="edge"/>
          <c:x val="0.116231710590494"/>
          <c:y val="0.18478262334525"/>
          <c:w val="0.812586609085302"/>
          <c:h val="0.71918548750340705"/>
        </c:manualLayout>
      </c:layout>
      <c:barChart>
        <c:barDir val="col"/>
        <c:grouping val="stacked"/>
        <c:varyColors val="0"/>
        <c:ser>
          <c:idx val="1"/>
          <c:order val="0"/>
          <c:tx>
            <c:strRef>
              <c:f>Dashboard!$D$29</c:f>
              <c:strCache>
                <c:ptCount val="1"/>
                <c:pt idx="0">
                  <c:v>High Performance Computing</c:v>
                </c:pt>
              </c:strCache>
            </c:strRef>
          </c:tx>
          <c:spPr>
            <a:solidFill>
              <a:schemeClr val="accent1"/>
            </a:solidFill>
          </c:spPr>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Dashboard!$E$29:$P$29</c:f>
              <c:numCache>
                <c:formatCode>_(* #,##0_);_(* \(#,##0\);_(* "-"??_);_(@_)</c:formatCode>
                <c:ptCount val="12"/>
                <c:pt idx="0">
                  <c:v>1975352.3718148267</c:v>
                </c:pt>
                <c:pt idx="1">
                  <c:v>2006035.3363149837</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9D-2C45-8FDE-E9C6D88775DF}"/>
            </c:ext>
          </c:extLst>
        </c:ser>
        <c:ser>
          <c:idx val="0"/>
          <c:order val="1"/>
          <c:tx>
            <c:strRef>
              <c:f>Dashboard!$D$30</c:f>
              <c:strCache>
                <c:ptCount val="1"/>
                <c:pt idx="0">
                  <c:v>Core Routing</c:v>
                </c:pt>
              </c:strCache>
            </c:strRef>
          </c:tx>
          <c:spPr>
            <a:solidFill>
              <a:schemeClr val="accent2"/>
            </a:solidFill>
            <a:ln>
              <a:noFill/>
            </a:ln>
          </c:spPr>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Dashboard!$E$30:$P$30</c:f>
              <c:numCache>
                <c:formatCode>_(* #,##0_);_(* \(#,##0\);_(* "-"??_);_(@_)</c:formatCode>
                <c:ptCount val="12"/>
                <c:pt idx="0">
                  <c:v>101610.72324478533</c:v>
                </c:pt>
                <c:pt idx="1">
                  <c:v>102275.69365487093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D9D-2C45-8FDE-E9C6D88775DF}"/>
            </c:ext>
          </c:extLst>
        </c:ser>
        <c:ser>
          <c:idx val="2"/>
          <c:order val="2"/>
          <c:tx>
            <c:strRef>
              <c:f>Dashboard!$D$31</c:f>
              <c:strCache>
                <c:ptCount val="1"/>
                <c:pt idx="0">
                  <c:v>DC Compute Nodes</c:v>
                </c:pt>
              </c:strCache>
            </c:strRef>
          </c:tx>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Dashboard!$E$31:$P$31</c:f>
              <c:numCache>
                <c:formatCode>_(* #,##0_);_(* \(#,##0\);_(* "-"??_);_(@_)</c:formatCode>
                <c:ptCount val="12"/>
                <c:pt idx="0">
                  <c:v>7624105.3105442869</c:v>
                </c:pt>
                <c:pt idx="1">
                  <c:v>9372051.3657249976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D9D-2C45-8FDE-E9C6D88775DF}"/>
            </c:ext>
          </c:extLst>
        </c:ser>
        <c:ser>
          <c:idx val="4"/>
          <c:order val="3"/>
          <c:tx>
            <c:strRef>
              <c:f>Dashboard!$D$32</c:f>
              <c:strCache>
                <c:ptCount val="1"/>
                <c:pt idx="0">
                  <c:v>Other</c:v>
                </c:pt>
              </c:strCache>
            </c:strRef>
          </c:tx>
          <c:spPr>
            <a:solidFill>
              <a:schemeClr val="accent4"/>
            </a:solidFill>
          </c:spPr>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Dashboard!$E$32:$P$32</c:f>
              <c:numCache>
                <c:formatCode>_(* #,##0_);_(* \(#,##0\);_(* "-"??_);_(@_)</c:formatCode>
                <c:ptCount val="12"/>
                <c:pt idx="0">
                  <c:v>520454.09287999984</c:v>
                </c:pt>
                <c:pt idx="1">
                  <c:v>652344.6944500003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D9D-2C45-8FDE-E9C6D88775DF}"/>
            </c:ext>
          </c:extLst>
        </c:ser>
        <c:dLbls>
          <c:showLegendKey val="0"/>
          <c:showVal val="0"/>
          <c:showCatName val="0"/>
          <c:showSerName val="0"/>
          <c:showPercent val="0"/>
          <c:showBubbleSize val="0"/>
        </c:dLbls>
        <c:gapWidth val="150"/>
        <c:overlap val="100"/>
        <c:axId val="60133376"/>
        <c:axId val="60134912"/>
      </c:barChart>
      <c:catAx>
        <c:axId val="60133376"/>
        <c:scaling>
          <c:orientation val="minMax"/>
        </c:scaling>
        <c:delete val="0"/>
        <c:axPos val="b"/>
        <c:numFmt formatCode="General" sourceLinked="1"/>
        <c:majorTickMark val="out"/>
        <c:minorTickMark val="none"/>
        <c:tickLblPos val="nextTo"/>
        <c:crossAx val="60134912"/>
        <c:crosses val="autoZero"/>
        <c:auto val="1"/>
        <c:lblAlgn val="ctr"/>
        <c:lblOffset val="100"/>
        <c:noMultiLvlLbl val="0"/>
      </c:catAx>
      <c:valAx>
        <c:axId val="60134912"/>
        <c:scaling>
          <c:orientation val="minMax"/>
        </c:scaling>
        <c:delete val="0"/>
        <c:axPos val="l"/>
        <c:majorGridlines/>
        <c:numFmt formatCode="_(* #,##0_);_(* \(#,##0\);_(* &quot;-&quot;??_);_(@_)" sourceLinked="1"/>
        <c:majorTickMark val="out"/>
        <c:minorTickMark val="none"/>
        <c:tickLblPos val="nextTo"/>
        <c:crossAx val="6013337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2027</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Summary!$B$293:$B$296</c:f>
              <c:strCache>
                <c:ptCount val="4"/>
                <c:pt idx="0">
                  <c:v>HPC &amp; AI Clusters</c:v>
                </c:pt>
                <c:pt idx="1">
                  <c:v>Core Routing</c:v>
                </c:pt>
                <c:pt idx="2">
                  <c:v>DC Compute Nodes (except 1x10/1x25G)</c:v>
                </c:pt>
                <c:pt idx="3">
                  <c:v>Other</c:v>
                </c:pt>
              </c:strCache>
            </c:strRef>
          </c:cat>
          <c:val>
            <c:numRef>
              <c:f>Summary!$O$293:$O$296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99B8-D54E-9D00-CCE1B2D285A1}"/>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3846523152519077"/>
          <c:y val="0.12975381108181347"/>
          <c:w val="0.4242641202952312"/>
          <c:h val="0.80248697384422241"/>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AOC shipments by product type</a:t>
            </a:r>
          </a:p>
        </c:rich>
      </c:tx>
      <c:overlay val="0"/>
    </c:title>
    <c:autoTitleDeleted val="0"/>
    <c:plotArea>
      <c:layout/>
      <c:lineChart>
        <c:grouping val="standard"/>
        <c:varyColors val="0"/>
        <c:ser>
          <c:idx val="1"/>
          <c:order val="0"/>
          <c:tx>
            <c:strRef>
              <c:f>'AOC forecast'!$T$11</c:f>
              <c:strCache>
                <c:ptCount val="1"/>
                <c:pt idx="0">
                  <c:v>AOC 12x≤12.5G  CXP</c:v>
                </c:pt>
              </c:strCache>
            </c:strRef>
          </c:tx>
          <c:cat>
            <c:numRef>
              <c:f>'AOC forecast'!$G$7:$O$7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'AOC forecast'!$G$11:$O$11</c:f>
              <c:numCache>
                <c:formatCode>_(* #,##0_);_(* \(#,##0\);_(* "-"??_);_(@_)</c:formatCode>
                <c:ptCount val="9"/>
                <c:pt idx="0">
                  <c:v>121030.35714285713</c:v>
                </c:pt>
                <c:pt idx="1">
                  <c:v>90232</c:v>
                </c:pt>
              </c:numCache>
            </c:numRef>
          </c:val>
          <c:smooth val="0"/>
          <c:extLst>
            <c:ext xmlns:c16="http://schemas.microsoft.com/office/drawing/2014/chart" uri="{C3380CC4-5D6E-409C-BE32-E72D297353CC}">
              <c16:uniqueId val="{00000000-2ECE-0840-8C8D-E8008F54CB72}"/>
            </c:ext>
          </c:extLst>
        </c:ser>
        <c:ser>
          <c:idx val="5"/>
          <c:order val="1"/>
          <c:tx>
            <c:strRef>
              <c:f>'EOM forecast'!$T$8</c:f>
              <c:strCache>
                <c:ptCount val="1"/>
                <c:pt idx="0">
                  <c:v>EOM 12x≤12.5G  XCVR - CXP</c:v>
                </c:pt>
              </c:strCache>
            </c:strRef>
          </c:tx>
          <c:cat>
            <c:numRef>
              <c:f>'AOC forecast'!$G$7:$O$7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'EOM forecast'!$G$8:$O$8</c:f>
              <c:numCache>
                <c:formatCode>_(* #,##0_);_(* \(#,##0\);_(* "-"??_);_(@_)</c:formatCode>
                <c:ptCount val="9"/>
                <c:pt idx="0">
                  <c:v>25000</c:v>
                </c:pt>
                <c:pt idx="1">
                  <c:v>16425</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2ECE-0840-8C8D-E8008F54CB72}"/>
            </c:ext>
          </c:extLst>
        </c:ser>
        <c:ser>
          <c:idx val="8"/>
          <c:order val="2"/>
          <c:tx>
            <c:strRef>
              <c:f>'AOC forecast'!$T$18</c:f>
              <c:strCache>
                <c:ptCount val="1"/>
                <c:pt idx="0">
                  <c:v>AOC 12x25-28G  CXP28</c:v>
                </c:pt>
              </c:strCache>
            </c:strRef>
          </c:tx>
          <c:cat>
            <c:numRef>
              <c:f>'AOC forecast'!$G$7:$O$7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'AOC forecast'!$G$18:$O$18</c:f>
              <c:numCache>
                <c:formatCode>_(* #,##0_);_(* \(#,##0\);_(* "-"??_);_(@_)</c:formatCode>
                <c:ptCount val="9"/>
                <c:pt idx="0">
                  <c:v>0</c:v>
                </c:pt>
                <c:pt idx="1">
                  <c:v>0</c:v>
                </c:pt>
              </c:numCache>
            </c:numRef>
          </c:val>
          <c:smooth val="0"/>
          <c:extLst>
            <c:ext xmlns:c16="http://schemas.microsoft.com/office/drawing/2014/chart" uri="{C3380CC4-5D6E-409C-BE32-E72D297353CC}">
              <c16:uniqueId val="{00000002-2ECE-0840-8C8D-E8008F54CB72}"/>
            </c:ext>
          </c:extLst>
        </c:ser>
        <c:ser>
          <c:idx val="9"/>
          <c:order val="3"/>
          <c:tx>
            <c:strRef>
              <c:f>'EOM forecast'!$T$9</c:f>
              <c:strCache>
                <c:ptCount val="1"/>
                <c:pt idx="0">
                  <c:v>EOM 12x25-28G  XCVR - CXP28</c:v>
                </c:pt>
              </c:strCache>
            </c:strRef>
          </c:tx>
          <c:cat>
            <c:numRef>
              <c:f>'AOC forecast'!$G$7:$O$7</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'EOM forecast'!$G$9:$O$9</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3-2ECE-0840-8C8D-E8008F54CB72}"/>
            </c:ext>
          </c:extLst>
        </c:ser>
        <c:dLbls>
          <c:showLegendKey val="0"/>
          <c:showVal val="0"/>
          <c:showCatName val="0"/>
          <c:showSerName val="0"/>
          <c:showPercent val="0"/>
          <c:showBubbleSize val="0"/>
        </c:dLbls>
        <c:marker val="1"/>
        <c:smooth val="0"/>
        <c:axId val="67633152"/>
        <c:axId val="67634688"/>
      </c:lineChart>
      <c:catAx>
        <c:axId val="67633152"/>
        <c:scaling>
          <c:orientation val="minMax"/>
        </c:scaling>
        <c:delete val="0"/>
        <c:axPos val="b"/>
        <c:numFmt formatCode="General" sourceLinked="1"/>
        <c:majorTickMark val="out"/>
        <c:minorTickMark val="none"/>
        <c:tickLblPos val="nextTo"/>
        <c:crossAx val="67634688"/>
        <c:crosses val="autoZero"/>
        <c:auto val="1"/>
        <c:lblAlgn val="ctr"/>
        <c:lblOffset val="100"/>
        <c:noMultiLvlLbl val="0"/>
      </c:catAx>
      <c:valAx>
        <c:axId val="67634688"/>
        <c:scaling>
          <c:orientation val="minMax"/>
        </c:scaling>
        <c:delete val="0"/>
        <c:axPos val="l"/>
        <c:majorGridlines/>
        <c:numFmt formatCode="_(* #,##0_);_(* \(#,##0\);_(* &quot;-&quot;??_);_(@_)" sourceLinked="1"/>
        <c:majorTickMark val="out"/>
        <c:minorTickMark val="none"/>
        <c:tickLblPos val="nextTo"/>
        <c:txPr>
          <a:bodyPr/>
          <a:lstStyle/>
          <a:p>
            <a:pPr>
              <a:defRPr sz="1200"/>
            </a:pPr>
            <a:endParaRPr lang="en-US"/>
          </a:p>
        </c:txPr>
        <c:crossAx val="67633152"/>
        <c:crosses val="autoZero"/>
        <c:crossBetween val="between"/>
      </c:valAx>
      <c:dTable>
        <c:showHorzBorder val="1"/>
        <c:showVertBorder val="1"/>
        <c:showOutline val="1"/>
        <c:showKeys val="1"/>
        <c:txPr>
          <a:bodyPr/>
          <a:lstStyle/>
          <a:p>
            <a:pPr rtl="0">
              <a:defRPr sz="1050"/>
            </a:pPr>
            <a:endParaRPr lang="en-US"/>
          </a:p>
        </c:txPr>
      </c:dTable>
    </c:plotArea>
    <c:plotVisOnly val="1"/>
    <c:dispBlanksAs val="zero"/>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EOM segment splits - 2019</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'Segment forecast'!$B$30:$B$33</c:f>
              <c:strCache>
                <c:ptCount val="4"/>
                <c:pt idx="0">
                  <c:v>HPC &amp; AI Clusters</c:v>
                </c:pt>
                <c:pt idx="1">
                  <c:v>Core Routing</c:v>
                </c:pt>
                <c:pt idx="2">
                  <c:v>DC Compute Nodes</c:v>
                </c:pt>
                <c:pt idx="3">
                  <c:v>Other</c:v>
                </c:pt>
              </c:strCache>
            </c:strRef>
          </c:cat>
          <c:val>
            <c:numRef>
              <c:f>'Segment forecast'!$J$30:$J$33</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E9A7-A44A-B286-3620976C5239}"/>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9955650079827505"/>
          <c:y val="0.18170983705113"/>
          <c:w val="0.38272213623821"/>
          <c:h val="0.73781077402264805"/>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AOC segment splits - 2019</a:t>
            </a:r>
          </a:p>
        </c:rich>
      </c:tx>
      <c:layout>
        <c:manualLayout>
          <c:xMode val="edge"/>
          <c:yMode val="edge"/>
          <c:x val="0.21616776350326003"/>
          <c:y val="3.2450336202274006E-2"/>
        </c:manualLayout>
      </c:layout>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'Segment forecast'!$B$10:$B$13</c:f>
              <c:strCache>
                <c:ptCount val="4"/>
                <c:pt idx="0">
                  <c:v>HPC &amp; AI Clusters</c:v>
                </c:pt>
                <c:pt idx="1">
                  <c:v>Core Routing</c:v>
                </c:pt>
                <c:pt idx="2">
                  <c:v>DC Compute Nodes</c:v>
                </c:pt>
                <c:pt idx="3">
                  <c:v>Other</c:v>
                </c:pt>
              </c:strCache>
            </c:strRef>
          </c:cat>
          <c:val>
            <c:numRef>
              <c:f>'Segment forecast'!$J$10:$J$13</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7597-FE4C-94BD-A4FB7DBEC700}"/>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9955650079827505"/>
          <c:y val="0.18170983705113"/>
          <c:w val="0.38272213623821"/>
          <c:h val="0.73781077402264805"/>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6640419947508"/>
          <c:y val="0.11659922717993582"/>
          <c:w val="0.80062248468941377"/>
          <c:h val="0.76742089530475355"/>
        </c:manualLayout>
      </c:layout>
      <c:barChart>
        <c:barDir val="col"/>
        <c:grouping val="stacked"/>
        <c:varyColors val="0"/>
        <c:ser>
          <c:idx val="0"/>
          <c:order val="0"/>
          <c:tx>
            <c:strRef>
              <c:f>Summary!$B$48</c:f>
              <c:strCache>
                <c:ptCount val="1"/>
                <c:pt idx="0">
                  <c:v>10G and 25G AOCs</c:v>
                </c:pt>
              </c:strCache>
            </c:strRef>
          </c:tx>
          <c:invertIfNegative val="0"/>
          <c:cat>
            <c:numRef>
              <c:f>Summary!$C$47:$N$47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Summary!$C$48:$N$48</c:f>
              <c:numCache>
                <c:formatCode>_(* #,##0_);_(* \(#,##0\);_(* "-"??_);_(@_)</c:formatCode>
                <c:ptCount val="12"/>
                <c:pt idx="0">
                  <c:v>1664178</c:v>
                </c:pt>
                <c:pt idx="1">
                  <c:v>3402357</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35-DC4F-A77D-B586B9972DA0}"/>
            </c:ext>
          </c:extLst>
        </c:ser>
        <c:ser>
          <c:idx val="1"/>
          <c:order val="1"/>
          <c:tx>
            <c:strRef>
              <c:f>Summary!$B$49</c:f>
              <c:strCache>
                <c:ptCount val="1"/>
                <c:pt idx="0">
                  <c:v>40G and above AOCs</c:v>
                </c:pt>
              </c:strCache>
            </c:strRef>
          </c:tx>
          <c:invertIfNegative val="0"/>
          <c:cat>
            <c:numRef>
              <c:f>Summary!$C$47:$N$47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Summary!$C$49:$N$49</c:f>
              <c:numCache>
                <c:formatCode>_(* #,##0_);_(* \(#,##0\);_(* "-"??_);_(@_)</c:formatCode>
                <c:ptCount val="12"/>
                <c:pt idx="0">
                  <c:v>828208.35714285728</c:v>
                </c:pt>
                <c:pt idx="1">
                  <c:v>707074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B35-DC4F-A77D-B586B9972DA0}"/>
            </c:ext>
          </c:extLst>
        </c:ser>
        <c:dLbls>
          <c:showLegendKey val="0"/>
          <c:showVal val="0"/>
          <c:showCatName val="0"/>
          <c:showSerName val="0"/>
          <c:showPercent val="0"/>
          <c:showBubbleSize val="0"/>
        </c:dLbls>
        <c:gapWidth val="150"/>
        <c:overlap val="100"/>
        <c:axId val="67705472"/>
        <c:axId val="67711360"/>
      </c:barChart>
      <c:catAx>
        <c:axId val="67705472"/>
        <c:scaling>
          <c:orientation val="minMax"/>
        </c:scaling>
        <c:delete val="0"/>
        <c:axPos val="b"/>
        <c:numFmt formatCode="General" sourceLinked="1"/>
        <c:majorTickMark val="out"/>
        <c:minorTickMark val="none"/>
        <c:tickLblPos val="nextTo"/>
        <c:txPr>
          <a:bodyPr/>
          <a:lstStyle/>
          <a:p>
            <a:pPr>
              <a:defRPr sz="1400"/>
            </a:pPr>
            <a:endParaRPr lang="en-US"/>
          </a:p>
        </c:txPr>
        <c:crossAx val="67711360"/>
        <c:crosses val="autoZero"/>
        <c:auto val="1"/>
        <c:lblAlgn val="ctr"/>
        <c:lblOffset val="100"/>
        <c:noMultiLvlLbl val="0"/>
      </c:catAx>
      <c:valAx>
        <c:axId val="67711360"/>
        <c:scaling>
          <c:orientation val="minMax"/>
          <c:max val="10000000"/>
        </c:scaling>
        <c:delete val="0"/>
        <c:axPos val="l"/>
        <c:majorGridlines/>
        <c:numFmt formatCode="_(* #,##0_);_(* \(#,##0\);_(* &quot;-&quot;??_);_(@_)" sourceLinked="1"/>
        <c:majorTickMark val="out"/>
        <c:minorTickMark val="none"/>
        <c:tickLblPos val="nextTo"/>
        <c:txPr>
          <a:bodyPr/>
          <a:lstStyle/>
          <a:p>
            <a:pPr>
              <a:defRPr sz="1400"/>
            </a:pPr>
            <a:endParaRPr lang="en-US"/>
          </a:p>
        </c:txPr>
        <c:crossAx val="67705472"/>
        <c:crosses val="autoZero"/>
        <c:crossBetween val="between"/>
        <c:majorUnit val="2000000"/>
      </c:valAx>
    </c:plotArea>
    <c:legend>
      <c:legendPos val="t"/>
      <c:overlay val="0"/>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15074514935935"/>
          <c:y val="0.11659922717993582"/>
          <c:w val="0.79873817051134544"/>
          <c:h val="0.76742089530475355"/>
        </c:manualLayout>
      </c:layout>
      <c:barChart>
        <c:barDir val="col"/>
        <c:grouping val="stacked"/>
        <c:varyColors val="0"/>
        <c:ser>
          <c:idx val="0"/>
          <c:order val="0"/>
          <c:tx>
            <c:strRef>
              <c:f>Summary!$P$48</c:f>
              <c:strCache>
                <c:ptCount val="1"/>
                <c:pt idx="0">
                  <c:v>10G and 25G AOCs</c:v>
                </c:pt>
              </c:strCache>
            </c:strRef>
          </c:tx>
          <c:invertIfNegative val="0"/>
          <c:cat>
            <c:numRef>
              <c:f>Summary!$Q$47:$AB$47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Summary!$Q$48:$AB$48</c:f>
              <c:numCache>
                <c:formatCode>_("$"* #,##0_);_("$"* \(#,##0\);_("$"* "-"??_);_(@_)</c:formatCode>
                <c:ptCount val="12"/>
                <c:pt idx="0">
                  <c:v>41.314569322808062</c:v>
                </c:pt>
                <c:pt idx="1">
                  <c:v>73.672164000000009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E0-E445-B3C1-26DBEBD365DE}"/>
            </c:ext>
          </c:extLst>
        </c:ser>
        <c:ser>
          <c:idx val="1"/>
          <c:order val="1"/>
          <c:tx>
            <c:strRef>
              <c:f>Summary!$P$49</c:f>
              <c:strCache>
                <c:ptCount val="1"/>
                <c:pt idx="0">
                  <c:v>40G and above AOCs</c:v>
                </c:pt>
              </c:strCache>
            </c:strRef>
          </c:tx>
          <c:invertIfNegative val="0"/>
          <c:cat>
            <c:numRef>
              <c:f>Summary!$Q$47:$AB$47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Summary!$Q$49:$AB$49</c:f>
              <c:numCache>
                <c:formatCode>_("$"* #,##0_);_("$"* \(#,##0\);_("$"* "-"??_);_(@_)</c:formatCode>
                <c:ptCount val="12"/>
                <c:pt idx="0">
                  <c:v>180.40997547042477</c:v>
                </c:pt>
                <c:pt idx="1">
                  <c:v>132.98724733354021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BE0-E445-B3C1-26DBEBD365DE}"/>
            </c:ext>
          </c:extLst>
        </c:ser>
        <c:dLbls>
          <c:showLegendKey val="0"/>
          <c:showVal val="0"/>
          <c:showCatName val="0"/>
          <c:showSerName val="0"/>
          <c:showPercent val="0"/>
          <c:showBubbleSize val="0"/>
        </c:dLbls>
        <c:gapWidth val="150"/>
        <c:overlap val="100"/>
        <c:axId val="67745280"/>
        <c:axId val="67746816"/>
      </c:barChart>
      <c:catAx>
        <c:axId val="67745280"/>
        <c:scaling>
          <c:orientation val="minMax"/>
        </c:scaling>
        <c:delete val="0"/>
        <c:axPos val="b"/>
        <c:numFmt formatCode="General" sourceLinked="1"/>
        <c:majorTickMark val="out"/>
        <c:minorTickMark val="none"/>
        <c:tickLblPos val="nextTo"/>
        <c:txPr>
          <a:bodyPr/>
          <a:lstStyle/>
          <a:p>
            <a:pPr>
              <a:defRPr sz="1400"/>
            </a:pPr>
            <a:endParaRPr lang="en-US"/>
          </a:p>
        </c:txPr>
        <c:crossAx val="67746816"/>
        <c:crosses val="autoZero"/>
        <c:auto val="1"/>
        <c:lblAlgn val="ctr"/>
        <c:lblOffset val="100"/>
        <c:noMultiLvlLbl val="0"/>
      </c:catAx>
      <c:valAx>
        <c:axId val="67746816"/>
        <c:scaling>
          <c:orientation val="minMax"/>
          <c:max val="1400"/>
        </c:scaling>
        <c:delete val="0"/>
        <c:axPos val="l"/>
        <c:majorGridlines/>
        <c:title>
          <c:tx>
            <c:rich>
              <a:bodyPr rot="-5400000" vert="horz"/>
              <a:lstStyle/>
              <a:p>
                <a:pPr>
                  <a:defRPr sz="1400" b="0"/>
                </a:pPr>
                <a:r>
                  <a:rPr lang="en-US" sz="1400" b="0"/>
                  <a:t>Annual sales ($ millions)</a:t>
                </a:r>
              </a:p>
            </c:rich>
          </c:tx>
          <c:layout>
            <c:manualLayout>
              <c:xMode val="edge"/>
              <c:yMode val="edge"/>
              <c:x val="1.3930848122795398E-2"/>
              <c:y val="0.22087671332750072"/>
            </c:manualLayout>
          </c:layout>
          <c:overlay val="0"/>
        </c:title>
        <c:numFmt formatCode="_(&quot;$&quot;* #,##0_);_(&quot;$&quot;* \(#,##0\);_(&quot;$&quot;* &quot;-&quot;??_);_(@_)" sourceLinked="1"/>
        <c:majorTickMark val="out"/>
        <c:minorTickMark val="none"/>
        <c:tickLblPos val="nextTo"/>
        <c:txPr>
          <a:bodyPr/>
          <a:lstStyle/>
          <a:p>
            <a:pPr>
              <a:defRPr sz="1400"/>
            </a:pPr>
            <a:endParaRPr lang="en-US"/>
          </a:p>
        </c:txPr>
        <c:crossAx val="67745280"/>
        <c:crosses val="autoZero"/>
        <c:crossBetween val="between"/>
      </c:valAx>
    </c:plotArea>
    <c:legend>
      <c:legendPos val="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21354739867891"/>
          <c:y val="6.6986693485211829E-2"/>
          <c:w val="0.78583222733873359"/>
          <c:h val="0.81534287886750301"/>
        </c:manualLayout>
      </c:layout>
      <c:barChart>
        <c:barDir val="col"/>
        <c:grouping val="stacked"/>
        <c:varyColors val="0"/>
        <c:ser>
          <c:idx val="1"/>
          <c:order val="0"/>
          <c:tx>
            <c:strRef>
              <c:f>Summary!$B$242</c:f>
              <c:strCache>
                <c:ptCount val="1"/>
                <c:pt idx="0">
                  <c:v>100/400G EOMs</c:v>
                </c:pt>
              </c:strCache>
            </c:strRef>
          </c:tx>
          <c:invertIfNegative val="0"/>
          <c:cat>
            <c:numRef>
              <c:f>Summary!$C$241:$N$241</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Summary!$C$242:$N$242</c:f>
              <c:numCache>
                <c:formatCode>_(* #,##0_);_(* \(#,##0\);_(* "-"??_);_(@_)</c:formatCode>
                <c:ptCount val="12"/>
                <c:pt idx="0">
                  <c:v>53000</c:v>
                </c:pt>
                <c:pt idx="1">
                  <c:v>118091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924-F64B-95E1-F73E28237C1B}"/>
            </c:ext>
          </c:extLst>
        </c:ser>
        <c:ser>
          <c:idx val="2"/>
          <c:order val="1"/>
          <c:tx>
            <c:strRef>
              <c:f>Summary!$B$243</c:f>
              <c:strCache>
                <c:ptCount val="1"/>
                <c:pt idx="0">
                  <c:v>800G CPO</c:v>
                </c:pt>
              </c:strCache>
            </c:strRef>
          </c:tx>
          <c:invertIfNegative val="0"/>
          <c:cat>
            <c:numRef>
              <c:f>Summary!$C$241:$N$241</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Summary!$C$243:$N$243</c:f>
              <c:numCache>
                <c:formatCode>_(* #,##0_);_(* \(#,##0\);_(* "-"??_);_(@_)</c:formatCode>
                <c:ptCount val="12"/>
                <c:pt idx="6">
                  <c:v>0</c:v>
                </c:pt>
                <c:pt idx="7">
                  <c:v>0</c:v>
                </c:pt>
                <c:pt idx="8">
                  <c:v>0</c:v>
                </c:pt>
                <c:pt idx="9">
                  <c:v>0</c:v>
                </c:pt>
                <c:pt idx="10">
                  <c:v>0</c:v>
                </c:pt>
                <c:pt idx="11">
                  <c:v>0</c:v>
                </c:pt>
              </c:numCache>
            </c:numRef>
          </c:val>
          <c:extLst>
            <c:ext xmlns:c16="http://schemas.microsoft.com/office/drawing/2014/chart" uri="{C3380CC4-5D6E-409C-BE32-E72D297353CC}">
              <c16:uniqueId val="{00000000-5FE9-6E40-AE35-681119C6C207}"/>
            </c:ext>
          </c:extLst>
        </c:ser>
        <c:ser>
          <c:idx val="0"/>
          <c:order val="2"/>
          <c:tx>
            <c:strRef>
              <c:f>Summary!$B$244</c:f>
              <c:strCache>
                <c:ptCount val="1"/>
                <c:pt idx="0">
                  <c:v>1.6T CPO</c:v>
                </c:pt>
              </c:strCache>
            </c:strRef>
          </c:tx>
          <c:invertIfNegative val="0"/>
          <c:cat>
            <c:numRef>
              <c:f>Summary!$C$241:$N$241</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Summary!$C$244:$N$244</c:f>
              <c:numCache>
                <c:formatCode>_(* #,##0_);_(* \(#,##0\);_(* "-"??_);_(@_)</c:formatCode>
                <c:ptCount val="12"/>
                <c:pt idx="7">
                  <c:v>0</c:v>
                </c:pt>
                <c:pt idx="8">
                  <c:v>0</c:v>
                </c:pt>
                <c:pt idx="9">
                  <c:v>0</c:v>
                </c:pt>
                <c:pt idx="10">
                  <c:v>0</c:v>
                </c:pt>
                <c:pt idx="11">
                  <c:v>0</c:v>
                </c:pt>
              </c:numCache>
            </c:numRef>
          </c:val>
          <c:extLst>
            <c:ext xmlns:c16="http://schemas.microsoft.com/office/drawing/2014/chart" uri="{C3380CC4-5D6E-409C-BE32-E72D297353CC}">
              <c16:uniqueId val="{00000001-9DA9-2D49-A227-769D17A9BB46}"/>
            </c:ext>
          </c:extLst>
        </c:ser>
        <c:ser>
          <c:idx val="3"/>
          <c:order val="3"/>
          <c:tx>
            <c:strRef>
              <c:f>Summary!$B$245</c:f>
              <c:strCache>
                <c:ptCount val="1"/>
                <c:pt idx="0">
                  <c:v>External laser modules</c:v>
                </c:pt>
              </c:strCache>
            </c:strRef>
          </c:tx>
          <c:invertIfNegative val="0"/>
          <c:cat>
            <c:numRef>
              <c:f>Summary!$C$241:$N$241</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Summary!$C$245:$N$245</c:f>
              <c:numCache>
                <c:formatCode>_(* #,##0_);_(* \(#,##0\);_(* "-"??_);_(@_)</c:formatCode>
                <c:ptCount val="12"/>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75-9147-82A7-2C2CEDAE454B}"/>
            </c:ext>
          </c:extLst>
        </c:ser>
        <c:dLbls>
          <c:showLegendKey val="0"/>
          <c:showVal val="0"/>
          <c:showCatName val="0"/>
          <c:showSerName val="0"/>
          <c:showPercent val="0"/>
          <c:showBubbleSize val="0"/>
        </c:dLbls>
        <c:gapWidth val="150"/>
        <c:overlap val="100"/>
        <c:axId val="67763584"/>
        <c:axId val="67765376"/>
      </c:barChart>
      <c:catAx>
        <c:axId val="67763584"/>
        <c:scaling>
          <c:orientation val="minMax"/>
        </c:scaling>
        <c:delete val="0"/>
        <c:axPos val="b"/>
        <c:numFmt formatCode="General" sourceLinked="1"/>
        <c:majorTickMark val="out"/>
        <c:minorTickMark val="none"/>
        <c:tickLblPos val="nextTo"/>
        <c:txPr>
          <a:bodyPr/>
          <a:lstStyle/>
          <a:p>
            <a:pPr>
              <a:defRPr sz="1200"/>
            </a:pPr>
            <a:endParaRPr lang="en-US"/>
          </a:p>
        </c:txPr>
        <c:crossAx val="67765376"/>
        <c:crosses val="autoZero"/>
        <c:auto val="1"/>
        <c:lblAlgn val="ctr"/>
        <c:lblOffset val="100"/>
        <c:noMultiLvlLbl val="0"/>
      </c:catAx>
      <c:valAx>
        <c:axId val="67765376"/>
        <c:scaling>
          <c:orientation val="minMax"/>
          <c:max val="7000000"/>
        </c:scaling>
        <c:delete val="0"/>
        <c:axPos val="l"/>
        <c:majorGridlines/>
        <c:title>
          <c:tx>
            <c:rich>
              <a:bodyPr rot="-5400000" vert="horz"/>
              <a:lstStyle/>
              <a:p>
                <a:pPr>
                  <a:defRPr sz="1400"/>
                </a:pPr>
                <a:r>
                  <a:rPr lang="en-US" sz="1400"/>
                  <a:t>Unit shipments</a:t>
                </a:r>
              </a:p>
            </c:rich>
          </c:tx>
          <c:layout>
            <c:manualLayout>
              <c:xMode val="edge"/>
              <c:yMode val="edge"/>
              <c:x val="7.8957843539699726E-3"/>
              <c:y val="0.27096179374806789"/>
            </c:manualLayout>
          </c:layout>
          <c:overlay val="0"/>
        </c:title>
        <c:numFmt formatCode="_(* #,##0_);_(* \(#,##0\);_(* &quot;-&quot;??_);_(@_)" sourceLinked="1"/>
        <c:majorTickMark val="out"/>
        <c:minorTickMark val="none"/>
        <c:tickLblPos val="nextTo"/>
        <c:txPr>
          <a:bodyPr/>
          <a:lstStyle/>
          <a:p>
            <a:pPr>
              <a:defRPr sz="1200"/>
            </a:pPr>
            <a:endParaRPr lang="en-US"/>
          </a:p>
        </c:txPr>
        <c:crossAx val="67763584"/>
        <c:crosses val="autoZero"/>
        <c:crossBetween val="between"/>
      </c:valAx>
    </c:plotArea>
    <c:legend>
      <c:legendPos val="t"/>
      <c:layout>
        <c:manualLayout>
          <c:xMode val="edge"/>
          <c:yMode val="edge"/>
          <c:x val="0.2185662226139371"/>
          <c:y val="0.10549611777626497"/>
          <c:w val="0.46007549719853913"/>
          <c:h val="0.42102964201861443"/>
        </c:manualLayout>
      </c:layout>
      <c:overlay val="0"/>
      <c:spPr>
        <a:solidFill>
          <a:schemeClr val="bg1"/>
        </a:solidFill>
        <a:ln>
          <a:solidFill>
            <a:schemeClr val="tx1">
              <a:lumMod val="65000"/>
              <a:lumOff val="35000"/>
            </a:schemeClr>
          </a:solidFill>
        </a:ln>
      </c:spPr>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2634516811395"/>
          <c:y val="4.8284110285179288E-2"/>
          <c:w val="0.83155345987254847"/>
          <c:h val="0.83404552155497347"/>
        </c:manualLayout>
      </c:layout>
      <c:barChart>
        <c:barDir val="col"/>
        <c:grouping val="stacked"/>
        <c:varyColors val="0"/>
        <c:ser>
          <c:idx val="1"/>
          <c:order val="0"/>
          <c:tx>
            <c:strRef>
              <c:f>Summary!$P$242</c:f>
              <c:strCache>
                <c:ptCount val="1"/>
                <c:pt idx="0">
                  <c:v>100/400G EOMs</c:v>
                </c:pt>
              </c:strCache>
            </c:strRef>
          </c:tx>
          <c:invertIfNegative val="0"/>
          <c:cat>
            <c:numRef>
              <c:f>Summary!$S$241:$AB$241</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Summary!$S$242:$AB$242</c:f>
              <c:numCache>
                <c:formatCode>_("$"* #,##0_);_("$"* \(#,##0\);_("$"*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924-F64B-95E1-F73E28237C1B}"/>
            </c:ext>
          </c:extLst>
        </c:ser>
        <c:ser>
          <c:idx val="2"/>
          <c:order val="1"/>
          <c:tx>
            <c:strRef>
              <c:f>Summary!$P$243</c:f>
              <c:strCache>
                <c:ptCount val="1"/>
                <c:pt idx="0">
                  <c:v>800G CPO</c:v>
                </c:pt>
              </c:strCache>
            </c:strRef>
          </c:tx>
          <c:invertIfNegative val="0"/>
          <c:cat>
            <c:numRef>
              <c:f>Summary!$S$241:$AB$241</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Summary!$S$243:$AB$243</c:f>
              <c:numCache>
                <c:formatCode>_("$"* #,##0_);_("$"* \(#,##0\);_("$"* "-"??_);_(@_)</c:formatCode>
                <c:ptCount val="10"/>
                <c:pt idx="4">
                  <c:v>0</c:v>
                </c:pt>
                <c:pt idx="5">
                  <c:v>0</c:v>
                </c:pt>
                <c:pt idx="6">
                  <c:v>0</c:v>
                </c:pt>
                <c:pt idx="7">
                  <c:v>0</c:v>
                </c:pt>
                <c:pt idx="8">
                  <c:v>0</c:v>
                </c:pt>
                <c:pt idx="9">
                  <c:v>0</c:v>
                </c:pt>
              </c:numCache>
            </c:numRef>
          </c:val>
          <c:extLst>
            <c:ext xmlns:c16="http://schemas.microsoft.com/office/drawing/2014/chart" uri="{C3380CC4-5D6E-409C-BE32-E72D297353CC}">
              <c16:uniqueId val="{00000000-5FE9-6E40-AE35-681119C6C207}"/>
            </c:ext>
          </c:extLst>
        </c:ser>
        <c:ser>
          <c:idx val="0"/>
          <c:order val="2"/>
          <c:tx>
            <c:strRef>
              <c:f>Summary!$P$244</c:f>
              <c:strCache>
                <c:ptCount val="1"/>
                <c:pt idx="0">
                  <c:v>1.6T CPO</c:v>
                </c:pt>
              </c:strCache>
            </c:strRef>
          </c:tx>
          <c:invertIfNegative val="0"/>
          <c:cat>
            <c:numRef>
              <c:f>Summary!$S$241:$AB$241</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Summary!$S$244:$AB$244</c:f>
              <c:numCache>
                <c:formatCode>_("$"* #,##0_);_("$"* \(#,##0\);_("$"* "-"??_);_(@_)</c:formatCode>
                <c:ptCount val="10"/>
                <c:pt idx="4">
                  <c:v>0</c:v>
                </c:pt>
                <c:pt idx="5">
                  <c:v>0</c:v>
                </c:pt>
                <c:pt idx="6">
                  <c:v>0</c:v>
                </c:pt>
                <c:pt idx="7">
                  <c:v>0</c:v>
                </c:pt>
                <c:pt idx="8">
                  <c:v>0</c:v>
                </c:pt>
                <c:pt idx="9">
                  <c:v>0</c:v>
                </c:pt>
              </c:numCache>
            </c:numRef>
          </c:val>
          <c:extLst>
            <c:ext xmlns:c16="http://schemas.microsoft.com/office/drawing/2014/chart" uri="{C3380CC4-5D6E-409C-BE32-E72D297353CC}">
              <c16:uniqueId val="{00000001-160B-DD4E-974C-ACDB5951D36C}"/>
            </c:ext>
          </c:extLst>
        </c:ser>
        <c:ser>
          <c:idx val="3"/>
          <c:order val="3"/>
          <c:tx>
            <c:strRef>
              <c:f>Summary!$P$245</c:f>
              <c:strCache>
                <c:ptCount val="1"/>
                <c:pt idx="0">
                  <c:v>External laser modules</c:v>
                </c:pt>
              </c:strCache>
            </c:strRef>
          </c:tx>
          <c:invertIfNegative val="0"/>
          <c:cat>
            <c:numRef>
              <c:f>Summary!$S$241:$AB$241</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Summary!$S$245:$AB$245</c:f>
              <c:numCache>
                <c:formatCode>_("$"* #,##0_);_("$"* \(#,##0\);_("$"* "-"??_);_(@_)</c:formatCode>
                <c:ptCount val="10"/>
                <c:pt idx="4">
                  <c:v>0</c:v>
                </c:pt>
                <c:pt idx="5">
                  <c:v>0</c:v>
                </c:pt>
                <c:pt idx="6">
                  <c:v>0</c:v>
                </c:pt>
                <c:pt idx="7">
                  <c:v>0</c:v>
                </c:pt>
                <c:pt idx="8">
                  <c:v>0</c:v>
                </c:pt>
                <c:pt idx="9">
                  <c:v>0</c:v>
                </c:pt>
              </c:numCache>
            </c:numRef>
          </c:val>
          <c:extLst>
            <c:ext xmlns:c16="http://schemas.microsoft.com/office/drawing/2014/chart" uri="{C3380CC4-5D6E-409C-BE32-E72D297353CC}">
              <c16:uniqueId val="{00000000-DD33-2541-A923-1687C66A756C}"/>
            </c:ext>
          </c:extLst>
        </c:ser>
        <c:dLbls>
          <c:showLegendKey val="0"/>
          <c:showVal val="0"/>
          <c:showCatName val="0"/>
          <c:showSerName val="0"/>
          <c:showPercent val="0"/>
          <c:showBubbleSize val="0"/>
        </c:dLbls>
        <c:gapWidth val="150"/>
        <c:overlap val="100"/>
        <c:axId val="67814528"/>
        <c:axId val="67816064"/>
      </c:barChart>
      <c:catAx>
        <c:axId val="67814528"/>
        <c:scaling>
          <c:orientation val="minMax"/>
        </c:scaling>
        <c:delete val="0"/>
        <c:axPos val="b"/>
        <c:numFmt formatCode="General" sourceLinked="1"/>
        <c:majorTickMark val="out"/>
        <c:minorTickMark val="none"/>
        <c:tickLblPos val="nextTo"/>
        <c:txPr>
          <a:bodyPr/>
          <a:lstStyle/>
          <a:p>
            <a:pPr>
              <a:defRPr sz="1200"/>
            </a:pPr>
            <a:endParaRPr lang="en-US"/>
          </a:p>
        </c:txPr>
        <c:crossAx val="67816064"/>
        <c:crosses val="autoZero"/>
        <c:auto val="1"/>
        <c:lblAlgn val="ctr"/>
        <c:lblOffset val="100"/>
        <c:noMultiLvlLbl val="0"/>
      </c:catAx>
      <c:valAx>
        <c:axId val="67816064"/>
        <c:scaling>
          <c:orientation val="minMax"/>
        </c:scaling>
        <c:delete val="0"/>
        <c:axPos val="l"/>
        <c:majorGridlines/>
        <c:title>
          <c:tx>
            <c:rich>
              <a:bodyPr rot="-5400000" vert="horz"/>
              <a:lstStyle/>
              <a:p>
                <a:pPr>
                  <a:defRPr sz="1400"/>
                </a:pPr>
                <a:r>
                  <a:rPr lang="en-US" sz="1400"/>
                  <a:t>Annual sales ($ mn)</a:t>
                </a:r>
              </a:p>
            </c:rich>
          </c:tx>
          <c:layout>
            <c:manualLayout>
              <c:xMode val="edge"/>
              <c:yMode val="edge"/>
              <c:x val="7.8957843539699726E-3"/>
              <c:y val="0.27096179374806789"/>
            </c:manualLayout>
          </c:layout>
          <c:overlay val="0"/>
        </c:title>
        <c:numFmt formatCode="&quot;$&quot;#,##0" sourceLinked="0"/>
        <c:majorTickMark val="out"/>
        <c:minorTickMark val="none"/>
        <c:tickLblPos val="nextTo"/>
        <c:txPr>
          <a:bodyPr/>
          <a:lstStyle/>
          <a:p>
            <a:pPr>
              <a:defRPr sz="1200"/>
            </a:pPr>
            <a:endParaRPr lang="en-US"/>
          </a:p>
        </c:txPr>
        <c:crossAx val="67814528"/>
        <c:crosses val="autoZero"/>
        <c:crossBetween val="between"/>
      </c:valAx>
    </c:plotArea>
    <c:legend>
      <c:legendPos val="t"/>
      <c:layout>
        <c:manualLayout>
          <c:xMode val="edge"/>
          <c:yMode val="edge"/>
          <c:x val="0.17647942727879629"/>
          <c:y val="8.6602937020926959E-2"/>
          <c:w val="0.37271163358231385"/>
          <c:h val="0.4684343732636167"/>
        </c:manualLayout>
      </c:layout>
      <c:overlay val="0"/>
      <c:spPr>
        <a:solidFill>
          <a:schemeClr val="bg1"/>
        </a:solidFill>
        <a:ln>
          <a:solidFill>
            <a:schemeClr val="tx1">
              <a:lumMod val="65000"/>
              <a:lumOff val="35000"/>
            </a:schemeClr>
          </a:solidFill>
        </a:ln>
      </c:spPr>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76436935896359"/>
          <c:y val="6.6679004496050173E-2"/>
          <c:w val="0.76594830072990461"/>
          <c:h val="0.80962768491223713"/>
        </c:manualLayout>
      </c:layout>
      <c:lineChart>
        <c:grouping val="standard"/>
        <c:varyColors val="0"/>
        <c:ser>
          <c:idx val="0"/>
          <c:order val="0"/>
          <c:tx>
            <c:strRef>
              <c:f>Summary!$B$80</c:f>
              <c:strCache>
                <c:ptCount val="1"/>
                <c:pt idx="0">
                  <c:v> 40G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Summary!$C$80:$N$80</c:f>
              <c:numCache>
                <c:formatCode>_(* #,##0_);_(* \(#,##0\);_(* "-"??_);_(@_)</c:formatCode>
                <c:ptCount val="12"/>
                <c:pt idx="0">
                  <c:v>338994</c:v>
                </c:pt>
                <c:pt idx="1">
                  <c:v>205928</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A30-1447-BC6E-2073BD61681A}"/>
            </c:ext>
          </c:extLst>
        </c:ser>
        <c:ser>
          <c:idx val="1"/>
          <c:order val="1"/>
          <c:tx>
            <c:strRef>
              <c:f>Summary!$B$81</c:f>
              <c:strCache>
                <c:ptCount val="1"/>
                <c:pt idx="0">
                  <c:v> 100G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Summary!$C$81:$N$81</c:f>
              <c:numCache>
                <c:formatCode>_(* #,##0_);_(* \(#,##0\);_(* "-"??_);_(@_)</c:formatCode>
                <c:ptCount val="12"/>
                <c:pt idx="0">
                  <c:v>140000</c:v>
                </c:pt>
                <c:pt idx="1">
                  <c:v>196709</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A30-1447-BC6E-2073BD61681A}"/>
            </c:ext>
          </c:extLst>
        </c:ser>
        <c:ser>
          <c:idx val="2"/>
          <c:order val="2"/>
          <c:tx>
            <c:strRef>
              <c:f>Summary!$B$82</c:f>
              <c:strCache>
                <c:ptCount val="1"/>
                <c:pt idx="0">
                  <c:v> 40G DACs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Summary!$C$82:$N$82</c:f>
              <c:numCache>
                <c:formatCode>_(* #,##0_);_(* \(#,##0\);_(* "-"??_);_(@_)</c:formatCode>
                <c:ptCount val="12"/>
                <c:pt idx="0">
                  <c:v>1672205.7074885746</c:v>
                </c:pt>
                <c:pt idx="1">
                  <c:v>1222748.8825000001</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A30-1447-BC6E-2073BD61681A}"/>
            </c:ext>
          </c:extLst>
        </c:ser>
        <c:ser>
          <c:idx val="3"/>
          <c:order val="3"/>
          <c:tx>
            <c:strRef>
              <c:f>Summary!$B$83</c:f>
              <c:strCache>
                <c:ptCount val="1"/>
                <c:pt idx="0">
                  <c:v> 100G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Summary!$C$83:$N$83</c:f>
              <c:numCache>
                <c:formatCode>_(* #,##0_);_(* \(#,##0\);_(* "-"??_);_(@_)</c:formatCode>
                <c:ptCount val="12"/>
                <c:pt idx="0">
                  <c:v>162811.34000000003</c:v>
                </c:pt>
                <c:pt idx="1">
                  <c:v>464323.94</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8A30-1447-BC6E-2073BD61681A}"/>
            </c:ext>
          </c:extLst>
        </c:ser>
        <c:dLbls>
          <c:showLegendKey val="0"/>
          <c:showVal val="0"/>
          <c:showCatName val="0"/>
          <c:showSerName val="0"/>
          <c:showPercent val="0"/>
          <c:showBubbleSize val="0"/>
        </c:dLbls>
        <c:smooth val="0"/>
        <c:axId val="67902080"/>
        <c:axId val="67928448"/>
      </c:lineChart>
      <c:catAx>
        <c:axId val="67902080"/>
        <c:scaling>
          <c:orientation val="minMax"/>
        </c:scaling>
        <c:delete val="0"/>
        <c:axPos val="b"/>
        <c:numFmt formatCode="General" sourceLinked="1"/>
        <c:majorTickMark val="out"/>
        <c:minorTickMark val="none"/>
        <c:tickLblPos val="nextTo"/>
        <c:txPr>
          <a:bodyPr/>
          <a:lstStyle/>
          <a:p>
            <a:pPr>
              <a:defRPr sz="1200"/>
            </a:pPr>
            <a:endParaRPr lang="en-US"/>
          </a:p>
        </c:txPr>
        <c:crossAx val="67928448"/>
        <c:crosses val="autoZero"/>
        <c:auto val="1"/>
        <c:lblAlgn val="ctr"/>
        <c:lblOffset val="100"/>
        <c:noMultiLvlLbl val="0"/>
      </c:catAx>
      <c:valAx>
        <c:axId val="67928448"/>
        <c:scaling>
          <c:orientation val="minMax"/>
          <c:max val="8000000"/>
        </c:scaling>
        <c:delete val="0"/>
        <c:axPos val="l"/>
        <c:majorGridlines/>
        <c:title>
          <c:tx>
            <c:rich>
              <a:bodyPr rot="-5400000" vert="horz"/>
              <a:lstStyle/>
              <a:p>
                <a:pPr>
                  <a:defRPr sz="1400" b="0"/>
                </a:pPr>
                <a:r>
                  <a:rPr lang="en-US" sz="1400" b="0"/>
                  <a:t>Annual shipments (units)</a:t>
                </a:r>
              </a:p>
            </c:rich>
          </c:tx>
          <c:layout>
            <c:manualLayout>
              <c:xMode val="edge"/>
              <c:yMode val="edge"/>
              <c:x val="2.3029628134108946E-2"/>
              <c:y val="0.14982060486379986"/>
            </c:manualLayout>
          </c:layout>
          <c:overlay val="0"/>
        </c:title>
        <c:numFmt formatCode="_(* #,##0_);_(* \(#,##0\);_(* &quot;-&quot;??_);_(@_)" sourceLinked="1"/>
        <c:majorTickMark val="out"/>
        <c:minorTickMark val="none"/>
        <c:tickLblPos val="nextTo"/>
        <c:txPr>
          <a:bodyPr/>
          <a:lstStyle/>
          <a:p>
            <a:pPr>
              <a:defRPr sz="1200"/>
            </a:pPr>
            <a:endParaRPr lang="en-US"/>
          </a:p>
        </c:txPr>
        <c:crossAx val="67902080"/>
        <c:crosses val="autoZero"/>
        <c:crossBetween val="between"/>
      </c:valAx>
    </c:plotArea>
    <c:legend>
      <c:legendPos val="t"/>
      <c:layout>
        <c:manualLayout>
          <c:xMode val="edge"/>
          <c:yMode val="edge"/>
          <c:x val="0.25642989370745328"/>
          <c:y val="0.13093800946874465"/>
          <c:w val="0.24215911967240833"/>
          <c:h val="0.42628240114559396"/>
        </c:manualLayout>
      </c:layout>
      <c:overlay val="0"/>
      <c:spPr>
        <a:solidFill>
          <a:schemeClr val="bg1"/>
        </a:solidFill>
        <a:ln>
          <a:solidFill>
            <a:schemeClr val="bg1">
              <a:lumMod val="50000"/>
            </a:schemeClr>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97429984177153"/>
          <c:y val="5.8596475896608137E-2"/>
          <c:w val="0.74256207693190279"/>
          <c:h val="0.81770970548509436"/>
        </c:manualLayout>
      </c:layout>
      <c:lineChart>
        <c:grouping val="standard"/>
        <c:varyColors val="0"/>
        <c:ser>
          <c:idx val="0"/>
          <c:order val="0"/>
          <c:tx>
            <c:strRef>
              <c:f>Summary!$B$84</c:f>
              <c:strCache>
                <c:ptCount val="1"/>
                <c:pt idx="0">
                  <c:v> 200G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Summary!$C$84:$N$84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E38-2849-9227-40CAB7BDA23F}"/>
            </c:ext>
          </c:extLst>
        </c:ser>
        <c:ser>
          <c:idx val="1"/>
          <c:order val="1"/>
          <c:tx>
            <c:strRef>
              <c:f>Summary!$B$85</c:f>
              <c:strCache>
                <c:ptCount val="1"/>
                <c:pt idx="0">
                  <c:v> 400G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Summary!$C$85:$N$85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E38-2849-9227-40CAB7BDA23F}"/>
            </c:ext>
          </c:extLst>
        </c:ser>
        <c:ser>
          <c:idx val="2"/>
          <c:order val="2"/>
          <c:tx>
            <c:strRef>
              <c:f>Summary!$B$86</c:f>
              <c:strCache>
                <c:ptCount val="1"/>
                <c:pt idx="0">
                  <c:v> 200G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Summary!$C$86:$N$86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E38-2849-9227-40CAB7BDA23F}"/>
            </c:ext>
          </c:extLst>
        </c:ser>
        <c:ser>
          <c:idx val="3"/>
          <c:order val="3"/>
          <c:tx>
            <c:strRef>
              <c:f>Summary!$B$87</c:f>
              <c:strCache>
                <c:ptCount val="1"/>
                <c:pt idx="0">
                  <c:v> 400G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Summary!$C$87:$N$87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E38-2849-9227-40CAB7BDA23F}"/>
            </c:ext>
          </c:extLst>
        </c:ser>
        <c:ser>
          <c:idx val="4"/>
          <c:order val="4"/>
          <c:tx>
            <c:strRef>
              <c:f>Summary!$B$88</c:f>
              <c:strCache>
                <c:ptCount val="1"/>
                <c:pt idx="0">
                  <c:v> 800G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Summary!$C$88:$N$88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377-4D4A-924B-04157271F712}"/>
            </c:ext>
          </c:extLst>
        </c:ser>
        <c:ser>
          <c:idx val="5"/>
          <c:order val="5"/>
          <c:tx>
            <c:strRef>
              <c:f>Summary!$B$89</c:f>
              <c:strCache>
                <c:ptCount val="1"/>
                <c:pt idx="0">
                  <c:v> 1.6T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Summary!$C$89:$N$89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377-4D4A-924B-04157271F712}"/>
            </c:ext>
          </c:extLst>
        </c:ser>
        <c:ser>
          <c:idx val="6"/>
          <c:order val="6"/>
          <c:tx>
            <c:strRef>
              <c:f>Summary!$B$90</c:f>
              <c:strCache>
                <c:ptCount val="1"/>
                <c:pt idx="0">
                  <c:v> 800G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Summary!$C$90:$N$90</c:f>
              <c:numCache>
                <c:formatCode>_(* #,##0_);_(* \(#,##0\);_(* "-"??_);_(@_)</c:formatCode>
                <c:ptCount val="12"/>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377-4D4A-924B-04157271F712}"/>
            </c:ext>
          </c:extLst>
        </c:ser>
        <c:ser>
          <c:idx val="7"/>
          <c:order val="7"/>
          <c:tx>
            <c:strRef>
              <c:f>Summary!$B$91</c:f>
              <c:strCache>
                <c:ptCount val="1"/>
                <c:pt idx="0">
                  <c:v> 1.6T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Summary!$C$91:$N$91</c:f>
              <c:numCache>
                <c:formatCode>_(* #,##0_);_(* \(#,##0\);_(* "-"??_);_(@_)</c:formatCode>
                <c:ptCount val="12"/>
                <c:pt idx="8">
                  <c:v>0</c:v>
                </c:pt>
                <c:pt idx="9">
                  <c:v>0</c:v>
                </c:pt>
                <c:pt idx="10">
                  <c:v>0</c:v>
                </c:pt>
                <c:pt idx="11">
                  <c:v>0</c:v>
                </c:pt>
              </c:numCache>
            </c:numRef>
          </c:val>
          <c:smooth val="0"/>
          <c:extLst>
            <c:ext xmlns:c16="http://schemas.microsoft.com/office/drawing/2014/chart" uri="{C3380CC4-5D6E-409C-BE32-E72D297353CC}">
              <c16:uniqueId val="{00000003-3377-4D4A-924B-04157271F712}"/>
            </c:ext>
          </c:extLst>
        </c:ser>
        <c:dLbls>
          <c:showLegendKey val="0"/>
          <c:showVal val="0"/>
          <c:showCatName val="0"/>
          <c:showSerName val="0"/>
          <c:showPercent val="0"/>
          <c:showBubbleSize val="0"/>
        </c:dLbls>
        <c:smooth val="0"/>
        <c:axId val="68039808"/>
        <c:axId val="68041344"/>
      </c:lineChart>
      <c:catAx>
        <c:axId val="68039808"/>
        <c:scaling>
          <c:orientation val="minMax"/>
        </c:scaling>
        <c:delete val="0"/>
        <c:axPos val="b"/>
        <c:numFmt formatCode="General" sourceLinked="1"/>
        <c:majorTickMark val="out"/>
        <c:minorTickMark val="none"/>
        <c:tickLblPos val="nextTo"/>
        <c:txPr>
          <a:bodyPr/>
          <a:lstStyle/>
          <a:p>
            <a:pPr>
              <a:defRPr sz="1200"/>
            </a:pPr>
            <a:endParaRPr lang="en-US"/>
          </a:p>
        </c:txPr>
        <c:crossAx val="68041344"/>
        <c:crosses val="autoZero"/>
        <c:auto val="1"/>
        <c:lblAlgn val="ctr"/>
        <c:lblOffset val="100"/>
        <c:noMultiLvlLbl val="0"/>
      </c:catAx>
      <c:valAx>
        <c:axId val="68041344"/>
        <c:scaling>
          <c:orientation val="minMax"/>
        </c:scaling>
        <c:delete val="0"/>
        <c:axPos val="l"/>
        <c:majorGridlines/>
        <c:title>
          <c:tx>
            <c:rich>
              <a:bodyPr rot="-5400000" vert="horz"/>
              <a:lstStyle/>
              <a:p>
                <a:pPr>
                  <a:defRPr sz="1400" b="0"/>
                </a:pPr>
                <a:r>
                  <a:rPr lang="en-US" sz="1400" b="0"/>
                  <a:t>Annual shipments (units)</a:t>
                </a:r>
              </a:p>
            </c:rich>
          </c:tx>
          <c:layout>
            <c:manualLayout>
              <c:xMode val="edge"/>
              <c:yMode val="edge"/>
              <c:x val="1.3013626955794472E-2"/>
              <c:y val="0.16847050460189605"/>
            </c:manualLayout>
          </c:layout>
          <c:overlay val="0"/>
        </c:title>
        <c:numFmt formatCode="_(* #,##0_);_(* \(#,##0\);_(* &quot;-&quot;??_);_(@_)" sourceLinked="1"/>
        <c:majorTickMark val="out"/>
        <c:minorTickMark val="none"/>
        <c:tickLblPos val="nextTo"/>
        <c:txPr>
          <a:bodyPr/>
          <a:lstStyle/>
          <a:p>
            <a:pPr>
              <a:defRPr sz="1200"/>
            </a:pPr>
            <a:endParaRPr lang="en-US"/>
          </a:p>
        </c:txPr>
        <c:crossAx val="68039808"/>
        <c:crosses val="autoZero"/>
        <c:crossBetween val="between"/>
        <c:majorUnit val="500000"/>
      </c:valAx>
    </c:plotArea>
    <c:legend>
      <c:legendPos val="t"/>
      <c:layout>
        <c:manualLayout>
          <c:xMode val="edge"/>
          <c:yMode val="edge"/>
          <c:x val="0.25394986507181494"/>
          <c:y val="9.7815489466429234E-2"/>
          <c:w val="0.28940145502385978"/>
          <c:h val="0.60016535428412543"/>
        </c:manualLayout>
      </c:layout>
      <c:overlay val="0"/>
      <c:spPr>
        <a:solidFill>
          <a:schemeClr val="bg1"/>
        </a:solidFill>
        <a:ln>
          <a:solidFill>
            <a:schemeClr val="bg1">
              <a:lumMod val="50000"/>
            </a:schemeClr>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A.S.P.</a:t>
            </a:r>
          </a:p>
          <a:p>
            <a:pPr>
              <a:defRPr/>
            </a:pPr>
            <a:endParaRPr lang="en-US"/>
          </a:p>
        </c:rich>
      </c:tx>
      <c:overlay val="0"/>
    </c:title>
    <c:autoTitleDeleted val="0"/>
    <c:plotArea>
      <c:layout>
        <c:manualLayout>
          <c:layoutTarget val="inner"/>
          <c:xMode val="edge"/>
          <c:yMode val="edge"/>
          <c:x val="0.121590669333536"/>
          <c:y val="0.192825713193919"/>
          <c:w val="0.81231907908617496"/>
          <c:h val="0.71908853436156694"/>
        </c:manualLayout>
      </c:layout>
      <c:barChart>
        <c:barDir val="col"/>
        <c:grouping val="clustered"/>
        <c:varyColors val="0"/>
        <c:ser>
          <c:idx val="1"/>
          <c:order val="0"/>
          <c:tx>
            <c:strRef>
              <c:f>Dashboard!$D$35</c:f>
              <c:strCache>
                <c:ptCount val="1"/>
                <c:pt idx="0">
                  <c:v>A.S.P. ($)</c:v>
                </c:pt>
              </c:strCache>
            </c:strRef>
          </c:tx>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Dashboard!$E$35:$P$35</c:f>
              <c:numCache>
                <c:formatCode>_("$"* #,##0_);_("$"* \(#,##0\);_("$"* "-"??_);_(@_)</c:formatCode>
                <c:ptCount val="12"/>
                <c:pt idx="0">
                  <c:v>51.360739335753856</c:v>
                </c:pt>
                <c:pt idx="1">
                  <c:v>42.96855815052372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D9E-0A42-9FC4-8E6894DCAAEF}"/>
            </c:ext>
          </c:extLst>
        </c:ser>
        <c:dLbls>
          <c:showLegendKey val="0"/>
          <c:showVal val="0"/>
          <c:showCatName val="0"/>
          <c:showSerName val="0"/>
          <c:showPercent val="0"/>
          <c:showBubbleSize val="0"/>
        </c:dLbls>
        <c:gapWidth val="150"/>
        <c:axId val="60893824"/>
        <c:axId val="60944768"/>
      </c:barChart>
      <c:catAx>
        <c:axId val="60893824"/>
        <c:scaling>
          <c:orientation val="minMax"/>
        </c:scaling>
        <c:delete val="0"/>
        <c:axPos val="b"/>
        <c:numFmt formatCode="General" sourceLinked="1"/>
        <c:majorTickMark val="out"/>
        <c:minorTickMark val="none"/>
        <c:tickLblPos val="nextTo"/>
        <c:crossAx val="60944768"/>
        <c:crosses val="autoZero"/>
        <c:auto val="1"/>
        <c:lblAlgn val="ctr"/>
        <c:lblOffset val="100"/>
        <c:noMultiLvlLbl val="0"/>
      </c:catAx>
      <c:valAx>
        <c:axId val="60944768"/>
        <c:scaling>
          <c:orientation val="minMax"/>
        </c:scaling>
        <c:delete val="0"/>
        <c:axPos val="l"/>
        <c:majorGridlines/>
        <c:numFmt formatCode="_(&quot;$&quot;* #,##0_);_(&quot;$&quot;* \(#,##0\);_(&quot;$&quot;* &quot;-&quot;??_);_(@_)" sourceLinked="1"/>
        <c:majorTickMark val="out"/>
        <c:minorTickMark val="none"/>
        <c:tickLblPos val="nextTo"/>
        <c:crossAx val="60893824"/>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0484235312062"/>
          <c:y val="8.4984409889786255E-2"/>
          <c:w val="0.78289701813416357"/>
          <c:h val="0.78798255195794431"/>
        </c:manualLayout>
      </c:layout>
      <c:barChart>
        <c:barDir val="col"/>
        <c:grouping val="stacked"/>
        <c:varyColors val="0"/>
        <c:ser>
          <c:idx val="0"/>
          <c:order val="0"/>
          <c:tx>
            <c:strRef>
              <c:f>Summary!$B$300</c:f>
              <c:strCache>
                <c:ptCount val="1"/>
                <c:pt idx="0">
                  <c:v>HPC &amp; AI Clusters</c:v>
                </c:pt>
              </c:strCache>
            </c:strRef>
          </c:tx>
          <c:invertIfNegative val="0"/>
          <c:cat>
            <c:numRef>
              <c:f>Summary!$H$299:$O$299</c:f>
              <c:numCache>
                <c:formatCode>General</c:formatCode>
                <c:ptCount val="8"/>
                <c:pt idx="0">
                  <c:v>2020</c:v>
                </c:pt>
                <c:pt idx="1">
                  <c:v>2021</c:v>
                </c:pt>
                <c:pt idx="2">
                  <c:v>2022</c:v>
                </c:pt>
                <c:pt idx="3">
                  <c:v>2023</c:v>
                </c:pt>
                <c:pt idx="4">
                  <c:v>2024</c:v>
                </c:pt>
                <c:pt idx="5">
                  <c:v>2025</c:v>
                </c:pt>
                <c:pt idx="6">
                  <c:v>2026</c:v>
                </c:pt>
                <c:pt idx="7">
                  <c:v>2027</c:v>
                </c:pt>
              </c:numCache>
            </c:numRef>
          </c:cat>
          <c:val>
            <c:numRef>
              <c:f>Summary!$H$300:$O$300</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649-E94E-913B-3DA2AC04D941}"/>
            </c:ext>
          </c:extLst>
        </c:ser>
        <c:ser>
          <c:idx val="1"/>
          <c:order val="1"/>
          <c:tx>
            <c:strRef>
              <c:f>Summary!$B$301</c:f>
              <c:strCache>
                <c:ptCount val="1"/>
                <c:pt idx="0">
                  <c:v>Core Routing</c:v>
                </c:pt>
              </c:strCache>
            </c:strRef>
          </c:tx>
          <c:invertIfNegative val="0"/>
          <c:cat>
            <c:numRef>
              <c:f>Summary!$H$299:$O$299</c:f>
              <c:numCache>
                <c:formatCode>General</c:formatCode>
                <c:ptCount val="8"/>
                <c:pt idx="0">
                  <c:v>2020</c:v>
                </c:pt>
                <c:pt idx="1">
                  <c:v>2021</c:v>
                </c:pt>
                <c:pt idx="2">
                  <c:v>2022</c:v>
                </c:pt>
                <c:pt idx="3">
                  <c:v>2023</c:v>
                </c:pt>
                <c:pt idx="4">
                  <c:v>2024</c:v>
                </c:pt>
                <c:pt idx="5">
                  <c:v>2025</c:v>
                </c:pt>
                <c:pt idx="6">
                  <c:v>2026</c:v>
                </c:pt>
                <c:pt idx="7">
                  <c:v>2027</c:v>
                </c:pt>
              </c:numCache>
            </c:numRef>
          </c:cat>
          <c:val>
            <c:numRef>
              <c:f>Summary!$H$301:$O$301</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649-E94E-913B-3DA2AC04D941}"/>
            </c:ext>
          </c:extLst>
        </c:ser>
        <c:ser>
          <c:idx val="2"/>
          <c:order val="2"/>
          <c:tx>
            <c:strRef>
              <c:f>Summary!$B$302</c:f>
              <c:strCache>
                <c:ptCount val="1"/>
                <c:pt idx="0">
                  <c:v>DC Compute Nodes (except 1x10/1x25G)</c:v>
                </c:pt>
              </c:strCache>
            </c:strRef>
          </c:tx>
          <c:invertIfNegative val="0"/>
          <c:cat>
            <c:numRef>
              <c:f>Summary!$H$299:$O$299</c:f>
              <c:numCache>
                <c:formatCode>General</c:formatCode>
                <c:ptCount val="8"/>
                <c:pt idx="0">
                  <c:v>2020</c:v>
                </c:pt>
                <c:pt idx="1">
                  <c:v>2021</c:v>
                </c:pt>
                <c:pt idx="2">
                  <c:v>2022</c:v>
                </c:pt>
                <c:pt idx="3">
                  <c:v>2023</c:v>
                </c:pt>
                <c:pt idx="4">
                  <c:v>2024</c:v>
                </c:pt>
                <c:pt idx="5">
                  <c:v>2025</c:v>
                </c:pt>
                <c:pt idx="6">
                  <c:v>2026</c:v>
                </c:pt>
                <c:pt idx="7">
                  <c:v>2027</c:v>
                </c:pt>
              </c:numCache>
            </c:numRef>
          </c:cat>
          <c:val>
            <c:numRef>
              <c:f>Summary!$H$302:$O$302</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0649-E94E-913B-3DA2AC04D941}"/>
            </c:ext>
          </c:extLst>
        </c:ser>
        <c:ser>
          <c:idx val="3"/>
          <c:order val="3"/>
          <c:tx>
            <c:strRef>
              <c:f>Summary!$B$303</c:f>
              <c:strCache>
                <c:ptCount val="1"/>
                <c:pt idx="0">
                  <c:v>Other</c:v>
                </c:pt>
              </c:strCache>
            </c:strRef>
          </c:tx>
          <c:invertIfNegative val="0"/>
          <c:cat>
            <c:numRef>
              <c:f>Summary!$H$299:$O$299</c:f>
              <c:numCache>
                <c:formatCode>General</c:formatCode>
                <c:ptCount val="8"/>
                <c:pt idx="0">
                  <c:v>2020</c:v>
                </c:pt>
                <c:pt idx="1">
                  <c:v>2021</c:v>
                </c:pt>
                <c:pt idx="2">
                  <c:v>2022</c:v>
                </c:pt>
                <c:pt idx="3">
                  <c:v>2023</c:v>
                </c:pt>
                <c:pt idx="4">
                  <c:v>2024</c:v>
                </c:pt>
                <c:pt idx="5">
                  <c:v>2025</c:v>
                </c:pt>
                <c:pt idx="6">
                  <c:v>2026</c:v>
                </c:pt>
                <c:pt idx="7">
                  <c:v>2027</c:v>
                </c:pt>
              </c:numCache>
            </c:numRef>
          </c:cat>
          <c:val>
            <c:numRef>
              <c:f>Summary!$H$303:$O$303</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848-3D4E-8B4C-8653D7B899A0}"/>
            </c:ext>
          </c:extLst>
        </c:ser>
        <c:dLbls>
          <c:showLegendKey val="0"/>
          <c:showVal val="0"/>
          <c:showCatName val="0"/>
          <c:showSerName val="0"/>
          <c:showPercent val="0"/>
          <c:showBubbleSize val="0"/>
        </c:dLbls>
        <c:gapWidth val="150"/>
        <c:overlap val="100"/>
        <c:axId val="68090880"/>
        <c:axId val="68100864"/>
      </c:barChart>
      <c:catAx>
        <c:axId val="68090880"/>
        <c:scaling>
          <c:orientation val="minMax"/>
        </c:scaling>
        <c:delete val="0"/>
        <c:axPos val="b"/>
        <c:numFmt formatCode="General" sourceLinked="1"/>
        <c:majorTickMark val="out"/>
        <c:minorTickMark val="none"/>
        <c:tickLblPos val="nextTo"/>
        <c:txPr>
          <a:bodyPr/>
          <a:lstStyle/>
          <a:p>
            <a:pPr>
              <a:defRPr sz="1200"/>
            </a:pPr>
            <a:endParaRPr lang="en-US"/>
          </a:p>
        </c:txPr>
        <c:crossAx val="68100864"/>
        <c:crosses val="autoZero"/>
        <c:auto val="1"/>
        <c:lblAlgn val="ctr"/>
        <c:lblOffset val="100"/>
        <c:noMultiLvlLbl val="0"/>
      </c:catAx>
      <c:valAx>
        <c:axId val="68100864"/>
        <c:scaling>
          <c:orientation val="minMax"/>
          <c:min val="0"/>
        </c:scaling>
        <c:delete val="0"/>
        <c:axPos val="l"/>
        <c:majorGridlines/>
        <c:title>
          <c:tx>
            <c:rich>
              <a:bodyPr rot="-5400000" vert="horz"/>
              <a:lstStyle/>
              <a:p>
                <a:pPr>
                  <a:defRPr sz="1400" b="0"/>
                </a:pPr>
                <a:r>
                  <a:rPr lang="en-US" sz="1400" b="0"/>
                  <a:t>Annual</a:t>
                </a:r>
                <a:r>
                  <a:rPr lang="en-US" sz="1400" b="0" baseline="0"/>
                  <a:t> shipments (Units)</a:t>
                </a:r>
                <a:endParaRPr lang="en-US" sz="1400" b="0"/>
              </a:p>
            </c:rich>
          </c:tx>
          <c:layout>
            <c:manualLayout>
              <c:xMode val="edge"/>
              <c:yMode val="edge"/>
              <c:x val="1.6730666435279738E-2"/>
              <c:y val="0.27851225672262664"/>
            </c:manualLayout>
          </c:layout>
          <c:overlay val="0"/>
        </c:title>
        <c:numFmt formatCode="_(* #,##0_);_(* \(#,##0\);_(* &quot;-&quot;??_);_(@_)" sourceLinked="1"/>
        <c:majorTickMark val="out"/>
        <c:minorTickMark val="none"/>
        <c:tickLblPos val="nextTo"/>
        <c:txPr>
          <a:bodyPr/>
          <a:lstStyle/>
          <a:p>
            <a:pPr>
              <a:defRPr sz="1200"/>
            </a:pPr>
            <a:endParaRPr lang="en-US"/>
          </a:p>
        </c:txPr>
        <c:crossAx val="68090880"/>
        <c:crosses val="autoZero"/>
        <c:crossBetween val="between"/>
      </c:valAx>
    </c:plotArea>
    <c:legend>
      <c:legendPos val="r"/>
      <c:layout>
        <c:manualLayout>
          <c:xMode val="edge"/>
          <c:yMode val="edge"/>
          <c:x val="0.21744976930072954"/>
          <c:y val="0.1344728163847046"/>
          <c:w val="0.26020483065952904"/>
          <c:h val="0.63132321755780196"/>
        </c:manualLayout>
      </c:layout>
      <c:overlay val="0"/>
      <c:spPr>
        <a:solidFill>
          <a:schemeClr val="bg1"/>
        </a:solidFill>
        <a:ln>
          <a:solidFill>
            <a:sysClr val="windowText" lastClr="000000"/>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2022</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Summary!$B$300:$B$303</c:f>
              <c:strCache>
                <c:ptCount val="4"/>
                <c:pt idx="0">
                  <c:v>HPC &amp; AI Clusters</c:v>
                </c:pt>
                <c:pt idx="1">
                  <c:v>Core Routing</c:v>
                </c:pt>
                <c:pt idx="2">
                  <c:v>DC Compute Nodes (except 1x10/1x25G)</c:v>
                </c:pt>
                <c:pt idx="3">
                  <c:v>Other</c:v>
                </c:pt>
              </c:strCache>
            </c:strRef>
          </c:cat>
          <c:val>
            <c:numRef>
              <c:f>Summary!$J$300:$J$303</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5FEE-1F45-90D4-9BD81B0D4C51}"/>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2027</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Summary!$B$300:$B$303</c:f>
              <c:strCache>
                <c:ptCount val="4"/>
                <c:pt idx="0">
                  <c:v>HPC &amp; AI Clusters</c:v>
                </c:pt>
                <c:pt idx="1">
                  <c:v>Core Routing</c:v>
                </c:pt>
                <c:pt idx="2">
                  <c:v>DC Compute Nodes (except 1x10/1x25G)</c:v>
                </c:pt>
                <c:pt idx="3">
                  <c:v>Other</c:v>
                </c:pt>
              </c:strCache>
            </c:strRef>
          </c:cat>
          <c:val>
            <c:numRef>
              <c:f>Summary!$O$300:$O$303</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99B8-D54E-9D00-CCE1B2D285A1}"/>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3846523152519077"/>
          <c:y val="0.12975381108181347"/>
          <c:w val="0.4242641202952312"/>
          <c:h val="0.80248697384422241"/>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685889002228"/>
          <c:y val="4.7316663115170819E-2"/>
          <c:w val="0.75018318926976424"/>
          <c:h val="0.84591832454408022"/>
        </c:manualLayout>
      </c:layout>
      <c:lineChart>
        <c:grouping val="standard"/>
        <c:varyColors val="0"/>
        <c:ser>
          <c:idx val="0"/>
          <c:order val="0"/>
          <c:tx>
            <c:strRef>
              <c:f>Summary!$P$208</c:f>
              <c:strCache>
                <c:ptCount val="1"/>
                <c:pt idx="0">
                  <c:v>10G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Summary!$Q$208:$AB$208</c:f>
              <c:numCache>
                <c:formatCode>_("$"* #,##0_);_("$"* \(#,##0\);_("$"* "-"??_);_(@_)</c:formatCode>
                <c:ptCount val="12"/>
                <c:pt idx="0">
                  <c:v>70.673932160447592</c:v>
                </c:pt>
                <c:pt idx="1">
                  <c:v>51.579628705502515</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E88-5C41-AF46-FFCB0F4050EA}"/>
            </c:ext>
          </c:extLst>
        </c:ser>
        <c:ser>
          <c:idx val="1"/>
          <c:order val="1"/>
          <c:tx>
            <c:strRef>
              <c:f>Summary!$P$209</c:f>
              <c:strCache>
                <c:ptCount val="1"/>
                <c:pt idx="0">
                  <c:v>25G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Summary!$Q$209:$AB$209</c:f>
              <c:numCache>
                <c:formatCode>_("$"* #,##0_);_("$"* \(#,##0\);_("$"* "-"??_);_(@_)</c:formatCode>
                <c:ptCount val="12"/>
                <c:pt idx="0">
                  <c:v>37.52837550000001</c:v>
                </c:pt>
                <c:pt idx="1">
                  <c:v>57.626435004851608</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E88-5C41-AF46-FFCB0F4050EA}"/>
            </c:ext>
          </c:extLst>
        </c:ser>
        <c:ser>
          <c:idx val="2"/>
          <c:order val="2"/>
          <c:tx>
            <c:strRef>
              <c:f>Summary!$P$210</c:f>
              <c:strCache>
                <c:ptCount val="1"/>
                <c:pt idx="0">
                  <c:v>40G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Summary!$Q$210:$AB$210</c:f>
              <c:numCache>
                <c:formatCode>_("$"* #,##0_);_("$"* \(#,##0\);_("$"* "-"??_);_(@_)</c:formatCode>
                <c:ptCount val="12"/>
                <c:pt idx="0">
                  <c:v>102.17953707392044</c:v>
                </c:pt>
                <c:pt idx="1">
                  <c:v>72.516352540852367</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E88-5C41-AF46-FFCB0F4050EA}"/>
            </c:ext>
          </c:extLst>
        </c:ser>
        <c:ser>
          <c:idx val="3"/>
          <c:order val="3"/>
          <c:tx>
            <c:strRef>
              <c:f>Summary!$P$211</c:f>
              <c:strCache>
                <c:ptCount val="1"/>
                <c:pt idx="0">
                  <c:v>56G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Summary!$Q$211:$AB$211</c:f>
              <c:numCache>
                <c:formatCode>_("$"* #,##0_);_("$"* \(#,##0\);_("$"* "-"??_);_(@_)</c:formatCode>
                <c:ptCount val="12"/>
                <c:pt idx="0">
                  <c:v>27.198075903832958</c:v>
                </c:pt>
                <c:pt idx="1">
                  <c:v>24.775568635814039</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E88-5C41-AF46-FFCB0F4050EA}"/>
            </c:ext>
          </c:extLst>
        </c:ser>
        <c:ser>
          <c:idx val="4"/>
          <c:order val="4"/>
          <c:tx>
            <c:strRef>
              <c:f>Summary!$P$212</c:f>
              <c:strCache>
                <c:ptCount val="1"/>
                <c:pt idx="0">
                  <c:v>100G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Summary!$Q$212:$AB$212</c:f>
              <c:numCache>
                <c:formatCode>_("$"* #,##0_);_("$"* \(#,##0\);_("$"* "-"??_);_(@_)</c:formatCode>
                <c:ptCount val="12"/>
                <c:pt idx="0">
                  <c:v>32.822766144000006</c:v>
                </c:pt>
                <c:pt idx="1">
                  <c:v>53.044366905600008</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9E88-5C41-AF46-FFCB0F4050EA}"/>
            </c:ext>
          </c:extLst>
        </c:ser>
        <c:ser>
          <c:idx val="5"/>
          <c:order val="5"/>
          <c:tx>
            <c:strRef>
              <c:f>Summary!$P$213</c:f>
              <c:strCache>
                <c:ptCount val="1"/>
                <c:pt idx="0">
                  <c:v>200G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Summary!$Q$213:$AB$213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9E88-5C41-AF46-FFCB0F4050EA}"/>
            </c:ext>
          </c:extLst>
        </c:ser>
        <c:ser>
          <c:idx val="6"/>
          <c:order val="6"/>
          <c:tx>
            <c:strRef>
              <c:f>Summary!$P$214</c:f>
              <c:strCache>
                <c:ptCount val="1"/>
                <c:pt idx="0">
                  <c:v>400G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Summary!$Q$214:$AB$214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9E88-5C41-AF46-FFCB0F4050EA}"/>
            </c:ext>
          </c:extLst>
        </c:ser>
        <c:ser>
          <c:idx val="7"/>
          <c:order val="7"/>
          <c:tx>
            <c:strRef>
              <c:f>Summary!$P$215</c:f>
              <c:strCache>
                <c:ptCount val="1"/>
                <c:pt idx="0">
                  <c:v>800G</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Summary!$Q$215:$AB$215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0D0-2647-AF67-B6D9C7210CB8}"/>
            </c:ext>
          </c:extLst>
        </c:ser>
        <c:ser>
          <c:idx val="8"/>
          <c:order val="8"/>
          <c:tx>
            <c:strRef>
              <c:f>Summary!$P$216</c:f>
              <c:strCache>
                <c:ptCount val="1"/>
                <c:pt idx="0">
                  <c:v>1.6T</c:v>
                </c:pt>
              </c:strCache>
            </c:strRef>
          </c:tx>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Summary!$Q$216:$AB$216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CC5-2644-9127-7D9DD4C9B667}"/>
            </c:ext>
          </c:extLst>
        </c:ser>
        <c:dLbls>
          <c:showLegendKey val="0"/>
          <c:showVal val="0"/>
          <c:showCatName val="0"/>
          <c:showSerName val="0"/>
          <c:showPercent val="0"/>
          <c:showBubbleSize val="0"/>
        </c:dLbls>
        <c:marker val="1"/>
        <c:smooth val="0"/>
        <c:axId val="68220032"/>
        <c:axId val="68221568"/>
      </c:lineChart>
      <c:catAx>
        <c:axId val="68220032"/>
        <c:scaling>
          <c:orientation val="minMax"/>
        </c:scaling>
        <c:delete val="0"/>
        <c:axPos val="b"/>
        <c:numFmt formatCode="General" sourceLinked="1"/>
        <c:majorTickMark val="out"/>
        <c:minorTickMark val="none"/>
        <c:tickLblPos val="nextTo"/>
        <c:crossAx val="68221568"/>
        <c:crosses val="autoZero"/>
        <c:auto val="1"/>
        <c:lblAlgn val="ctr"/>
        <c:lblOffset val="100"/>
        <c:noMultiLvlLbl val="0"/>
      </c:catAx>
      <c:valAx>
        <c:axId val="68221568"/>
        <c:scaling>
          <c:orientation val="minMax"/>
        </c:scaling>
        <c:delete val="0"/>
        <c:axPos val="l"/>
        <c:majorGridlines/>
        <c:title>
          <c:tx>
            <c:rich>
              <a:bodyPr rot="-5400000" vert="horz"/>
              <a:lstStyle/>
              <a:p>
                <a:pPr>
                  <a:defRPr/>
                </a:pPr>
                <a:r>
                  <a:rPr lang="en-US"/>
                  <a:t>Annual sales ($ mn)</a:t>
                </a:r>
              </a:p>
            </c:rich>
          </c:tx>
          <c:layout>
            <c:manualLayout>
              <c:xMode val="edge"/>
              <c:yMode val="edge"/>
              <c:x val="1.4630903549482386E-2"/>
              <c:y val="0.28375836628953693"/>
            </c:manualLayout>
          </c:layout>
          <c:overlay val="0"/>
        </c:title>
        <c:numFmt formatCode="_(&quot;$&quot;* #,##0_);_(&quot;$&quot;* \(#,##0\);_(&quot;$&quot;* &quot;-&quot;??_);_(@_)" sourceLinked="1"/>
        <c:majorTickMark val="out"/>
        <c:minorTickMark val="none"/>
        <c:tickLblPos val="nextTo"/>
        <c:crossAx val="68220032"/>
        <c:crosses val="autoZero"/>
        <c:crossBetween val="between"/>
      </c:valAx>
    </c:plotArea>
    <c:legend>
      <c:legendPos val="r"/>
      <c:layout>
        <c:manualLayout>
          <c:xMode val="edge"/>
          <c:yMode val="edge"/>
          <c:x val="0.87719407035400887"/>
          <c:y val="0.12343131546847026"/>
          <c:w val="0.1026903837156616"/>
          <c:h val="0.67270334783403973"/>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38600588970641"/>
          <c:y val="0.1279618728779639"/>
          <c:w val="0.80915053404652337"/>
          <c:h val="0.74834437606863591"/>
        </c:manualLayout>
      </c:layout>
      <c:barChart>
        <c:barDir val="col"/>
        <c:grouping val="stacked"/>
        <c:varyColors val="0"/>
        <c:ser>
          <c:idx val="0"/>
          <c:order val="0"/>
          <c:tx>
            <c:strRef>
              <c:f>Summary!$B$119</c:f>
              <c:strCache>
                <c:ptCount val="1"/>
                <c:pt idx="0">
                  <c:v>10G AOCs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Summary!$C$119:$N$119</c:f>
              <c:numCache>
                <c:formatCode>_("$"* #,##0_);_("$"* \(#,##0\);_("$"* "-"??_);_(@_)</c:formatCode>
                <c:ptCount val="12"/>
                <c:pt idx="0">
                  <c:v>40.21456932280806</c:v>
                </c:pt>
                <c:pt idx="1">
                  <c:v>60.527746000000008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18D-CA40-BB12-27A1D1357B58}"/>
            </c:ext>
          </c:extLst>
        </c:ser>
        <c:ser>
          <c:idx val="1"/>
          <c:order val="1"/>
          <c:tx>
            <c:strRef>
              <c:f>Summary!$B$120</c:f>
              <c:strCache>
                <c:ptCount val="1"/>
                <c:pt idx="0">
                  <c:v>25G AOCs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Summary!$C$120:$N$120</c:f>
              <c:numCache>
                <c:formatCode>_("$"* #,##0_);_("$"* \(#,##0\);_("$"* "-"??_);_(@_)</c:formatCode>
                <c:ptCount val="12"/>
                <c:pt idx="0">
                  <c:v>1.1000000000000001</c:v>
                </c:pt>
                <c:pt idx="1">
                  <c:v>13.144417999999996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18D-CA40-BB12-27A1D1357B58}"/>
            </c:ext>
          </c:extLst>
        </c:ser>
        <c:ser>
          <c:idx val="2"/>
          <c:order val="2"/>
          <c:tx>
            <c:strRef>
              <c:f>Summary!$B$121</c:f>
              <c:strCache>
                <c:ptCount val="1"/>
                <c:pt idx="0">
                  <c:v>10G DACs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Summary!$C$121:$N$121</c:f>
              <c:numCache>
                <c:formatCode>_("$"* #,##0_);_("$"* \(#,##0\);_("$"* "-"??_);_(@_)</c:formatCode>
                <c:ptCount val="12"/>
                <c:pt idx="0">
                  <c:v>70.673932160447592</c:v>
                </c:pt>
                <c:pt idx="1">
                  <c:v>51.579628705502515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867-2544-B8CD-FC82B37A4371}"/>
            </c:ext>
          </c:extLst>
        </c:ser>
        <c:ser>
          <c:idx val="3"/>
          <c:order val="3"/>
          <c:tx>
            <c:strRef>
              <c:f>Summary!$B$122</c:f>
              <c:strCache>
                <c:ptCount val="1"/>
                <c:pt idx="0">
                  <c:v>25G DACs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Summary!$C$122:$N$122</c:f>
              <c:numCache>
                <c:formatCode>_("$"* #,##0_);_("$"* \(#,##0\);_("$"* "-"??_);_(@_)</c:formatCode>
                <c:ptCount val="12"/>
                <c:pt idx="0">
                  <c:v>37.52837550000001</c:v>
                </c:pt>
                <c:pt idx="1">
                  <c:v>57.626435004851608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867-2544-B8CD-FC82B37A4371}"/>
            </c:ext>
          </c:extLst>
        </c:ser>
        <c:dLbls>
          <c:showLegendKey val="0"/>
          <c:showVal val="0"/>
          <c:showCatName val="0"/>
          <c:showSerName val="0"/>
          <c:showPercent val="0"/>
          <c:showBubbleSize val="0"/>
        </c:dLbls>
        <c:gapWidth val="150"/>
        <c:overlap val="100"/>
        <c:axId val="68311680"/>
        <c:axId val="68313472"/>
      </c:barChart>
      <c:catAx>
        <c:axId val="68311680"/>
        <c:scaling>
          <c:orientation val="minMax"/>
        </c:scaling>
        <c:delete val="0"/>
        <c:axPos val="b"/>
        <c:numFmt formatCode="General" sourceLinked="1"/>
        <c:majorTickMark val="out"/>
        <c:minorTickMark val="none"/>
        <c:tickLblPos val="nextTo"/>
        <c:txPr>
          <a:bodyPr/>
          <a:lstStyle/>
          <a:p>
            <a:pPr>
              <a:defRPr sz="1200"/>
            </a:pPr>
            <a:endParaRPr lang="en-US"/>
          </a:p>
        </c:txPr>
        <c:crossAx val="68313472"/>
        <c:crosses val="autoZero"/>
        <c:auto val="1"/>
        <c:lblAlgn val="ctr"/>
        <c:lblOffset val="100"/>
        <c:noMultiLvlLbl val="0"/>
      </c:catAx>
      <c:valAx>
        <c:axId val="68313472"/>
        <c:scaling>
          <c:orientation val="minMax"/>
        </c:scaling>
        <c:delete val="0"/>
        <c:axPos val="l"/>
        <c:majorGridlines/>
        <c:title>
          <c:tx>
            <c:rich>
              <a:bodyPr rot="-5400000" vert="horz"/>
              <a:lstStyle/>
              <a:p>
                <a:pPr>
                  <a:defRPr sz="1600" b="0"/>
                </a:pPr>
                <a:r>
                  <a:rPr lang="en-US" sz="1600" b="0"/>
                  <a:t>Annual revenues ($ mn)</a:t>
                </a:r>
              </a:p>
            </c:rich>
          </c:tx>
          <c:layout>
            <c:manualLayout>
              <c:xMode val="edge"/>
              <c:yMode val="edge"/>
              <c:x val="9.0589502581078663E-3"/>
              <c:y val="0.17929725576006714"/>
            </c:manualLayout>
          </c:layout>
          <c:overlay val="0"/>
        </c:title>
        <c:numFmt formatCode="_(&quot;$&quot;* #,##0_);_(&quot;$&quot;* \(#,##0\);_(&quot;$&quot;* &quot;-&quot;??_);_(@_)" sourceLinked="1"/>
        <c:majorTickMark val="out"/>
        <c:minorTickMark val="none"/>
        <c:tickLblPos val="nextTo"/>
        <c:txPr>
          <a:bodyPr/>
          <a:lstStyle/>
          <a:p>
            <a:pPr>
              <a:defRPr sz="1200"/>
            </a:pPr>
            <a:endParaRPr lang="en-US"/>
          </a:p>
        </c:txPr>
        <c:crossAx val="68311680"/>
        <c:crosses val="autoZero"/>
        <c:crossBetween val="between"/>
      </c:valAx>
    </c:plotArea>
    <c:legend>
      <c:legendPos val="t"/>
      <c:layout>
        <c:manualLayout>
          <c:xMode val="edge"/>
          <c:yMode val="edge"/>
          <c:x val="0.17360396564906108"/>
          <c:y val="2.9678580805272241E-2"/>
          <c:w val="0.68055443515198633"/>
          <c:h val="8.0746828616575533E-2"/>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00360756975482"/>
          <c:y val="4.7316663115170819E-2"/>
          <c:w val="0.71438633781676009"/>
          <c:h val="0.84591832454408022"/>
        </c:manualLayout>
      </c:layout>
      <c:lineChart>
        <c:grouping val="standard"/>
        <c:varyColors val="0"/>
        <c:ser>
          <c:idx val="0"/>
          <c:order val="0"/>
          <c:tx>
            <c:strRef>
              <c:f>Summary!$B$208</c:f>
              <c:strCache>
                <c:ptCount val="1"/>
                <c:pt idx="0">
                  <c:v>10G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Summary!$C$208:$N$208</c:f>
              <c:numCache>
                <c:formatCode>_(* #,##0_);_(* \(#,##0\);_(* "-"??_);_(@_)</c:formatCode>
                <c:ptCount val="12"/>
                <c:pt idx="0">
                  <c:v>4845145.5</c:v>
                </c:pt>
                <c:pt idx="1">
                  <c:v>4589910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E88-5C41-AF46-FFCB0F4050EA}"/>
            </c:ext>
          </c:extLst>
        </c:ser>
        <c:ser>
          <c:idx val="1"/>
          <c:order val="1"/>
          <c:tx>
            <c:strRef>
              <c:f>Summary!$B$209</c:f>
              <c:strCache>
                <c:ptCount val="1"/>
                <c:pt idx="0">
                  <c:v>25G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Summary!$C$209:$N$209</c:f>
              <c:numCache>
                <c:formatCode>_(* #,##0_);_(* \(#,##0\);_(* "-"??_);_(@_)</c:formatCode>
                <c:ptCount val="12"/>
                <c:pt idx="0">
                  <c:v>568611.75000000012</c:v>
                </c:pt>
                <c:pt idx="1">
                  <c:v>1246925.55</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E88-5C41-AF46-FFCB0F4050EA}"/>
            </c:ext>
          </c:extLst>
        </c:ser>
        <c:ser>
          <c:idx val="2"/>
          <c:order val="2"/>
          <c:tx>
            <c:strRef>
              <c:f>Summary!$B$210</c:f>
              <c:strCache>
                <c:ptCount val="1"/>
                <c:pt idx="0">
                  <c:v>40G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Summary!$C$210:$N$210</c:f>
              <c:numCache>
                <c:formatCode>_(* #,##0_);_(* \(#,##0\);_(* "-"??_);_(@_)</c:formatCode>
                <c:ptCount val="12"/>
                <c:pt idx="0">
                  <c:v>1672205.7074885746</c:v>
                </c:pt>
                <c:pt idx="1">
                  <c:v>1222748.8825000001</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E88-5C41-AF46-FFCB0F4050EA}"/>
            </c:ext>
          </c:extLst>
        </c:ser>
        <c:ser>
          <c:idx val="3"/>
          <c:order val="3"/>
          <c:tx>
            <c:strRef>
              <c:f>Summary!$B$211</c:f>
              <c:strCache>
                <c:ptCount val="1"/>
                <c:pt idx="0">
                  <c:v>56G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Summary!$C$211:$N$211</c:f>
              <c:numCache>
                <c:formatCode>_(* #,##0_);_(* \(#,##0\);_(* "-"??_);_(@_)</c:formatCode>
                <c:ptCount val="12"/>
                <c:pt idx="0">
                  <c:v>402361.84385246772</c:v>
                </c:pt>
                <c:pt idx="1">
                  <c:v>364851.71764485457</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E88-5C41-AF46-FFCB0F4050EA}"/>
            </c:ext>
          </c:extLst>
        </c:ser>
        <c:ser>
          <c:idx val="4"/>
          <c:order val="4"/>
          <c:tx>
            <c:strRef>
              <c:f>Summary!$B$212</c:f>
              <c:strCache>
                <c:ptCount val="1"/>
                <c:pt idx="0">
                  <c:v>100G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Summary!$C$212:$N$212</c:f>
              <c:numCache>
                <c:formatCode>_(* #,##0_);_(* \(#,##0\);_(* "-"??_);_(@_)</c:formatCode>
                <c:ptCount val="12"/>
                <c:pt idx="0">
                  <c:v>162811.34000000003</c:v>
                </c:pt>
                <c:pt idx="1">
                  <c:v>464323.94</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9E88-5C41-AF46-FFCB0F4050EA}"/>
            </c:ext>
          </c:extLst>
        </c:ser>
        <c:ser>
          <c:idx val="5"/>
          <c:order val="5"/>
          <c:tx>
            <c:strRef>
              <c:f>Summary!$B$213</c:f>
              <c:strCache>
                <c:ptCount val="1"/>
                <c:pt idx="0">
                  <c:v>200G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Summary!$C$213:$N$213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9E88-5C41-AF46-FFCB0F4050EA}"/>
            </c:ext>
          </c:extLst>
        </c:ser>
        <c:ser>
          <c:idx val="6"/>
          <c:order val="6"/>
          <c:tx>
            <c:strRef>
              <c:f>Summary!$B$214</c:f>
              <c:strCache>
                <c:ptCount val="1"/>
                <c:pt idx="0">
                  <c:v>400G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Summary!$C$214:$N$214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9E88-5C41-AF46-FFCB0F4050EA}"/>
            </c:ext>
          </c:extLst>
        </c:ser>
        <c:ser>
          <c:idx val="7"/>
          <c:order val="7"/>
          <c:tx>
            <c:strRef>
              <c:f>Summary!$B$215</c:f>
              <c:strCache>
                <c:ptCount val="1"/>
                <c:pt idx="0">
                  <c:v>800G</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Summary!$C$215:$N$215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E30-934C-B0F3-7A88A8291F6C}"/>
            </c:ext>
          </c:extLst>
        </c:ser>
        <c:ser>
          <c:idx val="8"/>
          <c:order val="8"/>
          <c:tx>
            <c:strRef>
              <c:f>Summary!$B$216</c:f>
              <c:strCache>
                <c:ptCount val="1"/>
                <c:pt idx="0">
                  <c:v>1.6T</c:v>
                </c:pt>
              </c:strCache>
            </c:strRef>
          </c:tx>
          <c:cat>
            <c:numRef>
              <c:f>Summary!$C$207:$N$207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Summary!$C$216:$N$216</c:f>
              <c:numCache>
                <c:formatCode>_(* #,##0_);_(* \(#,##0\);_(* "-"??_);_(@_)</c:formatCode>
                <c:ptCount val="12"/>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70D-4448-BAC0-9D4647D0C7F6}"/>
            </c:ext>
          </c:extLst>
        </c:ser>
        <c:dLbls>
          <c:showLegendKey val="0"/>
          <c:showVal val="0"/>
          <c:showCatName val="0"/>
          <c:showSerName val="0"/>
          <c:showPercent val="0"/>
          <c:showBubbleSize val="0"/>
        </c:dLbls>
        <c:marker val="1"/>
        <c:smooth val="0"/>
        <c:axId val="68352256"/>
        <c:axId val="68427776"/>
      </c:lineChart>
      <c:catAx>
        <c:axId val="68352256"/>
        <c:scaling>
          <c:orientation val="minMax"/>
        </c:scaling>
        <c:delete val="0"/>
        <c:axPos val="b"/>
        <c:numFmt formatCode="General" sourceLinked="1"/>
        <c:majorTickMark val="out"/>
        <c:minorTickMark val="none"/>
        <c:tickLblPos val="nextTo"/>
        <c:crossAx val="68427776"/>
        <c:crosses val="autoZero"/>
        <c:auto val="1"/>
        <c:lblAlgn val="ctr"/>
        <c:lblOffset val="100"/>
        <c:noMultiLvlLbl val="0"/>
      </c:catAx>
      <c:valAx>
        <c:axId val="68427776"/>
        <c:scaling>
          <c:orientation val="minMax"/>
        </c:scaling>
        <c:delete val="0"/>
        <c:axPos val="l"/>
        <c:majorGridlines/>
        <c:title>
          <c:tx>
            <c:rich>
              <a:bodyPr rot="-5400000" vert="horz"/>
              <a:lstStyle/>
              <a:p>
                <a:pPr>
                  <a:defRPr/>
                </a:pPr>
                <a:r>
                  <a:rPr lang="en-US"/>
                  <a:t>Annual shipments</a:t>
                </a:r>
              </a:p>
            </c:rich>
          </c:tx>
          <c:layout>
            <c:manualLayout>
              <c:xMode val="edge"/>
              <c:yMode val="edge"/>
              <c:x val="1.4630903549482386E-2"/>
              <c:y val="0.28375836628953693"/>
            </c:manualLayout>
          </c:layout>
          <c:overlay val="0"/>
        </c:title>
        <c:numFmt formatCode="_(* #,##0_);_(* \(#,##0\);_(* &quot;-&quot;??_);_(@_)" sourceLinked="1"/>
        <c:majorTickMark val="out"/>
        <c:minorTickMark val="none"/>
        <c:tickLblPos val="nextTo"/>
        <c:crossAx val="68352256"/>
        <c:crosses val="autoZero"/>
        <c:crossBetween val="between"/>
      </c:valAx>
    </c:plotArea>
    <c:legend>
      <c:legendPos val="r"/>
      <c:layout>
        <c:manualLayout>
          <c:xMode val="edge"/>
          <c:yMode val="edge"/>
          <c:x val="0.87719407035400887"/>
          <c:y val="0.12343131546847026"/>
          <c:w val="9.9201841689201611E-2"/>
          <c:h val="0.67669923987125247"/>
        </c:manualLayout>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2027 Shipments of CPO:</a:t>
            </a:r>
            <a:r>
              <a:rPr lang="en-US" baseline="0"/>
              <a:t> about 2 million ports</a:t>
            </a:r>
            <a:endParaRPr lang="en-US"/>
          </a:p>
        </c:rich>
      </c:tx>
      <c:layout>
        <c:manualLayout>
          <c:xMode val="edge"/>
          <c:yMode val="edge"/>
          <c:x val="0.17690756590208834"/>
          <c:y val="0"/>
        </c:manualLayout>
      </c:layout>
      <c:overlay val="0"/>
    </c:title>
    <c:autoTitleDeleted val="0"/>
    <c:plotArea>
      <c:layout>
        <c:manualLayout>
          <c:layoutTarget val="inner"/>
          <c:xMode val="edge"/>
          <c:yMode val="edge"/>
          <c:x val="0.14058507360492981"/>
          <c:y val="0.19256593890274229"/>
          <c:w val="0.39995703526189663"/>
          <c:h val="0.79661579206121591"/>
        </c:manualLayout>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Summary!$B$300:$B$303</c:f>
              <c:strCache>
                <c:ptCount val="4"/>
                <c:pt idx="0">
                  <c:v>HPC &amp; AI Clusters</c:v>
                </c:pt>
                <c:pt idx="1">
                  <c:v>Core Routing</c:v>
                </c:pt>
                <c:pt idx="2">
                  <c:v>DC Compute Nodes (except 1x10/1x25G)</c:v>
                </c:pt>
                <c:pt idx="3">
                  <c:v>Other</c:v>
                </c:pt>
              </c:strCache>
            </c:strRef>
          </c:cat>
          <c:val>
            <c:numRef>
              <c:f>Summary!$O$300:$O$303</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5ACF-B643-BD77-3C16B1A78960}"/>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2976959945224233"/>
          <c:y val="0.18171255336514958"/>
          <c:w val="0.4242641202952312"/>
          <c:h val="0.80248697384422241"/>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2022 Shipments of EOMs:</a:t>
            </a:r>
          </a:p>
          <a:p>
            <a:pPr>
              <a:defRPr/>
            </a:pPr>
            <a:r>
              <a:rPr lang="en-US"/>
              <a:t>110,000 units</a:t>
            </a:r>
          </a:p>
        </c:rich>
      </c:tx>
      <c:layout>
        <c:manualLayout>
          <c:xMode val="edge"/>
          <c:yMode val="edge"/>
          <c:x val="0.15731127906249406"/>
          <c:y val="0"/>
        </c:manualLayout>
      </c:layout>
      <c:overlay val="0"/>
    </c:title>
    <c:autoTitleDeleted val="0"/>
    <c:plotArea>
      <c:layout>
        <c:manualLayout>
          <c:layoutTarget val="inner"/>
          <c:xMode val="edge"/>
          <c:yMode val="edge"/>
          <c:x val="0.21526438744734142"/>
          <c:y val="0.26877897537549084"/>
          <c:w val="0.54183992885485144"/>
          <c:h val="0.67926223980547507"/>
        </c:manualLayout>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Summary!$B$293:$B$296</c:f>
              <c:strCache>
                <c:ptCount val="4"/>
                <c:pt idx="0">
                  <c:v>HPC &amp; AI Clusters</c:v>
                </c:pt>
                <c:pt idx="1">
                  <c:v>Core Routing</c:v>
                </c:pt>
                <c:pt idx="2">
                  <c:v>DC Compute Nodes (except 1x10/1x25G)</c:v>
                </c:pt>
                <c:pt idx="3">
                  <c:v>Other</c:v>
                </c:pt>
              </c:strCache>
            </c:strRef>
          </c:cat>
          <c:val>
            <c:numRef>
              <c:f>Summary!$J$293:$J$296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FF1C-454D-A048-FC6955C5A27C}"/>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68729094983136"/>
          <c:y val="4.2400892088060312E-2"/>
          <c:w val="0.81936248163444447"/>
          <c:h val="0.87636907533275743"/>
        </c:manualLayout>
      </c:layout>
      <c:barChart>
        <c:barDir val="col"/>
        <c:grouping val="clustered"/>
        <c:varyColors val="0"/>
        <c:ser>
          <c:idx val="0"/>
          <c:order val="0"/>
          <c:tx>
            <c:strRef>
              <c:f>Summary!$P$218</c:f>
              <c:strCache>
                <c:ptCount val="1"/>
                <c:pt idx="0">
                  <c:v>High-speed copper cables</c:v>
                </c:pt>
              </c:strCache>
            </c:strRef>
          </c:tx>
          <c:spPr>
            <a:solidFill>
              <a:schemeClr val="accent1"/>
            </a:solidFill>
            <a:ln>
              <a:noFill/>
            </a:ln>
            <a:effectLst/>
          </c:spPr>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Summary!$Q$218:$AB$218</c:f>
              <c:numCache>
                <c:formatCode>_("$"* #,##0_);_("$"* \(#,##0\);_("$"* "-"??_);_(@_)</c:formatCode>
                <c:ptCount val="12"/>
                <c:pt idx="0">
                  <c:v>270.40268678220099</c:v>
                </c:pt>
                <c:pt idx="1">
                  <c:v>259.54235179262054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D89-8846-A432-EA124019A779}"/>
            </c:ext>
          </c:extLst>
        </c:ser>
        <c:ser>
          <c:idx val="1"/>
          <c:order val="1"/>
          <c:tx>
            <c:strRef>
              <c:f>Summary!$P$219</c:f>
              <c:strCache>
                <c:ptCount val="1"/>
                <c:pt idx="0">
                  <c:v>AOCs</c:v>
                </c:pt>
              </c:strCache>
            </c:strRef>
          </c:tx>
          <c:spPr>
            <a:solidFill>
              <a:schemeClr val="accent2"/>
            </a:solidFill>
            <a:ln>
              <a:noFill/>
            </a:ln>
            <a:effectLst/>
          </c:spPr>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Summary!$Q$219:$AB$219</c:f>
              <c:numCache>
                <c:formatCode>_("$"* #,##0_);_("$"* \(#,##0\);_("$"* "-"??_);_(@_)</c:formatCode>
                <c:ptCount val="12"/>
                <c:pt idx="0">
                  <c:v>221.72454479323284</c:v>
                </c:pt>
                <c:pt idx="1">
                  <c:v>206.65941133354022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D89-8846-A432-EA124019A779}"/>
            </c:ext>
          </c:extLst>
        </c:ser>
        <c:dLbls>
          <c:showLegendKey val="0"/>
          <c:showVal val="0"/>
          <c:showCatName val="0"/>
          <c:showSerName val="0"/>
          <c:showPercent val="0"/>
          <c:showBubbleSize val="0"/>
        </c:dLbls>
        <c:gapWidth val="219"/>
        <c:overlap val="-27"/>
        <c:axId val="68530560"/>
        <c:axId val="68532096"/>
      </c:barChart>
      <c:catAx>
        <c:axId val="68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8532096"/>
        <c:crosses val="autoZero"/>
        <c:auto val="1"/>
        <c:lblAlgn val="ctr"/>
        <c:lblOffset val="100"/>
        <c:noMultiLvlLbl val="0"/>
      </c:catAx>
      <c:valAx>
        <c:axId val="68532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Annual Sales ($mn)</a:t>
                </a:r>
              </a:p>
            </c:rich>
          </c:tx>
          <c:layout>
            <c:manualLayout>
              <c:xMode val="edge"/>
              <c:yMode val="edge"/>
              <c:x val="1.9149209745359535E-2"/>
              <c:y val="0.2838164566451636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8530560"/>
        <c:crosses val="autoZero"/>
        <c:crossBetween val="between"/>
        <c:majorUnit val="200"/>
      </c:valAx>
      <c:spPr>
        <a:noFill/>
        <a:ln>
          <a:noFill/>
        </a:ln>
        <a:effectLst/>
      </c:spPr>
    </c:plotArea>
    <c:legend>
      <c:legendPos val="b"/>
      <c:layout>
        <c:manualLayout>
          <c:xMode val="edge"/>
          <c:yMode val="edge"/>
          <c:x val="0.18865390121259812"/>
          <c:y val="0.12933577196636337"/>
          <c:w val="0.63093689222319449"/>
          <c:h val="9.4594849315638344E-2"/>
        </c:manualLayout>
      </c:layout>
      <c:overlay val="0"/>
      <c:spPr>
        <a:solidFill>
          <a:schemeClr val="bg1"/>
        </a:solidFill>
        <a:ln>
          <a:solidFill>
            <a:schemeClr val="bg1">
              <a:lumMod val="50000"/>
            </a:schemeClr>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9196506136375"/>
          <c:y val="4.7316663115170819E-2"/>
          <c:w val="0.80781611147088728"/>
          <c:h val="0.84591832454408022"/>
        </c:manualLayout>
      </c:layout>
      <c:barChart>
        <c:barDir val="col"/>
        <c:grouping val="stacked"/>
        <c:varyColors val="0"/>
        <c:ser>
          <c:idx val="0"/>
          <c:order val="0"/>
          <c:tx>
            <c:strRef>
              <c:f>Summary!$P$212</c:f>
              <c:strCache>
                <c:ptCount val="1"/>
                <c:pt idx="0">
                  <c:v>100G</c:v>
                </c:pt>
              </c:strCache>
            </c:strRef>
          </c:tx>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Summary!$Q$212:$AB$212</c:f>
              <c:numCache>
                <c:formatCode>_("$"* #,##0_);_("$"* \(#,##0\);_("$"* "-"??_);_(@_)</c:formatCode>
                <c:ptCount val="12"/>
                <c:pt idx="0">
                  <c:v>32.822766144000006</c:v>
                </c:pt>
                <c:pt idx="1">
                  <c:v>53.044366905600008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E3-DF4A-8D4B-164AE09F18C5}"/>
            </c:ext>
          </c:extLst>
        </c:ser>
        <c:ser>
          <c:idx val="1"/>
          <c:order val="1"/>
          <c:tx>
            <c:strRef>
              <c:f>Summary!$P$213</c:f>
              <c:strCache>
                <c:ptCount val="1"/>
                <c:pt idx="0">
                  <c:v>200G</c:v>
                </c:pt>
              </c:strCache>
            </c:strRef>
          </c:tx>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Summary!$Q$213:$AB$213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8E3-DF4A-8D4B-164AE09F18C5}"/>
            </c:ext>
          </c:extLst>
        </c:ser>
        <c:ser>
          <c:idx val="2"/>
          <c:order val="2"/>
          <c:tx>
            <c:strRef>
              <c:f>Summary!$P$214</c:f>
              <c:strCache>
                <c:ptCount val="1"/>
                <c:pt idx="0">
                  <c:v>400G</c:v>
                </c:pt>
              </c:strCache>
            </c:strRef>
          </c:tx>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Summary!$Q$214:$AB$214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8E3-DF4A-8D4B-164AE09F18C5}"/>
            </c:ext>
          </c:extLst>
        </c:ser>
        <c:ser>
          <c:idx val="3"/>
          <c:order val="3"/>
          <c:tx>
            <c:strRef>
              <c:f>Summary!$P$215</c:f>
              <c:strCache>
                <c:ptCount val="1"/>
                <c:pt idx="0">
                  <c:v>800G</c:v>
                </c:pt>
              </c:strCache>
            </c:strRef>
          </c:tx>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Summary!$Q$215:$AB$215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8E3-DF4A-8D4B-164AE09F18C5}"/>
            </c:ext>
          </c:extLst>
        </c:ser>
        <c:ser>
          <c:idx val="4"/>
          <c:order val="4"/>
          <c:tx>
            <c:strRef>
              <c:f>Summary!$P$216</c:f>
              <c:strCache>
                <c:ptCount val="1"/>
                <c:pt idx="0">
                  <c:v>1.6T</c:v>
                </c:pt>
              </c:strCache>
            </c:strRef>
          </c:tx>
          <c:invertIfNegative val="0"/>
          <c:cat>
            <c:numRef>
              <c:f>Summary!$Q$207:$AB$207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Summary!$Q$216:$AB$216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7A-CF4D-A773-403D01AC772C}"/>
            </c:ext>
          </c:extLst>
        </c:ser>
        <c:dLbls>
          <c:showLegendKey val="0"/>
          <c:showVal val="0"/>
          <c:showCatName val="0"/>
          <c:showSerName val="0"/>
          <c:showPercent val="0"/>
          <c:showBubbleSize val="0"/>
        </c:dLbls>
        <c:gapWidth val="150"/>
        <c:overlap val="100"/>
        <c:axId val="68586112"/>
        <c:axId val="68604288"/>
      </c:barChart>
      <c:catAx>
        <c:axId val="68586112"/>
        <c:scaling>
          <c:orientation val="minMax"/>
        </c:scaling>
        <c:delete val="0"/>
        <c:axPos val="b"/>
        <c:numFmt formatCode="General" sourceLinked="1"/>
        <c:majorTickMark val="out"/>
        <c:minorTickMark val="none"/>
        <c:tickLblPos val="nextTo"/>
        <c:crossAx val="68604288"/>
        <c:crosses val="autoZero"/>
        <c:auto val="1"/>
        <c:lblAlgn val="ctr"/>
        <c:lblOffset val="100"/>
        <c:noMultiLvlLbl val="0"/>
      </c:catAx>
      <c:valAx>
        <c:axId val="68604288"/>
        <c:scaling>
          <c:orientation val="minMax"/>
        </c:scaling>
        <c:delete val="0"/>
        <c:axPos val="l"/>
        <c:majorGridlines/>
        <c:title>
          <c:tx>
            <c:rich>
              <a:bodyPr rot="-5400000" vert="horz"/>
              <a:lstStyle/>
              <a:p>
                <a:pPr>
                  <a:defRPr sz="1200"/>
                </a:pPr>
                <a:r>
                  <a:rPr lang="en-US" sz="1200"/>
                  <a:t>Annual sales ($ mn)</a:t>
                </a:r>
              </a:p>
            </c:rich>
          </c:tx>
          <c:layout>
            <c:manualLayout>
              <c:xMode val="edge"/>
              <c:yMode val="edge"/>
              <c:x val="1.4630903549482386E-2"/>
              <c:y val="0.28375836628953693"/>
            </c:manualLayout>
          </c:layout>
          <c:overlay val="0"/>
        </c:title>
        <c:numFmt formatCode="_(&quot;$&quot;* #,##0_);_(&quot;$&quot;* \(#,##0\);_(&quot;$&quot;* &quot;-&quot;??_);_(@_)" sourceLinked="1"/>
        <c:majorTickMark val="out"/>
        <c:minorTickMark val="none"/>
        <c:tickLblPos val="nextTo"/>
        <c:crossAx val="68586112"/>
        <c:crosses val="autoZero"/>
        <c:crossBetween val="between"/>
      </c:valAx>
    </c:plotArea>
    <c:legend>
      <c:legendPos val="r"/>
      <c:layout>
        <c:manualLayout>
          <c:xMode val="edge"/>
          <c:yMode val="edge"/>
          <c:x val="0.21245814313468434"/>
          <c:y val="9.9835915265515981E-2"/>
          <c:w val="0.16025914428224045"/>
          <c:h val="0.43330401319772188"/>
        </c:manualLayout>
      </c:layout>
      <c:overlay val="0"/>
      <c:spPr>
        <a:solidFill>
          <a:schemeClr val="bg1"/>
        </a:solidFill>
        <a:ln>
          <a:solidFill>
            <a:schemeClr val="bg1">
              <a:lumMod val="50000"/>
            </a:schemeClr>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US"/>
              <a:t>Revenues ($ million)</a:t>
            </a:r>
          </a:p>
          <a:p>
            <a:pPr>
              <a:defRPr/>
            </a:pPr>
            <a:endParaRPr lang="en-US"/>
          </a:p>
        </c:rich>
      </c:tx>
      <c:overlay val="0"/>
    </c:title>
    <c:autoTitleDeleted val="0"/>
    <c:plotArea>
      <c:layout>
        <c:manualLayout>
          <c:layoutTarget val="inner"/>
          <c:xMode val="edge"/>
          <c:yMode val="edge"/>
          <c:x val="0.116231686635501"/>
          <c:y val="0.19959169376439101"/>
          <c:w val="0.81767818013574001"/>
          <c:h val="0.71232234350845103"/>
        </c:manualLayout>
      </c:layout>
      <c:barChart>
        <c:barDir val="col"/>
        <c:grouping val="clustered"/>
        <c:varyColors val="0"/>
        <c:ser>
          <c:idx val="1"/>
          <c:order val="0"/>
          <c:tx>
            <c:strRef>
              <c:f>Dashboard!$D$36</c:f>
              <c:strCache>
                <c:ptCount val="1"/>
                <c:pt idx="0">
                  <c:v>Revenues ($ million)</c:v>
                </c:pt>
              </c:strCache>
            </c:strRef>
          </c:tx>
          <c:invertIfNegative val="0"/>
          <c:cat>
            <c:numRef>
              <c:f>Dashboard!$E$28:$P$28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Dashboard!$E$36:$P$36</c:f>
              <c:numCache>
                <c:formatCode>_("$"* #,##0_);_("$"* \(#,##0\);_("$"* "-"??_);_(@_)</c:formatCode>
                <c:ptCount val="12"/>
                <c:pt idx="0">
                  <c:v>524.98495265917506</c:v>
                </c:pt>
                <c:pt idx="1">
                  <c:v>521.32493012616067</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27-2240-A33B-8EA47F997B57}"/>
            </c:ext>
          </c:extLst>
        </c:ser>
        <c:dLbls>
          <c:showLegendKey val="0"/>
          <c:showVal val="0"/>
          <c:showCatName val="0"/>
          <c:showSerName val="0"/>
          <c:showPercent val="0"/>
          <c:showBubbleSize val="0"/>
        </c:dLbls>
        <c:gapWidth val="150"/>
        <c:axId val="61027072"/>
        <c:axId val="61028608"/>
      </c:barChart>
      <c:catAx>
        <c:axId val="61027072"/>
        <c:scaling>
          <c:orientation val="minMax"/>
        </c:scaling>
        <c:delete val="0"/>
        <c:axPos val="b"/>
        <c:numFmt formatCode="General" sourceLinked="1"/>
        <c:majorTickMark val="out"/>
        <c:minorTickMark val="none"/>
        <c:tickLblPos val="nextTo"/>
        <c:crossAx val="61028608"/>
        <c:crosses val="autoZero"/>
        <c:auto val="1"/>
        <c:lblAlgn val="ctr"/>
        <c:lblOffset val="100"/>
        <c:noMultiLvlLbl val="0"/>
      </c:catAx>
      <c:valAx>
        <c:axId val="61028608"/>
        <c:scaling>
          <c:orientation val="minMax"/>
        </c:scaling>
        <c:delete val="0"/>
        <c:axPos val="l"/>
        <c:majorGridlines/>
        <c:numFmt formatCode="_(&quot;$&quot;* #,##0_);_(&quot;$&quot;* \(#,##0\);_(&quot;$&quot;* &quot;-&quot;??_);_(@_)" sourceLinked="1"/>
        <c:majorTickMark val="out"/>
        <c:minorTickMark val="none"/>
        <c:tickLblPos val="nextTo"/>
        <c:crossAx val="61027072"/>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31515223327334"/>
          <c:y val="6.403534098162264E-2"/>
          <c:w val="0.79022131136000129"/>
          <c:h val="0.81227067023749078"/>
        </c:manualLayout>
      </c:layout>
      <c:barChart>
        <c:barDir val="col"/>
        <c:grouping val="stacked"/>
        <c:varyColors val="0"/>
        <c:ser>
          <c:idx val="0"/>
          <c:order val="0"/>
          <c:tx>
            <c:strRef>
              <c:f>Summary!$B$124</c:f>
              <c:strCache>
                <c:ptCount val="1"/>
                <c:pt idx="0">
                  <c:v>100-150G AOCs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Summary!$C$124:$N$124</c:f>
              <c:numCache>
                <c:formatCode>_("$"* #,##0_);_("$"* \(#,##0\);_("$"* "-"??_);_(@_)</c:formatCode>
                <c:ptCount val="12"/>
                <c:pt idx="0">
                  <c:v>113.09484677060756</c:v>
                </c:pt>
                <c:pt idx="1">
                  <c:v>83.407983000000002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96-5B48-8C19-B0BF6310714B}"/>
            </c:ext>
          </c:extLst>
        </c:ser>
        <c:ser>
          <c:idx val="3"/>
          <c:order val="1"/>
          <c:tx>
            <c:strRef>
              <c:f>Summary!$B$127</c:f>
              <c:strCache>
                <c:ptCount val="1"/>
                <c:pt idx="0">
                  <c:v>200-300G AOCs</c:v>
                </c:pt>
              </c:strCache>
            </c:strRef>
          </c:tx>
          <c:spPr>
            <a:solidFill>
              <a:srgbClr val="00B05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Summary!$C$127:$N$127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E96-5B48-8C19-B0BF6310714B}"/>
            </c:ext>
          </c:extLst>
        </c:ser>
        <c:ser>
          <c:idx val="4"/>
          <c:order val="2"/>
          <c:tx>
            <c:strRef>
              <c:f>Summary!$B$128</c:f>
              <c:strCache>
                <c:ptCount val="1"/>
                <c:pt idx="0">
                  <c:v>400G AOCs</c:v>
                </c:pt>
              </c:strCache>
            </c:strRef>
          </c:tx>
          <c:spPr>
            <a:solidFill>
              <a:srgbClr val="FFC00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Summary!$C$128:$N$128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E96-5B48-8C19-B0BF6310714B}"/>
            </c:ext>
          </c:extLst>
        </c:ser>
        <c:ser>
          <c:idx val="7"/>
          <c:order val="3"/>
          <c:tx>
            <c:strRef>
              <c:f>Summary!$B$131</c:f>
              <c:strCache>
                <c:ptCount val="1"/>
                <c:pt idx="0">
                  <c:v>800G AOCs</c:v>
                </c:pt>
              </c:strCache>
            </c:strRef>
          </c:tx>
          <c:spPr>
            <a:solidFill>
              <a:srgbClr val="FF000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Summary!$C$131:$N$131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E96-5B48-8C19-B0BF6310714B}"/>
            </c:ext>
          </c:extLst>
        </c:ser>
        <c:ser>
          <c:idx val="1"/>
          <c:order val="4"/>
          <c:tx>
            <c:strRef>
              <c:f>Summary!$B$132</c:f>
              <c:strCache>
                <c:ptCount val="1"/>
                <c:pt idx="0">
                  <c:v>1.6T AOCs</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Summary!$C$132:$N$132</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633-D74F-B604-9D1FC1E898FE}"/>
            </c:ext>
          </c:extLst>
        </c:ser>
        <c:dLbls>
          <c:showLegendKey val="0"/>
          <c:showVal val="0"/>
          <c:showCatName val="0"/>
          <c:showSerName val="0"/>
          <c:showPercent val="0"/>
          <c:showBubbleSize val="0"/>
        </c:dLbls>
        <c:gapWidth val="150"/>
        <c:overlap val="100"/>
        <c:axId val="68638592"/>
        <c:axId val="68640128"/>
      </c:barChart>
      <c:catAx>
        <c:axId val="68638592"/>
        <c:scaling>
          <c:orientation val="minMax"/>
        </c:scaling>
        <c:delete val="0"/>
        <c:axPos val="b"/>
        <c:numFmt formatCode="General" sourceLinked="1"/>
        <c:majorTickMark val="out"/>
        <c:minorTickMark val="none"/>
        <c:tickLblPos val="nextTo"/>
        <c:txPr>
          <a:bodyPr/>
          <a:lstStyle/>
          <a:p>
            <a:pPr>
              <a:defRPr sz="1200"/>
            </a:pPr>
            <a:endParaRPr lang="en-US"/>
          </a:p>
        </c:txPr>
        <c:crossAx val="68640128"/>
        <c:crosses val="autoZero"/>
        <c:auto val="1"/>
        <c:lblAlgn val="ctr"/>
        <c:lblOffset val="100"/>
        <c:noMultiLvlLbl val="0"/>
      </c:catAx>
      <c:valAx>
        <c:axId val="68640128"/>
        <c:scaling>
          <c:orientation val="minMax"/>
        </c:scaling>
        <c:delete val="0"/>
        <c:axPos val="l"/>
        <c:majorGridlines/>
        <c:title>
          <c:tx>
            <c:rich>
              <a:bodyPr rot="-5400000" vert="horz"/>
              <a:lstStyle/>
              <a:p>
                <a:pPr>
                  <a:defRPr sz="1600" b="0"/>
                </a:pPr>
                <a:r>
                  <a:rPr lang="en-US" sz="1600" b="0"/>
                  <a:t>Annual revenues ($ mn)</a:t>
                </a:r>
              </a:p>
            </c:rich>
          </c:tx>
          <c:layout>
            <c:manualLayout>
              <c:xMode val="edge"/>
              <c:yMode val="edge"/>
              <c:x val="1.3013670467168264E-2"/>
              <c:y val="0.21406770079979873"/>
            </c:manualLayout>
          </c:layout>
          <c:overlay val="0"/>
        </c:title>
        <c:numFmt formatCode="_(&quot;$&quot;* #,##0_);_(&quot;$&quot;* \(#,##0\);_(&quot;$&quot;* &quot;-&quot;??_);_(@_)" sourceLinked="1"/>
        <c:majorTickMark val="out"/>
        <c:minorTickMark val="none"/>
        <c:tickLblPos val="nextTo"/>
        <c:txPr>
          <a:bodyPr/>
          <a:lstStyle/>
          <a:p>
            <a:pPr>
              <a:defRPr sz="1200"/>
            </a:pPr>
            <a:endParaRPr lang="en-US"/>
          </a:p>
        </c:txPr>
        <c:crossAx val="68638592"/>
        <c:crosses val="autoZero"/>
        <c:crossBetween val="between"/>
      </c:valAx>
    </c:plotArea>
    <c:legend>
      <c:legendPos val="t"/>
      <c:layout>
        <c:manualLayout>
          <c:xMode val="edge"/>
          <c:yMode val="edge"/>
          <c:x val="0.20060683309919816"/>
          <c:y val="9.305077583565359E-2"/>
          <c:w val="0.26963784244030042"/>
          <c:h val="0.51590194835579484"/>
        </c:manualLayout>
      </c:layout>
      <c:overlay val="0"/>
      <c:spPr>
        <a:solidFill>
          <a:schemeClr val="bg1"/>
        </a:solidFill>
        <a:ln>
          <a:solidFill>
            <a:schemeClr val="bg1">
              <a:lumMod val="50000"/>
            </a:schemeClr>
          </a:solidFill>
        </a:ln>
      </c:spPr>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81201171270902"/>
          <c:y val="6.8042133839345695E-2"/>
          <c:w val="0.77688513267524817"/>
          <c:h val="0.83295608634528406"/>
        </c:manualLayout>
      </c:layout>
      <c:barChart>
        <c:barDir val="col"/>
        <c:grouping val="stacked"/>
        <c:varyColors val="0"/>
        <c:ser>
          <c:idx val="0"/>
          <c:order val="0"/>
          <c:tx>
            <c:strRef>
              <c:f>Summary!$B$126</c:f>
              <c:strCache>
                <c:ptCount val="1"/>
                <c:pt idx="0">
                  <c:v>100G Copper</c:v>
                </c:pt>
              </c:strCache>
            </c:strRef>
          </c:tx>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Summary!$C$126:$N$126</c:f>
              <c:numCache>
                <c:formatCode>_("$"* #,##0_);_("$"* \(#,##0\);_("$"* "-"??_);_(@_)</c:formatCode>
                <c:ptCount val="12"/>
                <c:pt idx="0">
                  <c:v>32.822766144000006</c:v>
                </c:pt>
                <c:pt idx="1">
                  <c:v>53.044366905600008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0E-B245-9475-45784E5C6258}"/>
            </c:ext>
          </c:extLst>
        </c:ser>
        <c:ser>
          <c:idx val="3"/>
          <c:order val="1"/>
          <c:tx>
            <c:strRef>
              <c:f>Summary!$B$129</c:f>
              <c:strCache>
                <c:ptCount val="1"/>
                <c:pt idx="0">
                  <c:v>200G Copper</c:v>
                </c:pt>
              </c:strCache>
            </c:strRef>
          </c:tx>
          <c:spPr>
            <a:solidFill>
              <a:srgbClr val="00B05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Summary!$C$129:$N$129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20E-B245-9475-45784E5C6258}"/>
            </c:ext>
          </c:extLst>
        </c:ser>
        <c:ser>
          <c:idx val="4"/>
          <c:order val="2"/>
          <c:tx>
            <c:strRef>
              <c:f>Summary!$B$130</c:f>
              <c:strCache>
                <c:ptCount val="1"/>
                <c:pt idx="0">
                  <c:v>400G Copper</c:v>
                </c:pt>
              </c:strCache>
            </c:strRef>
          </c:tx>
          <c:spPr>
            <a:solidFill>
              <a:srgbClr val="FFC00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Summary!$C$130:$N$130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20E-B245-9475-45784E5C6258}"/>
            </c:ext>
          </c:extLst>
        </c:ser>
        <c:ser>
          <c:idx val="1"/>
          <c:order val="3"/>
          <c:tx>
            <c:strRef>
              <c:f>Summary!$B$133</c:f>
              <c:strCache>
                <c:ptCount val="1"/>
                <c:pt idx="0">
                  <c:v>800G Copper</c:v>
                </c:pt>
              </c:strCache>
            </c:strRef>
          </c:tx>
          <c:spPr>
            <a:solidFill>
              <a:srgbClr val="FF000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Summary!$C$133:$N$133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788-4D40-833F-D137329F0452}"/>
            </c:ext>
          </c:extLst>
        </c:ser>
        <c:ser>
          <c:idx val="2"/>
          <c:order val="4"/>
          <c:tx>
            <c:strRef>
              <c:f>Summary!$B$134</c:f>
              <c:strCache>
                <c:ptCount val="1"/>
                <c:pt idx="0">
                  <c:v>1.6T Copper</c:v>
                </c:pt>
              </c:strCache>
            </c:strRef>
          </c:tx>
          <c:spPr>
            <a:solidFill>
              <a:srgbClr val="C00000"/>
            </a:solidFill>
          </c:spPr>
          <c:invertIfNegative val="0"/>
          <c:cat>
            <c:numRef>
              <c:f>Summary!$C$118:$N$118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Summary!$C$134:$N$134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788-4D40-833F-D137329F0452}"/>
            </c:ext>
          </c:extLst>
        </c:ser>
        <c:dLbls>
          <c:showLegendKey val="0"/>
          <c:showVal val="0"/>
          <c:showCatName val="0"/>
          <c:showSerName val="0"/>
          <c:showPercent val="0"/>
          <c:showBubbleSize val="0"/>
        </c:dLbls>
        <c:gapWidth val="150"/>
        <c:overlap val="100"/>
        <c:axId val="68669824"/>
        <c:axId val="68671360"/>
      </c:barChart>
      <c:catAx>
        <c:axId val="68669824"/>
        <c:scaling>
          <c:orientation val="minMax"/>
        </c:scaling>
        <c:delete val="0"/>
        <c:axPos val="b"/>
        <c:numFmt formatCode="General" sourceLinked="1"/>
        <c:majorTickMark val="out"/>
        <c:minorTickMark val="none"/>
        <c:tickLblPos val="nextTo"/>
        <c:txPr>
          <a:bodyPr/>
          <a:lstStyle/>
          <a:p>
            <a:pPr>
              <a:defRPr sz="1200"/>
            </a:pPr>
            <a:endParaRPr lang="en-US"/>
          </a:p>
        </c:txPr>
        <c:crossAx val="68671360"/>
        <c:crosses val="autoZero"/>
        <c:auto val="1"/>
        <c:lblAlgn val="ctr"/>
        <c:lblOffset val="100"/>
        <c:noMultiLvlLbl val="0"/>
      </c:catAx>
      <c:valAx>
        <c:axId val="68671360"/>
        <c:scaling>
          <c:orientation val="minMax"/>
        </c:scaling>
        <c:delete val="0"/>
        <c:axPos val="l"/>
        <c:majorGridlines/>
        <c:title>
          <c:tx>
            <c:rich>
              <a:bodyPr rot="-5400000" vert="horz"/>
              <a:lstStyle/>
              <a:p>
                <a:pPr>
                  <a:defRPr sz="1600" b="0"/>
                </a:pPr>
                <a:r>
                  <a:rPr lang="en-US" sz="1600" b="0"/>
                  <a:t>Annual revenues ($ mn)</a:t>
                </a:r>
              </a:p>
            </c:rich>
          </c:tx>
          <c:layout>
            <c:manualLayout>
              <c:xMode val="edge"/>
              <c:yMode val="edge"/>
              <c:x val="1.3013670467168264E-2"/>
              <c:y val="0.21406770079979873"/>
            </c:manualLayout>
          </c:layout>
          <c:overlay val="0"/>
        </c:title>
        <c:numFmt formatCode="_(&quot;$&quot;* #,##0_);_(&quot;$&quot;* \(#,##0\);_(&quot;$&quot;* &quot;-&quot;??_);_(@_)" sourceLinked="1"/>
        <c:majorTickMark val="out"/>
        <c:minorTickMark val="none"/>
        <c:tickLblPos val="nextTo"/>
        <c:txPr>
          <a:bodyPr/>
          <a:lstStyle/>
          <a:p>
            <a:pPr>
              <a:defRPr sz="1200"/>
            </a:pPr>
            <a:endParaRPr lang="en-US"/>
          </a:p>
        </c:txPr>
        <c:crossAx val="68669824"/>
        <c:crosses val="autoZero"/>
        <c:crossBetween val="between"/>
      </c:valAx>
    </c:plotArea>
    <c:legend>
      <c:legendPos val="t"/>
      <c:layout>
        <c:manualLayout>
          <c:xMode val="edge"/>
          <c:yMode val="edge"/>
          <c:x val="0.18568150847234793"/>
          <c:y val="0.1033693387391814"/>
          <c:w val="0.29997910748148165"/>
          <c:h val="0.52759960386988647"/>
        </c:manualLayout>
      </c:layout>
      <c:overlay val="0"/>
      <c:spPr>
        <a:solidFill>
          <a:schemeClr val="bg1"/>
        </a:solidFill>
        <a:ln>
          <a:solidFill>
            <a:schemeClr val="bg1">
              <a:lumMod val="50000"/>
            </a:schemeClr>
          </a:solidFill>
        </a:ln>
      </c:spPr>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a:effectLst/>
              </a:rPr>
              <a:t>Copper Cables by Application</a:t>
            </a:r>
            <a:r>
              <a:rPr lang="en-US" sz="1800" b="1" baseline="0">
                <a:effectLst/>
              </a:rPr>
              <a:t> Segment</a:t>
            </a:r>
            <a:endParaRPr lang="en-US" sz="1800">
              <a:effectLst/>
            </a:endParaRPr>
          </a:p>
        </c:rich>
      </c:tx>
      <c:layout>
        <c:manualLayout>
          <c:xMode val="edge"/>
          <c:yMode val="edge"/>
          <c:x val="0.33577673920548556"/>
          <c:y val="3.0071186808515067E-3"/>
        </c:manualLayout>
      </c:layout>
      <c:overlay val="0"/>
    </c:title>
    <c:autoTitleDeleted val="0"/>
    <c:plotArea>
      <c:layout>
        <c:manualLayout>
          <c:layoutTarget val="inner"/>
          <c:xMode val="edge"/>
          <c:yMode val="edge"/>
          <c:x val="0.18656886890302765"/>
          <c:y val="9.1304115287475854E-2"/>
          <c:w val="0.6169652759380907"/>
          <c:h val="0.78166275441984845"/>
        </c:manualLayout>
      </c:layout>
      <c:barChart>
        <c:barDir val="col"/>
        <c:grouping val="stacked"/>
        <c:varyColors val="0"/>
        <c:ser>
          <c:idx val="0"/>
          <c:order val="0"/>
          <c:tx>
            <c:strRef>
              <c:f>Summary!$B$307</c:f>
              <c:strCache>
                <c:ptCount val="1"/>
                <c:pt idx="0">
                  <c:v>HPC &amp; AI Clusters</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Summary!$D$307:$O$307</c:f>
              <c:numCache>
                <c:formatCode>_(* #,##0_);_(* \(#,##0\);_(* "-"??_);_(@_)</c:formatCode>
                <c:ptCount val="12"/>
                <c:pt idx="0">
                  <c:v>1519759.933796755</c:v>
                </c:pt>
                <c:pt idx="1">
                  <c:v>1582667.3913198547</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49-E94E-913B-3DA2AC04D941}"/>
            </c:ext>
          </c:extLst>
        </c:ser>
        <c:ser>
          <c:idx val="1"/>
          <c:order val="1"/>
          <c:tx>
            <c:strRef>
              <c:f>Summary!$B$308</c:f>
              <c:strCache>
                <c:ptCount val="1"/>
                <c:pt idx="0">
                  <c:v>Core Routing</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Summary!$D$308:$O$308</c:f>
              <c:numCache>
                <c:formatCode>_(* #,##0_);_(* \(#,##0\);_(* "-"??_);_(@_)</c:formatCode>
                <c:ptCount val="12"/>
                <c:pt idx="0">
                  <c:v>2930.6041200000009</c:v>
                </c:pt>
                <c:pt idx="1">
                  <c:v>10447.288650000002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649-E94E-913B-3DA2AC04D941}"/>
            </c:ext>
          </c:extLst>
        </c:ser>
        <c:ser>
          <c:idx val="2"/>
          <c:order val="2"/>
          <c:tx>
            <c:strRef>
              <c:f>Summary!$B$309</c:f>
              <c:strCache>
                <c:ptCount val="1"/>
                <c:pt idx="0">
                  <c:v>DC Compute Nodes (except 1x10/1x25G)</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Summary!$D$309:$O$309</c:f>
              <c:numCache>
                <c:formatCode>_(* #,##0_);_(* \(#,##0\);_(* "-"??_);_(@_)</c:formatCode>
                <c:ptCount val="12"/>
                <c:pt idx="0">
                  <c:v>5638721.0905442871</c:v>
                </c:pt>
                <c:pt idx="1">
                  <c:v>5669912.9457250005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649-E94E-913B-3DA2AC04D941}"/>
            </c:ext>
          </c:extLst>
        </c:ser>
        <c:ser>
          <c:idx val="3"/>
          <c:order val="3"/>
          <c:tx>
            <c:strRef>
              <c:f>Summary!$B$310</c:f>
              <c:strCache>
                <c:ptCount val="1"/>
                <c:pt idx="0">
                  <c:v>Other</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Summary!$D$310:$O$310</c:f>
              <c:numCache>
                <c:formatCode>_(* #,##0_);_(* \(#,##0\);_(* "-"??_);_(@_)</c:formatCode>
                <c:ptCount val="12"/>
                <c:pt idx="0">
                  <c:v>489724.51287999988</c:v>
                </c:pt>
                <c:pt idx="1">
                  <c:v>625732.46445000032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72-B24C-9186-4C3E176FF367}"/>
            </c:ext>
          </c:extLst>
        </c:ser>
        <c:dLbls>
          <c:showLegendKey val="0"/>
          <c:showVal val="0"/>
          <c:showCatName val="0"/>
          <c:showSerName val="0"/>
          <c:showPercent val="0"/>
          <c:showBubbleSize val="0"/>
        </c:dLbls>
        <c:gapWidth val="150"/>
        <c:overlap val="100"/>
        <c:axId val="68785280"/>
        <c:axId val="68786816"/>
      </c:barChart>
      <c:catAx>
        <c:axId val="68785280"/>
        <c:scaling>
          <c:orientation val="minMax"/>
        </c:scaling>
        <c:delete val="0"/>
        <c:axPos val="b"/>
        <c:numFmt formatCode="General" sourceLinked="1"/>
        <c:majorTickMark val="out"/>
        <c:minorTickMark val="none"/>
        <c:tickLblPos val="nextTo"/>
        <c:txPr>
          <a:bodyPr/>
          <a:lstStyle/>
          <a:p>
            <a:pPr>
              <a:defRPr sz="1200"/>
            </a:pPr>
            <a:endParaRPr lang="en-US"/>
          </a:p>
        </c:txPr>
        <c:crossAx val="68786816"/>
        <c:crosses val="autoZero"/>
        <c:auto val="1"/>
        <c:lblAlgn val="ctr"/>
        <c:lblOffset val="100"/>
        <c:noMultiLvlLbl val="0"/>
      </c:catAx>
      <c:valAx>
        <c:axId val="68786816"/>
        <c:scaling>
          <c:orientation val="minMax"/>
          <c:min val="0"/>
        </c:scaling>
        <c:delete val="0"/>
        <c:axPos val="l"/>
        <c:majorGridlines/>
        <c:title>
          <c:tx>
            <c:rich>
              <a:bodyPr rot="-5400000" vert="horz"/>
              <a:lstStyle/>
              <a:p>
                <a:pPr>
                  <a:defRPr sz="1400" b="0"/>
                </a:pPr>
                <a:r>
                  <a:rPr lang="en-US" sz="1400" b="0"/>
                  <a:t>Annual</a:t>
                </a:r>
                <a:r>
                  <a:rPr lang="en-US" sz="1400" b="0" baseline="0"/>
                  <a:t> shipments</a:t>
                </a:r>
                <a:endParaRPr lang="en-US" sz="1400" b="0"/>
              </a:p>
            </c:rich>
          </c:tx>
          <c:layout>
            <c:manualLayout>
              <c:xMode val="edge"/>
              <c:yMode val="edge"/>
              <c:x val="1.6730666435279738E-2"/>
              <c:y val="0.27851225672262664"/>
            </c:manualLayout>
          </c:layout>
          <c:overlay val="0"/>
        </c:title>
        <c:numFmt formatCode="_(* #,##0_);_(* \(#,##0\);_(* &quot;-&quot;??_);_(@_)" sourceLinked="1"/>
        <c:majorTickMark val="out"/>
        <c:minorTickMark val="none"/>
        <c:tickLblPos val="nextTo"/>
        <c:txPr>
          <a:bodyPr/>
          <a:lstStyle/>
          <a:p>
            <a:pPr>
              <a:defRPr sz="1200"/>
            </a:pPr>
            <a:endParaRPr lang="en-US"/>
          </a:p>
        </c:txPr>
        <c:crossAx val="68785280"/>
        <c:crosses val="autoZero"/>
        <c:crossBetween val="between"/>
      </c:valAx>
    </c:plotArea>
    <c:legend>
      <c:legendPos val="r"/>
      <c:layout>
        <c:manualLayout>
          <c:xMode val="edge"/>
          <c:yMode val="edge"/>
          <c:x val="0.81292631548256833"/>
          <c:y val="0.19549065979721644"/>
          <c:w val="0.17878834263343676"/>
          <c:h val="0.64946033888428911"/>
        </c:manualLayout>
      </c:layout>
      <c:overlay val="0"/>
      <c:spPr>
        <a:solidFill>
          <a:schemeClr val="bg1"/>
        </a:solidFill>
        <a:ln>
          <a:solidFill>
            <a:sysClr val="windowText" lastClr="000000"/>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2022</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Summary!$B$307:$B$310</c:f>
              <c:strCache>
                <c:ptCount val="4"/>
                <c:pt idx="0">
                  <c:v>HPC &amp; AI Clusters</c:v>
                </c:pt>
                <c:pt idx="1">
                  <c:v>Core Routing</c:v>
                </c:pt>
                <c:pt idx="2">
                  <c:v>DC Compute Nodes (except 1x10/1x25G)</c:v>
                </c:pt>
                <c:pt idx="3">
                  <c:v>Other</c:v>
                </c:pt>
              </c:strCache>
            </c:strRef>
          </c:cat>
          <c:val>
            <c:numRef>
              <c:f>Summary!$J$307:$J$310</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DAA2-0A4D-8FC5-4AA36831172E}"/>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2027</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Summary!$B$307:$B$310</c:f>
              <c:strCache>
                <c:ptCount val="4"/>
                <c:pt idx="0">
                  <c:v>HPC &amp; AI Clusters</c:v>
                </c:pt>
                <c:pt idx="1">
                  <c:v>Core Routing</c:v>
                </c:pt>
                <c:pt idx="2">
                  <c:v>DC Compute Nodes (except 1x10/1x25G)</c:v>
                </c:pt>
                <c:pt idx="3">
                  <c:v>Other</c:v>
                </c:pt>
              </c:strCache>
            </c:strRef>
          </c:cat>
          <c:val>
            <c:numRef>
              <c:f>Summary!$O$307:$O$310</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99B8-D54E-9D00-CCE1B2D285A1}"/>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53846523152519077"/>
          <c:y val="0.12975381108181347"/>
          <c:w val="0.4242641202952312"/>
          <c:h val="0.80248697384422241"/>
        </c:manualLayout>
      </c:layout>
      <c:overlay val="0"/>
      <c:txPr>
        <a:bodyPr/>
        <a:lstStyle/>
        <a:p>
          <a:pPr>
            <a:defRPr sz="1400"/>
          </a:pPr>
          <a:endParaRPr lang="en-US"/>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88122856326689"/>
          <c:y val="5.8596475896608137E-2"/>
          <c:w val="0.71465515175114702"/>
          <c:h val="0.81770970548509436"/>
        </c:manualLayout>
      </c:layout>
      <c:lineChart>
        <c:grouping val="standard"/>
        <c:varyColors val="0"/>
        <c:ser>
          <c:idx val="0"/>
          <c:order val="0"/>
          <c:tx>
            <c:strRef>
              <c:f>Summary!$B$88</c:f>
              <c:strCache>
                <c:ptCount val="1"/>
                <c:pt idx="0">
                  <c:v> 800G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Summary!$C$88:$N$88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E38-2849-9227-40CAB7BDA23F}"/>
            </c:ext>
          </c:extLst>
        </c:ser>
        <c:ser>
          <c:idx val="1"/>
          <c:order val="1"/>
          <c:tx>
            <c:strRef>
              <c:f>Summary!$B$89</c:f>
              <c:strCache>
                <c:ptCount val="1"/>
                <c:pt idx="0">
                  <c:v> 1.6T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Summary!$C$89:$N$89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E38-2849-9227-40CAB7BDA23F}"/>
            </c:ext>
          </c:extLst>
        </c:ser>
        <c:ser>
          <c:idx val="2"/>
          <c:order val="2"/>
          <c:tx>
            <c:strRef>
              <c:f>Summary!$B$90</c:f>
              <c:strCache>
                <c:ptCount val="1"/>
                <c:pt idx="0">
                  <c:v> 800G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Summary!$C$90:$N$90</c:f>
              <c:numCache>
                <c:formatCode>_(* #,##0_);_(* \(#,##0\);_(* "-"??_);_(@_)</c:formatCode>
                <c:ptCount val="12"/>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E38-2849-9227-40CAB7BDA23F}"/>
            </c:ext>
          </c:extLst>
        </c:ser>
        <c:ser>
          <c:idx val="3"/>
          <c:order val="3"/>
          <c:tx>
            <c:strRef>
              <c:f>Summary!$B$91</c:f>
              <c:strCache>
                <c:ptCount val="1"/>
                <c:pt idx="0">
                  <c:v> 1.6T Copper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Summary!$C$91:$N$91</c:f>
              <c:numCache>
                <c:formatCode>_(* #,##0_);_(* \(#,##0\);_(* "-"??_);_(@_)</c:formatCode>
                <c:ptCount val="12"/>
                <c:pt idx="8">
                  <c:v>0</c:v>
                </c:pt>
                <c:pt idx="9">
                  <c:v>0</c:v>
                </c:pt>
                <c:pt idx="10">
                  <c:v>0</c:v>
                </c:pt>
                <c:pt idx="11">
                  <c:v>0</c:v>
                </c:pt>
              </c:numCache>
            </c:numRef>
          </c:val>
          <c:smooth val="0"/>
          <c:extLst>
            <c:ext xmlns:c16="http://schemas.microsoft.com/office/drawing/2014/chart" uri="{C3380CC4-5D6E-409C-BE32-E72D297353CC}">
              <c16:uniqueId val="{00000000-723F-4845-B41B-E5191850091D}"/>
            </c:ext>
          </c:extLst>
        </c:ser>
        <c:dLbls>
          <c:showLegendKey val="0"/>
          <c:showVal val="0"/>
          <c:showCatName val="0"/>
          <c:showSerName val="0"/>
          <c:showPercent val="0"/>
          <c:showBubbleSize val="0"/>
        </c:dLbls>
        <c:smooth val="0"/>
        <c:axId val="68863104"/>
        <c:axId val="68864640"/>
      </c:lineChart>
      <c:catAx>
        <c:axId val="68863104"/>
        <c:scaling>
          <c:orientation val="minMax"/>
        </c:scaling>
        <c:delete val="0"/>
        <c:axPos val="b"/>
        <c:numFmt formatCode="General" sourceLinked="1"/>
        <c:majorTickMark val="out"/>
        <c:minorTickMark val="none"/>
        <c:tickLblPos val="nextTo"/>
        <c:txPr>
          <a:bodyPr/>
          <a:lstStyle/>
          <a:p>
            <a:pPr>
              <a:defRPr sz="1200"/>
            </a:pPr>
            <a:endParaRPr lang="en-US"/>
          </a:p>
        </c:txPr>
        <c:crossAx val="68864640"/>
        <c:crosses val="autoZero"/>
        <c:auto val="1"/>
        <c:lblAlgn val="ctr"/>
        <c:lblOffset val="100"/>
        <c:noMultiLvlLbl val="0"/>
      </c:catAx>
      <c:valAx>
        <c:axId val="68864640"/>
        <c:scaling>
          <c:orientation val="minMax"/>
        </c:scaling>
        <c:delete val="0"/>
        <c:axPos val="l"/>
        <c:majorGridlines/>
        <c:title>
          <c:tx>
            <c:rich>
              <a:bodyPr rot="-5400000" vert="horz"/>
              <a:lstStyle/>
              <a:p>
                <a:pPr>
                  <a:defRPr sz="1400" b="0"/>
                </a:pPr>
                <a:r>
                  <a:rPr lang="en-US" sz="1400" b="0"/>
                  <a:t>Annual shipments (units)</a:t>
                </a:r>
              </a:p>
            </c:rich>
          </c:tx>
          <c:layout>
            <c:manualLayout>
              <c:xMode val="edge"/>
              <c:yMode val="edge"/>
              <c:x val="1.3013626955794472E-2"/>
              <c:y val="0.16847050460189605"/>
            </c:manualLayout>
          </c:layout>
          <c:overlay val="0"/>
        </c:title>
        <c:numFmt formatCode="_(* #,##0_);_(* \(#,##0\);_(* &quot;-&quot;??_);_(@_)" sourceLinked="1"/>
        <c:majorTickMark val="out"/>
        <c:minorTickMark val="none"/>
        <c:tickLblPos val="nextTo"/>
        <c:txPr>
          <a:bodyPr/>
          <a:lstStyle/>
          <a:p>
            <a:pPr>
              <a:defRPr sz="1200"/>
            </a:pPr>
            <a:endParaRPr lang="en-US"/>
          </a:p>
        </c:txPr>
        <c:crossAx val="68863104"/>
        <c:crosses val="autoZero"/>
        <c:crossBetween val="between"/>
        <c:majorUnit val="500000"/>
      </c:valAx>
    </c:plotArea>
    <c:legend>
      <c:legendPos val="t"/>
      <c:layout>
        <c:manualLayout>
          <c:xMode val="edge"/>
          <c:yMode val="edge"/>
          <c:x val="0.24796983405429257"/>
          <c:y val="7.527530852932747E-2"/>
          <c:w val="0.75203011382261076"/>
          <c:h val="8.3660829144856813E-2"/>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9053958344787"/>
          <c:y val="6.1146448016921776E-2"/>
          <c:w val="0.74808996192669353"/>
          <c:h val="0.82050970398412881"/>
        </c:manualLayout>
      </c:layout>
      <c:barChart>
        <c:barDir val="col"/>
        <c:grouping val="stacked"/>
        <c:varyColors val="0"/>
        <c:ser>
          <c:idx val="0"/>
          <c:order val="0"/>
          <c:tx>
            <c:strRef>
              <c:f>Summary!$B$179</c:f>
              <c:strCache>
                <c:ptCount val="1"/>
                <c:pt idx="0">
                  <c:v>HPC &amp; AI Clusters</c:v>
                </c:pt>
              </c:strCache>
            </c:strRef>
          </c:tx>
          <c:invertIfNegative val="0"/>
          <c:cat>
            <c:numRef>
              <c:f>Summary!$C$178:$N$178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Summary!$C$179:$N$179</c:f>
              <c:numCache>
                <c:formatCode>_(* #,##0_);_(* \(#,##0\);_(* "-"??_);_(@_)</c:formatCode>
                <c:ptCount val="12"/>
                <c:pt idx="0">
                  <c:v>423905.86071428569</c:v>
                </c:pt>
                <c:pt idx="1">
                  <c:v>373601.42000000004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D9-C944-88E8-B5447B318530}"/>
            </c:ext>
          </c:extLst>
        </c:ser>
        <c:ser>
          <c:idx val="1"/>
          <c:order val="1"/>
          <c:tx>
            <c:strRef>
              <c:f>Summary!$B$180</c:f>
              <c:strCache>
                <c:ptCount val="1"/>
                <c:pt idx="0">
                  <c:v>Core Routing</c:v>
                </c:pt>
              </c:strCache>
            </c:strRef>
          </c:tx>
          <c:invertIfNegative val="0"/>
          <c:cat>
            <c:numRef>
              <c:f>Summary!$C$178:$N$178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Summary!$C$180:$N$180</c:f>
              <c:numCache>
                <c:formatCode>_(* #,##0_);_(* \(#,##0\);_(* "-"??_);_(@_)</c:formatCode>
                <c:ptCount val="12"/>
                <c:pt idx="0">
                  <c:v>73566.69642857142</c:v>
                </c:pt>
                <c:pt idx="1">
                  <c:v>68486.25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DD9-C944-88E8-B5447B318530}"/>
            </c:ext>
          </c:extLst>
        </c:ser>
        <c:ser>
          <c:idx val="2"/>
          <c:order val="2"/>
          <c:tx>
            <c:strRef>
              <c:f>Summary!$B$181</c:f>
              <c:strCache>
                <c:ptCount val="1"/>
                <c:pt idx="0">
                  <c:v>DC Compute Nodes (except 1x10/1x25G)</c:v>
                </c:pt>
              </c:strCache>
            </c:strRef>
          </c:tx>
          <c:invertIfNegative val="0"/>
          <c:cat>
            <c:numRef>
              <c:f>Summary!$C$178:$N$178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Summary!$C$181:$N$181</c:f>
              <c:numCache>
                <c:formatCode>_(* #,##0_);_(* \(#,##0\);_(* "-"??_);_(@_)</c:formatCode>
                <c:ptCount val="12"/>
                <c:pt idx="0">
                  <c:v>300006.21999999997</c:v>
                </c:pt>
                <c:pt idx="1">
                  <c:v>240735.91999999993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DD9-C944-88E8-B5447B318530}"/>
            </c:ext>
          </c:extLst>
        </c:ser>
        <c:ser>
          <c:idx val="3"/>
          <c:order val="3"/>
          <c:tx>
            <c:strRef>
              <c:f>Summary!$B$183</c:f>
              <c:strCache>
                <c:ptCount val="1"/>
                <c:pt idx="0">
                  <c:v>Other</c:v>
                </c:pt>
              </c:strCache>
            </c:strRef>
          </c:tx>
          <c:invertIfNegative val="0"/>
          <c:cat>
            <c:numRef>
              <c:f>Summary!$C$178:$N$178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Summary!$C$183:$N$183</c:f>
              <c:numCache>
                <c:formatCode>_(* #,##0_);_(* \(#,##0\);_(* "-"??_);_(@_)</c:formatCode>
                <c:ptCount val="12"/>
                <c:pt idx="0">
                  <c:v>30729.579999999987</c:v>
                </c:pt>
                <c:pt idx="1">
                  <c:v>24250.409999999989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BE-6C43-8016-A5379BDFFD17}"/>
            </c:ext>
          </c:extLst>
        </c:ser>
        <c:dLbls>
          <c:showLegendKey val="0"/>
          <c:showVal val="0"/>
          <c:showCatName val="0"/>
          <c:showSerName val="0"/>
          <c:showPercent val="0"/>
          <c:showBubbleSize val="0"/>
        </c:dLbls>
        <c:gapWidth val="150"/>
        <c:overlap val="100"/>
        <c:axId val="61225600"/>
        <c:axId val="61272448"/>
      </c:barChart>
      <c:catAx>
        <c:axId val="61225600"/>
        <c:scaling>
          <c:orientation val="minMax"/>
        </c:scaling>
        <c:delete val="0"/>
        <c:axPos val="b"/>
        <c:numFmt formatCode="General" sourceLinked="1"/>
        <c:majorTickMark val="out"/>
        <c:minorTickMark val="none"/>
        <c:tickLblPos val="nextTo"/>
        <c:txPr>
          <a:bodyPr/>
          <a:lstStyle/>
          <a:p>
            <a:pPr>
              <a:defRPr sz="1400"/>
            </a:pPr>
            <a:endParaRPr lang="en-US"/>
          </a:p>
        </c:txPr>
        <c:crossAx val="61272448"/>
        <c:crosses val="autoZero"/>
        <c:auto val="1"/>
        <c:lblAlgn val="ctr"/>
        <c:lblOffset val="100"/>
        <c:noMultiLvlLbl val="0"/>
      </c:catAx>
      <c:valAx>
        <c:axId val="61272448"/>
        <c:scaling>
          <c:orientation val="minMax"/>
        </c:scaling>
        <c:delete val="0"/>
        <c:axPos val="l"/>
        <c:majorGridlines/>
        <c:title>
          <c:tx>
            <c:rich>
              <a:bodyPr rot="-5400000" vert="horz"/>
              <a:lstStyle/>
              <a:p>
                <a:pPr>
                  <a:defRPr sz="1600" b="0"/>
                </a:pPr>
                <a:r>
                  <a:rPr lang="en-US" sz="1600" b="0"/>
                  <a:t>Annual</a:t>
                </a:r>
                <a:r>
                  <a:rPr lang="en-US" sz="1600" b="0" baseline="0"/>
                  <a:t> shipments</a:t>
                </a:r>
                <a:endParaRPr lang="en-US" sz="1600" b="0"/>
              </a:p>
            </c:rich>
          </c:tx>
          <c:layout>
            <c:manualLayout>
              <c:xMode val="edge"/>
              <c:yMode val="edge"/>
              <c:x val="5.4102771530839403E-4"/>
              <c:y val="0.24588943116166787"/>
            </c:manualLayout>
          </c:layout>
          <c:overlay val="0"/>
        </c:title>
        <c:numFmt formatCode="_(* #,##0_);_(* \(#,##0\);_(* &quot;-&quot;??_);_(@_)" sourceLinked="1"/>
        <c:majorTickMark val="out"/>
        <c:minorTickMark val="none"/>
        <c:tickLblPos val="nextTo"/>
        <c:txPr>
          <a:bodyPr/>
          <a:lstStyle/>
          <a:p>
            <a:pPr>
              <a:defRPr sz="1400"/>
            </a:pPr>
            <a:endParaRPr lang="en-US"/>
          </a:p>
        </c:txPr>
        <c:crossAx val="61225600"/>
        <c:crosses val="autoZero"/>
        <c:crossBetween val="between"/>
        <c:majorUnit val="1000000"/>
      </c:valAx>
    </c:plotArea>
    <c:legend>
      <c:legendPos val="r"/>
      <c:layout>
        <c:manualLayout>
          <c:xMode val="edge"/>
          <c:yMode val="edge"/>
          <c:x val="0.22620903889346936"/>
          <c:y val="8.6816944657687203E-2"/>
          <c:w val="0.28584476573297218"/>
          <c:h val="0.49394837459292246"/>
        </c:manualLayout>
      </c:layout>
      <c:overlay val="0"/>
      <c:spPr>
        <a:solidFill>
          <a:schemeClr val="bg1"/>
        </a:solidFill>
        <a:ln>
          <a:solidFill>
            <a:sysClr val="windowText" lastClr="000000"/>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2022</a:t>
            </a:r>
          </a:p>
        </c:rich>
      </c:tx>
      <c:layout>
        <c:manualLayout>
          <c:xMode val="edge"/>
          <c:yMode val="edge"/>
          <c:x val="0.40748444917347904"/>
          <c:y val="2.7910063665712158E-2"/>
        </c:manualLayout>
      </c:layout>
      <c:overlay val="0"/>
    </c:title>
    <c:autoTitleDeleted val="0"/>
    <c:plotArea>
      <c:layout>
        <c:manualLayout>
          <c:layoutTarget val="inner"/>
          <c:xMode val="edge"/>
          <c:yMode val="edge"/>
          <c:x val="0.21871928886786579"/>
          <c:y val="0.13367081155002739"/>
          <c:w val="0.486864158866049"/>
          <c:h val="0.76093462958753622"/>
        </c:manualLayout>
      </c:layout>
      <c:pieChart>
        <c:varyColors val="1"/>
        <c:ser>
          <c:idx val="0"/>
          <c:order val="0"/>
          <c:dLbls>
            <c:spPr>
              <a:noFill/>
              <a:ln>
                <a:noFill/>
              </a:ln>
              <a:effectLst/>
            </c:spPr>
            <c:txPr>
              <a:bodyPr/>
              <a:lstStyle/>
              <a:p>
                <a:pPr>
                  <a:defRPr sz="12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Summary!$B$179:$B$183</c:f>
              <c:strCache>
                <c:ptCount val="5"/>
                <c:pt idx="0">
                  <c:v>HPC &amp; AI Clusters</c:v>
                </c:pt>
                <c:pt idx="1">
                  <c:v>Core Routing</c:v>
                </c:pt>
                <c:pt idx="2">
                  <c:v>DC Compute Nodes (except 1x10/1x25G)</c:v>
                </c:pt>
                <c:pt idx="3">
                  <c:v>DC Compute Nodes - 1x10, 1x25G AOCs</c:v>
                </c:pt>
                <c:pt idx="4">
                  <c:v>Other</c:v>
                </c:pt>
              </c:strCache>
            </c:strRef>
          </c:cat>
          <c:val>
            <c:numRef>
              <c:f>Summary!$I$179:$I$183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EA9C-5E44-850C-7204F1703FAC}"/>
            </c:ext>
          </c:extLst>
        </c:ser>
        <c:dLbls>
          <c:showLegendKey val="0"/>
          <c:showVal val="1"/>
          <c:showCatName val="0"/>
          <c:showSerName val="0"/>
          <c:showPercent val="0"/>
          <c:showBubbleSize val="0"/>
          <c:showLeaderLines val="1"/>
        </c:dLbls>
        <c:firstSliceAng val="329"/>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2027</a:t>
            </a:r>
          </a:p>
        </c:rich>
      </c:tx>
      <c:overlay val="0"/>
    </c:title>
    <c:autoTitleDeleted val="0"/>
    <c:plotArea>
      <c:layout>
        <c:manualLayout>
          <c:layoutTarget val="inner"/>
          <c:xMode val="edge"/>
          <c:yMode val="edge"/>
          <c:x val="8.6104478538228113E-2"/>
          <c:y val="0.17152997991526403"/>
          <c:w val="0.42255394159924303"/>
          <c:h val="0.7230754612222996"/>
        </c:manualLayout>
      </c:layout>
      <c:pieChart>
        <c:varyColors val="1"/>
        <c:ser>
          <c:idx val="0"/>
          <c:order val="0"/>
          <c:dLbls>
            <c:spPr>
              <a:noFill/>
              <a:ln>
                <a:noFill/>
              </a:ln>
              <a:effectLst/>
            </c:spPr>
            <c:txPr>
              <a:bodyPr/>
              <a:lstStyle/>
              <a:p>
                <a:pPr>
                  <a:defRPr sz="1200"/>
                </a:pPr>
                <a:endParaRPr lang="en-U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Summary!$B$179:$B$183</c:f>
              <c:strCache>
                <c:ptCount val="5"/>
                <c:pt idx="0">
                  <c:v>HPC &amp; AI Clusters</c:v>
                </c:pt>
                <c:pt idx="1">
                  <c:v>Core Routing</c:v>
                </c:pt>
                <c:pt idx="2">
                  <c:v>DC Compute Nodes (except 1x10/1x25G)</c:v>
                </c:pt>
                <c:pt idx="3">
                  <c:v>DC Compute Nodes - 1x10, 1x25G AOCs</c:v>
                </c:pt>
                <c:pt idx="4">
                  <c:v>Other</c:v>
                </c:pt>
              </c:strCache>
            </c:strRef>
          </c:cat>
          <c:val>
            <c:numRef>
              <c:f>Summary!$N$179:$N$183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6D6A-2F43-AC52-157206C29462}"/>
            </c:ext>
          </c:extLst>
        </c:ser>
        <c:dLbls>
          <c:showLegendKey val="0"/>
          <c:showVal val="1"/>
          <c:showCatName val="0"/>
          <c:showSerName val="0"/>
          <c:showPercent val="0"/>
          <c:showBubbleSize val="0"/>
          <c:showLeaderLines val="1"/>
        </c:dLbls>
        <c:firstSliceAng val="275"/>
      </c:pieChart>
    </c:plotArea>
    <c:legend>
      <c:legendPos val="r"/>
      <c:layout>
        <c:manualLayout>
          <c:xMode val="edge"/>
          <c:yMode val="edge"/>
          <c:x val="0.59668896616330425"/>
          <c:y val="6.6527043093577834E-2"/>
          <c:w val="0.38272213623821"/>
          <c:h val="0.86933511781929373"/>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36415535685686"/>
          <c:y val="0.1279618728779639"/>
          <c:w val="0.76617234448975857"/>
          <c:h val="0.74834437606863591"/>
        </c:manualLayout>
      </c:layout>
      <c:lineChart>
        <c:grouping val="standard"/>
        <c:varyColors val="0"/>
        <c:ser>
          <c:idx val="0"/>
          <c:order val="0"/>
          <c:tx>
            <c:strRef>
              <c:f>Summary!$B$76</c:f>
              <c:strCache>
                <c:ptCount val="1"/>
                <c:pt idx="0">
                  <c:v> 10G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Summary!$C$76:$N$76</c:f>
              <c:numCache>
                <c:formatCode>_(* #,##0_);_(* \(#,##0\);_(* "-"??_);_(@_)</c:formatCode>
                <c:ptCount val="12"/>
                <c:pt idx="0">
                  <c:v>1654178</c:v>
                </c:pt>
                <c:pt idx="1">
                  <c:v>3231705</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18D-CA40-BB12-27A1D1357B58}"/>
            </c:ext>
          </c:extLst>
        </c:ser>
        <c:ser>
          <c:idx val="1"/>
          <c:order val="1"/>
          <c:tx>
            <c:strRef>
              <c:f>Summary!$B$77</c:f>
              <c:strCache>
                <c:ptCount val="1"/>
                <c:pt idx="0">
                  <c:v> 25G AOCs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Summary!$C$77:$N$77</c:f>
              <c:numCache>
                <c:formatCode>_(* #,##0_);_(* \(#,##0\);_(* "-"??_);_(@_)</c:formatCode>
                <c:ptCount val="12"/>
                <c:pt idx="0">
                  <c:v>10000</c:v>
                </c:pt>
                <c:pt idx="1">
                  <c:v>170652</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18D-CA40-BB12-27A1D1357B58}"/>
            </c:ext>
          </c:extLst>
        </c:ser>
        <c:ser>
          <c:idx val="2"/>
          <c:order val="2"/>
          <c:tx>
            <c:strRef>
              <c:f>Summary!$B$78</c:f>
              <c:strCache>
                <c:ptCount val="1"/>
                <c:pt idx="0">
                  <c:v> 10G DACs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Summary!$C$78:$N$78</c:f>
              <c:numCache>
                <c:formatCode>_(* #,##0_);_(* \(#,##0\);_(* "-"??_);_(@_)</c:formatCode>
                <c:ptCount val="12"/>
                <c:pt idx="0">
                  <c:v>4845145.5</c:v>
                </c:pt>
                <c:pt idx="1">
                  <c:v>4589910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867-2544-B8CD-FC82B37A4371}"/>
            </c:ext>
          </c:extLst>
        </c:ser>
        <c:ser>
          <c:idx val="3"/>
          <c:order val="3"/>
          <c:tx>
            <c:strRef>
              <c:f>Summary!$B$79</c:f>
              <c:strCache>
                <c:ptCount val="1"/>
                <c:pt idx="0">
                  <c:v> 25G DACs </c:v>
                </c:pt>
              </c:strCache>
            </c:strRef>
          </c:tx>
          <c:marker>
            <c:symbol val="none"/>
          </c:marker>
          <c:cat>
            <c:numRef>
              <c:f>Summary!$C$75:$N$75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Summary!$C$79:$N$79</c:f>
              <c:numCache>
                <c:formatCode>_(* #,##0_);_(* \(#,##0\);_(* "-"??_);_(@_)</c:formatCode>
                <c:ptCount val="12"/>
                <c:pt idx="0">
                  <c:v>568611.75000000012</c:v>
                </c:pt>
                <c:pt idx="1">
                  <c:v>1246925.55</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867-2544-B8CD-FC82B37A4371}"/>
            </c:ext>
          </c:extLst>
        </c:ser>
        <c:dLbls>
          <c:showLegendKey val="0"/>
          <c:showVal val="0"/>
          <c:showCatName val="0"/>
          <c:showSerName val="0"/>
          <c:showPercent val="0"/>
          <c:showBubbleSize val="0"/>
        </c:dLbls>
        <c:smooth val="0"/>
        <c:axId val="67463424"/>
        <c:axId val="67465216"/>
      </c:lineChart>
      <c:catAx>
        <c:axId val="67463424"/>
        <c:scaling>
          <c:orientation val="minMax"/>
        </c:scaling>
        <c:delete val="0"/>
        <c:axPos val="b"/>
        <c:numFmt formatCode="General" sourceLinked="1"/>
        <c:majorTickMark val="out"/>
        <c:minorTickMark val="none"/>
        <c:tickLblPos val="nextTo"/>
        <c:txPr>
          <a:bodyPr/>
          <a:lstStyle/>
          <a:p>
            <a:pPr>
              <a:defRPr sz="1200"/>
            </a:pPr>
            <a:endParaRPr lang="en-US"/>
          </a:p>
        </c:txPr>
        <c:crossAx val="67465216"/>
        <c:crosses val="autoZero"/>
        <c:auto val="1"/>
        <c:lblAlgn val="ctr"/>
        <c:lblOffset val="100"/>
        <c:noMultiLvlLbl val="0"/>
      </c:catAx>
      <c:valAx>
        <c:axId val="67465216"/>
        <c:scaling>
          <c:orientation val="minMax"/>
        </c:scaling>
        <c:delete val="0"/>
        <c:axPos val="l"/>
        <c:majorGridlines/>
        <c:title>
          <c:tx>
            <c:rich>
              <a:bodyPr rot="-5400000" vert="horz"/>
              <a:lstStyle/>
              <a:p>
                <a:pPr>
                  <a:defRPr sz="1400" b="0"/>
                </a:pPr>
                <a:r>
                  <a:rPr lang="en-US" sz="1400" b="0"/>
                  <a:t>Annual shipments (units)</a:t>
                </a:r>
              </a:p>
            </c:rich>
          </c:tx>
          <c:layout>
            <c:manualLayout>
              <c:xMode val="edge"/>
              <c:yMode val="edge"/>
              <c:x val="9.0589502581078663E-3"/>
              <c:y val="0.17929725576006714"/>
            </c:manualLayout>
          </c:layout>
          <c:overlay val="0"/>
        </c:title>
        <c:numFmt formatCode="_(* #,##0_);_(* \(#,##0\);_(* &quot;-&quot;??_);_(@_)" sourceLinked="1"/>
        <c:majorTickMark val="out"/>
        <c:minorTickMark val="none"/>
        <c:tickLblPos val="nextTo"/>
        <c:txPr>
          <a:bodyPr/>
          <a:lstStyle/>
          <a:p>
            <a:pPr>
              <a:defRPr sz="1200"/>
            </a:pPr>
            <a:endParaRPr lang="en-US"/>
          </a:p>
        </c:txPr>
        <c:crossAx val="67463424"/>
        <c:crosses val="autoZero"/>
        <c:crossBetween val="between"/>
      </c:valAx>
    </c:plotArea>
    <c:legend>
      <c:legendPos val="t"/>
      <c:layout>
        <c:manualLayout>
          <c:xMode val="edge"/>
          <c:yMode val="edge"/>
          <c:x val="0.17360396564906108"/>
          <c:y val="2.9678580805272241E-2"/>
          <c:w val="0.76062310710912184"/>
          <c:h val="7.9853708574333493E-2"/>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a:effectLst/>
              </a:rPr>
              <a:t> EOMs by Application</a:t>
            </a:r>
            <a:r>
              <a:rPr lang="en-US" sz="1800" b="1" baseline="0">
                <a:effectLst/>
              </a:rPr>
              <a:t> Segment</a:t>
            </a:r>
            <a:endParaRPr lang="en-US" sz="1800">
              <a:effectLst/>
            </a:endParaRPr>
          </a:p>
        </c:rich>
      </c:tx>
      <c:layout>
        <c:manualLayout>
          <c:xMode val="edge"/>
          <c:yMode val="edge"/>
          <c:x val="0.33577673920548556"/>
          <c:y val="3.0071186808515067E-3"/>
        </c:manualLayout>
      </c:layout>
      <c:overlay val="0"/>
    </c:title>
    <c:autoTitleDeleted val="0"/>
    <c:plotArea>
      <c:layout>
        <c:manualLayout>
          <c:layoutTarget val="inner"/>
          <c:xMode val="edge"/>
          <c:yMode val="edge"/>
          <c:x val="0.18300484235312062"/>
          <c:y val="9.1304115287475854E-2"/>
          <c:w val="0.62052927428711913"/>
          <c:h val="0.78166275441984845"/>
        </c:manualLayout>
      </c:layout>
      <c:barChart>
        <c:barDir val="col"/>
        <c:grouping val="stacked"/>
        <c:varyColors val="0"/>
        <c:ser>
          <c:idx val="0"/>
          <c:order val="0"/>
          <c:tx>
            <c:strRef>
              <c:f>Summary!$B$293</c:f>
              <c:strCache>
                <c:ptCount val="1"/>
                <c:pt idx="0">
                  <c:v>HPC &amp; AI Clusters</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Summary!$D$293:$O$293</c:f>
              <c:numCache>
                <c:formatCode>_(* #,##0_);_(* \(#,##0\);_(* "-"??_);_(@_)</c:formatCode>
                <c:ptCount val="12"/>
                <c:pt idx="0">
                  <c:v>31686.577303786085</c:v>
                </c:pt>
                <c:pt idx="1">
                  <c:v>49766.52499512909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49-E94E-913B-3DA2AC04D941}"/>
            </c:ext>
          </c:extLst>
        </c:ser>
        <c:ser>
          <c:idx val="1"/>
          <c:order val="1"/>
          <c:tx>
            <c:strRef>
              <c:f>Summary!$B$294</c:f>
              <c:strCache>
                <c:ptCount val="1"/>
                <c:pt idx="0">
                  <c:v>Core Routing</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Summary!$D$294:$O$294</c:f>
              <c:numCache>
                <c:formatCode>_(* #,##0_);_(* \(#,##0\);_(* "-"??_);_(@_)</c:formatCode>
                <c:ptCount val="12"/>
                <c:pt idx="0">
                  <c:v>25113.422696213915</c:v>
                </c:pt>
                <c:pt idx="1">
                  <c:v>23342.155004870921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649-E94E-913B-3DA2AC04D941}"/>
            </c:ext>
          </c:extLst>
        </c:ser>
        <c:ser>
          <c:idx val="2"/>
          <c:order val="2"/>
          <c:tx>
            <c:strRef>
              <c:f>Summary!$B$295</c:f>
              <c:strCache>
                <c:ptCount val="1"/>
                <c:pt idx="0">
                  <c:v>DC Compute Nodes (except 1x10/1x25G)</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Summary!$D$295:$O$295</c:f>
              <c:numCache>
                <c:formatCode>_(* #,##0_);_(* \(#,##0\);_(* "-"??_);_(@_)</c:formatCode>
                <c:ptCount val="12"/>
                <c:pt idx="0">
                  <c:v>21200</c:v>
                </c:pt>
                <c:pt idx="1">
                  <c:v>59045.499999999985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649-E94E-913B-3DA2AC04D941}"/>
            </c:ext>
          </c:extLst>
        </c:ser>
        <c:ser>
          <c:idx val="3"/>
          <c:order val="3"/>
          <c:tx>
            <c:strRef>
              <c:f>Summary!$B$296</c:f>
              <c:strCache>
                <c:ptCount val="1"/>
                <c:pt idx="0">
                  <c:v>Other</c:v>
                </c:pt>
              </c:strCache>
            </c:strRef>
          </c:tx>
          <c:invertIfNegative val="0"/>
          <c:cat>
            <c:numRef>
              <c:f>Summary!$D$292:$O$292</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Summary!$D$296:$O$296</c:f>
              <c:numCache>
                <c:formatCode>_(* #,##0_);_(* \(#,##0\);_(* "-"??_);_(@_)</c:formatCode>
                <c:ptCount val="12"/>
                <c:pt idx="0">
                  <c:v>0</c:v>
                </c:pt>
                <c:pt idx="1">
                  <c:v>2361.8200000000052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72-B24C-9186-4C3E176FF367}"/>
            </c:ext>
          </c:extLst>
        </c:ser>
        <c:dLbls>
          <c:showLegendKey val="0"/>
          <c:showVal val="0"/>
          <c:showCatName val="0"/>
          <c:showSerName val="0"/>
          <c:showPercent val="0"/>
          <c:showBubbleSize val="0"/>
        </c:dLbls>
        <c:gapWidth val="150"/>
        <c:overlap val="100"/>
        <c:axId val="67497984"/>
        <c:axId val="67499520"/>
      </c:barChart>
      <c:catAx>
        <c:axId val="67497984"/>
        <c:scaling>
          <c:orientation val="minMax"/>
        </c:scaling>
        <c:delete val="0"/>
        <c:axPos val="b"/>
        <c:numFmt formatCode="General" sourceLinked="1"/>
        <c:majorTickMark val="out"/>
        <c:minorTickMark val="none"/>
        <c:tickLblPos val="nextTo"/>
        <c:txPr>
          <a:bodyPr/>
          <a:lstStyle/>
          <a:p>
            <a:pPr>
              <a:defRPr sz="1200"/>
            </a:pPr>
            <a:endParaRPr lang="en-US"/>
          </a:p>
        </c:txPr>
        <c:crossAx val="67499520"/>
        <c:crosses val="autoZero"/>
        <c:auto val="1"/>
        <c:lblAlgn val="ctr"/>
        <c:lblOffset val="100"/>
        <c:noMultiLvlLbl val="0"/>
      </c:catAx>
      <c:valAx>
        <c:axId val="67499520"/>
        <c:scaling>
          <c:orientation val="minMax"/>
          <c:min val="0"/>
        </c:scaling>
        <c:delete val="0"/>
        <c:axPos val="l"/>
        <c:majorGridlines/>
        <c:title>
          <c:tx>
            <c:rich>
              <a:bodyPr rot="-5400000" vert="horz"/>
              <a:lstStyle/>
              <a:p>
                <a:pPr>
                  <a:defRPr sz="1600" b="0"/>
                </a:pPr>
                <a:r>
                  <a:rPr lang="en-US" sz="1600" b="0"/>
                  <a:t>Annual</a:t>
                </a:r>
                <a:r>
                  <a:rPr lang="en-US" sz="1600" b="0" baseline="0"/>
                  <a:t> shipments</a:t>
                </a:r>
                <a:endParaRPr lang="en-US" sz="1600" b="0"/>
              </a:p>
            </c:rich>
          </c:tx>
          <c:layout>
            <c:manualLayout>
              <c:xMode val="edge"/>
              <c:yMode val="edge"/>
              <c:x val="1.6730666435279738E-2"/>
              <c:y val="0.27851225672262664"/>
            </c:manualLayout>
          </c:layout>
          <c:overlay val="0"/>
        </c:title>
        <c:numFmt formatCode="_(* #,##0_);_(* \(#,##0\);_(* &quot;-&quot;??_);_(@_)" sourceLinked="1"/>
        <c:majorTickMark val="out"/>
        <c:minorTickMark val="none"/>
        <c:tickLblPos val="nextTo"/>
        <c:txPr>
          <a:bodyPr/>
          <a:lstStyle/>
          <a:p>
            <a:pPr>
              <a:defRPr sz="1400"/>
            </a:pPr>
            <a:endParaRPr lang="en-US"/>
          </a:p>
        </c:txPr>
        <c:crossAx val="67497984"/>
        <c:crosses val="autoZero"/>
        <c:crossBetween val="between"/>
      </c:valAx>
    </c:plotArea>
    <c:legend>
      <c:legendPos val="r"/>
      <c:layout>
        <c:manualLayout>
          <c:xMode val="edge"/>
          <c:yMode val="edge"/>
          <c:x val="0.81292631548256833"/>
          <c:y val="0.19549065979721644"/>
          <c:w val="0.17878834263343676"/>
          <c:h val="0.64946033888428911"/>
        </c:manualLayout>
      </c:layout>
      <c:overlay val="0"/>
      <c:spPr>
        <a:solidFill>
          <a:schemeClr val="bg1"/>
        </a:solidFill>
        <a:ln>
          <a:solidFill>
            <a:sysClr val="windowText" lastClr="000000"/>
          </a:solidFill>
        </a:ln>
      </c:spPr>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2022</a:t>
            </a:r>
          </a:p>
        </c:rich>
      </c:tx>
      <c:overlay val="0"/>
    </c:title>
    <c:autoTitleDeleted val="0"/>
    <c:plotArea>
      <c:layout/>
      <c:pieChart>
        <c:varyColors val="1"/>
        <c:ser>
          <c:idx val="0"/>
          <c:order val="0"/>
          <c:dLbls>
            <c:spPr>
              <a:noFill/>
              <a:ln>
                <a:noFill/>
              </a:ln>
              <a:effectLst/>
            </c:spPr>
            <c:txPr>
              <a:bodyPr/>
              <a:lstStyle/>
              <a:p>
                <a:pPr>
                  <a:defRPr sz="12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Summary!$B$293:$B$296</c:f>
              <c:strCache>
                <c:ptCount val="4"/>
                <c:pt idx="0">
                  <c:v>HPC &amp; AI Clusters</c:v>
                </c:pt>
                <c:pt idx="1">
                  <c:v>Core Routing</c:v>
                </c:pt>
                <c:pt idx="2">
                  <c:v>DC Compute Nodes (except 1x10/1x25G)</c:v>
                </c:pt>
                <c:pt idx="3">
                  <c:v>Other</c:v>
                </c:pt>
              </c:strCache>
            </c:strRef>
          </c:cat>
          <c:val>
            <c:numRef>
              <c:f>Summary!$J$293:$J$296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DAA2-0A4D-8FC5-4AA36831172E}"/>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13" Type="http://schemas.openxmlformats.org/officeDocument/2006/relationships/chart" Target="../charts/chart15.xml"/><Relationship Id="rId18" Type="http://schemas.openxmlformats.org/officeDocument/2006/relationships/chart" Target="../charts/chart20.xml"/><Relationship Id="rId26" Type="http://schemas.openxmlformats.org/officeDocument/2006/relationships/chart" Target="../charts/chart28.xml"/><Relationship Id="rId3" Type="http://schemas.openxmlformats.org/officeDocument/2006/relationships/chart" Target="../charts/chart6.xml"/><Relationship Id="rId21" Type="http://schemas.openxmlformats.org/officeDocument/2006/relationships/chart" Target="../charts/chart23.xml"/><Relationship Id="rId7" Type="http://schemas.openxmlformats.org/officeDocument/2006/relationships/chart" Target="../charts/chart10.xml"/><Relationship Id="rId12" Type="http://schemas.openxmlformats.org/officeDocument/2006/relationships/chart" Target="../charts/chart14.xml"/><Relationship Id="rId17" Type="http://schemas.openxmlformats.org/officeDocument/2006/relationships/chart" Target="../charts/chart19.xml"/><Relationship Id="rId25" Type="http://schemas.openxmlformats.org/officeDocument/2006/relationships/chart" Target="../charts/chart27.xml"/><Relationship Id="rId33" Type="http://schemas.openxmlformats.org/officeDocument/2006/relationships/chart" Target="../charts/chart35.xml"/><Relationship Id="rId2" Type="http://schemas.openxmlformats.org/officeDocument/2006/relationships/chart" Target="../charts/chart5.xml"/><Relationship Id="rId16" Type="http://schemas.openxmlformats.org/officeDocument/2006/relationships/chart" Target="../charts/chart18.xml"/><Relationship Id="rId20" Type="http://schemas.openxmlformats.org/officeDocument/2006/relationships/chart" Target="../charts/chart22.xml"/><Relationship Id="rId29" Type="http://schemas.openxmlformats.org/officeDocument/2006/relationships/chart" Target="../charts/chart31.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24" Type="http://schemas.openxmlformats.org/officeDocument/2006/relationships/chart" Target="../charts/chart26.xml"/><Relationship Id="rId32" Type="http://schemas.openxmlformats.org/officeDocument/2006/relationships/chart" Target="../charts/chart34.xml"/><Relationship Id="rId5" Type="http://schemas.openxmlformats.org/officeDocument/2006/relationships/chart" Target="../charts/chart8.xml"/><Relationship Id="rId15" Type="http://schemas.openxmlformats.org/officeDocument/2006/relationships/chart" Target="../charts/chart17.xml"/><Relationship Id="rId23" Type="http://schemas.openxmlformats.org/officeDocument/2006/relationships/chart" Target="../charts/chart25.xml"/><Relationship Id="rId28" Type="http://schemas.openxmlformats.org/officeDocument/2006/relationships/chart" Target="../charts/chart30.xml"/><Relationship Id="rId10" Type="http://schemas.openxmlformats.org/officeDocument/2006/relationships/chart" Target="../charts/chart13.xml"/><Relationship Id="rId19" Type="http://schemas.openxmlformats.org/officeDocument/2006/relationships/chart" Target="../charts/chart21.xml"/><Relationship Id="rId31" Type="http://schemas.openxmlformats.org/officeDocument/2006/relationships/chart" Target="../charts/chart3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6.xml"/><Relationship Id="rId22" Type="http://schemas.openxmlformats.org/officeDocument/2006/relationships/chart" Target="../charts/chart24.xml"/><Relationship Id="rId27" Type="http://schemas.openxmlformats.org/officeDocument/2006/relationships/chart" Target="../charts/chart29.xml"/><Relationship Id="rId30" Type="http://schemas.openxmlformats.org/officeDocument/2006/relationships/chart" Target="../charts/chart32.xml"/><Relationship Id="rId8"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134937</xdr:colOff>
      <xdr:row>0</xdr:row>
      <xdr:rowOff>87313</xdr:rowOff>
    </xdr:from>
    <xdr:to>
      <xdr:col>12</xdr:col>
      <xdr:colOff>597363</xdr:colOff>
      <xdr:row>4</xdr:row>
      <xdr:rowOff>174341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9080500" y="87313"/>
          <a:ext cx="3034176" cy="8014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82777</xdr:colOff>
      <xdr:row>1</xdr:row>
      <xdr:rowOff>12473</xdr:rowOff>
    </xdr:from>
    <xdr:to>
      <xdr:col>17</xdr:col>
      <xdr:colOff>583757</xdr:colOff>
      <xdr:row>4</xdr:row>
      <xdr:rowOff>147126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8247063" y="175759"/>
          <a:ext cx="2968408" cy="7968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510267</xdr:colOff>
      <xdr:row>1</xdr:row>
      <xdr:rowOff>15877</xdr:rowOff>
    </xdr:from>
    <xdr:to>
      <xdr:col>12</xdr:col>
      <xdr:colOff>192767</xdr:colOff>
      <xdr:row>4</xdr:row>
      <xdr:rowOff>44629</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6134553" y="179163"/>
          <a:ext cx="2621643" cy="6909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15874</xdr:colOff>
      <xdr:row>1</xdr:row>
      <xdr:rowOff>70305</xdr:rowOff>
    </xdr:from>
    <xdr:to>
      <xdr:col>13</xdr:col>
      <xdr:colOff>725497</xdr:colOff>
      <xdr:row>4</xdr:row>
      <xdr:rowOff>204958</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8443231" y="233591"/>
          <a:ext cx="3050052" cy="7968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329974</xdr:colOff>
      <xdr:row>1</xdr:row>
      <xdr:rowOff>10205</xdr:rowOff>
    </xdr:from>
    <xdr:to>
      <xdr:col>17</xdr:col>
      <xdr:colOff>802606</xdr:colOff>
      <xdr:row>4</xdr:row>
      <xdr:rowOff>85894</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11587617" y="173491"/>
          <a:ext cx="3030775" cy="792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261938</xdr:colOff>
      <xdr:row>0</xdr:row>
      <xdr:rowOff>31750</xdr:rowOff>
    </xdr:from>
    <xdr:to>
      <xdr:col>10</xdr:col>
      <xdr:colOff>41739</xdr:colOff>
      <xdr:row>4</xdr:row>
      <xdr:rowOff>63215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7913688" y="31750"/>
          <a:ext cx="3034176" cy="8014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10</xdr:row>
      <xdr:rowOff>114300</xdr:rowOff>
    </xdr:from>
    <xdr:to>
      <xdr:col>8</xdr:col>
      <xdr:colOff>462787</xdr:colOff>
      <xdr:row>19</xdr:row>
      <xdr:rowOff>77367</xdr:rowOff>
    </xdr:to>
    <xdr:grpSp>
      <xdr:nvGrpSpPr>
        <xdr:cNvPr id="12796936" name="Group 19">
          <a:extLst>
            <a:ext uri="{FF2B5EF4-FFF2-40B4-BE49-F238E27FC236}">
              <a16:creationId xmlns:a16="http://schemas.microsoft.com/office/drawing/2014/main" id="{00000000-0008-0000-0D00-00000844C300}"/>
            </a:ext>
          </a:extLst>
        </xdr:cNvPr>
        <xdr:cNvGrpSpPr>
          <a:grpSpLocks/>
        </xdr:cNvGrpSpPr>
      </xdr:nvGrpSpPr>
      <xdr:grpSpPr bwMode="auto">
        <a:xfrm>
          <a:off x="342900" y="1924050"/>
          <a:ext cx="5263387" cy="1506117"/>
          <a:chOff x="158" y="204"/>
          <a:chExt cx="534" cy="149"/>
        </a:xfrm>
      </xdr:grpSpPr>
      <xdr:sp macro="" textlink="">
        <xdr:nvSpPr>
          <xdr:cNvPr id="3" name="Text Box 9">
            <a:extLst>
              <a:ext uri="{FF2B5EF4-FFF2-40B4-BE49-F238E27FC236}">
                <a16:creationId xmlns:a16="http://schemas.microsoft.com/office/drawing/2014/main" id="{00000000-0008-0000-0D00-000003000000}"/>
              </a:ext>
            </a:extLst>
          </xdr:cNvPr>
          <xdr:cNvSpPr txBox="1">
            <a:spLocks noChangeArrowheads="1"/>
          </xdr:cNvSpPr>
        </xdr:nvSpPr>
        <xdr:spPr bwMode="auto">
          <a:xfrm>
            <a:off x="162" y="234"/>
            <a:ext cx="137" cy="93"/>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100" b="0" i="0" strike="noStrike">
                <a:solidFill>
                  <a:srgbClr val="000000"/>
                </a:solidFill>
                <a:latin typeface="Arial"/>
                <a:cs typeface="Arial"/>
              </a:rPr>
              <a:t>LightCounting proprietary vendor shipment data</a:t>
            </a:r>
          </a:p>
          <a:p>
            <a:pPr algn="ctr" rtl="0">
              <a:defRPr sz="1000"/>
            </a:pPr>
            <a:endParaRPr lang="en-US" sz="1100" b="0" i="0" strike="noStrike">
              <a:solidFill>
                <a:srgbClr val="000000"/>
              </a:solidFill>
              <a:latin typeface="Arial"/>
              <a:cs typeface="Arial"/>
            </a:endParaRPr>
          </a:p>
        </xdr:txBody>
      </xdr:sp>
      <xdr:sp macro="" textlink="">
        <xdr:nvSpPr>
          <xdr:cNvPr id="4" name="Text Box 10">
            <a:extLst>
              <a:ext uri="{FF2B5EF4-FFF2-40B4-BE49-F238E27FC236}">
                <a16:creationId xmlns:a16="http://schemas.microsoft.com/office/drawing/2014/main" id="{00000000-0008-0000-0D00-000004000000}"/>
              </a:ext>
            </a:extLst>
          </xdr:cNvPr>
          <xdr:cNvSpPr txBox="1">
            <a:spLocks noChangeArrowheads="1"/>
          </xdr:cNvSpPr>
        </xdr:nvSpPr>
        <xdr:spPr bwMode="auto">
          <a:xfrm>
            <a:off x="567" y="241"/>
            <a:ext cx="125" cy="68"/>
          </a:xfrm>
          <a:prstGeom prst="rect">
            <a:avLst/>
          </a:prstGeom>
          <a:noFill/>
          <a:ln w="9525">
            <a:solidFill>
              <a:srgbClr val="000000"/>
            </a:solidFill>
            <a:miter lim="800000"/>
            <a:headEnd/>
            <a:tailEnd/>
          </a:ln>
        </xdr:spPr>
        <xdr:txBody>
          <a:bodyPr vertOverflow="clip" wrap="square" lIns="91440" tIns="45720" rIns="91440" bIns="45720" anchor="ctr" upright="1"/>
          <a:lstStyle/>
          <a:p>
            <a:pPr algn="ctr" rtl="0">
              <a:defRPr sz="1000"/>
            </a:pPr>
            <a:r>
              <a:rPr lang="en-US" sz="1200" b="0" i="0" strike="noStrike">
                <a:solidFill>
                  <a:srgbClr val="000000"/>
                </a:solidFill>
                <a:latin typeface="Arial"/>
                <a:cs typeface="Arial"/>
              </a:rPr>
              <a:t>Preliminary</a:t>
            </a:r>
          </a:p>
          <a:p>
            <a:pPr algn="ctr" rtl="0">
              <a:defRPr sz="1000"/>
            </a:pPr>
            <a:r>
              <a:rPr lang="en-US" sz="1200" b="0" i="0" strike="noStrike">
                <a:solidFill>
                  <a:srgbClr val="000000"/>
                </a:solidFill>
                <a:latin typeface="Arial"/>
                <a:cs typeface="Arial"/>
              </a:rPr>
              <a:t>Forecast</a:t>
            </a:r>
          </a:p>
        </xdr:txBody>
      </xdr:sp>
      <xdr:sp macro="" textlink="">
        <xdr:nvSpPr>
          <xdr:cNvPr id="5" name="Text Box 11">
            <a:extLst>
              <a:ext uri="{FF2B5EF4-FFF2-40B4-BE49-F238E27FC236}">
                <a16:creationId xmlns:a16="http://schemas.microsoft.com/office/drawing/2014/main" id="{00000000-0008-0000-0D00-000005000000}"/>
              </a:ext>
            </a:extLst>
          </xdr:cNvPr>
          <xdr:cNvSpPr txBox="1">
            <a:spLocks noChangeArrowheads="1"/>
          </xdr:cNvSpPr>
        </xdr:nvSpPr>
        <xdr:spPr bwMode="auto">
          <a:xfrm>
            <a:off x="323" y="204"/>
            <a:ext cx="192" cy="73"/>
          </a:xfrm>
          <a:prstGeom prst="rect">
            <a:avLst/>
          </a:prstGeom>
          <a:noFill/>
          <a:ln w="9525">
            <a:solidFill>
              <a:srgbClr val="000000"/>
            </a:solidFill>
            <a:miter lim="800000"/>
            <a:headEnd/>
            <a:tailEnd/>
          </a:ln>
        </xdr:spPr>
        <xdr:txBody>
          <a:bodyPr vertOverflow="clip" wrap="square" lIns="91440" tIns="45720" rIns="91440" bIns="45720" anchor="ctr" upright="1"/>
          <a:lstStyle/>
          <a:p>
            <a:pPr algn="ctr" rtl="0">
              <a:defRPr sz="1000"/>
            </a:pPr>
            <a:r>
              <a:rPr lang="en-US" sz="1200" b="0" i="0" strike="noStrike">
                <a:solidFill>
                  <a:srgbClr val="000000"/>
                </a:solidFill>
                <a:latin typeface="Arial"/>
                <a:cs typeface="Arial"/>
              </a:rPr>
              <a:t>Historical Trend Extrapolation</a:t>
            </a:r>
          </a:p>
        </xdr:txBody>
      </xdr:sp>
      <xdr:sp macro="" textlink="">
        <xdr:nvSpPr>
          <xdr:cNvPr id="6" name="Text Box 12">
            <a:extLst>
              <a:ext uri="{FF2B5EF4-FFF2-40B4-BE49-F238E27FC236}">
                <a16:creationId xmlns:a16="http://schemas.microsoft.com/office/drawing/2014/main" id="{00000000-0008-0000-0D00-000006000000}"/>
              </a:ext>
            </a:extLst>
          </xdr:cNvPr>
          <xdr:cNvSpPr txBox="1">
            <a:spLocks noChangeArrowheads="1"/>
          </xdr:cNvSpPr>
        </xdr:nvSpPr>
        <xdr:spPr bwMode="auto">
          <a:xfrm>
            <a:off x="322" y="277"/>
            <a:ext cx="192" cy="76"/>
          </a:xfrm>
          <a:prstGeom prst="rect">
            <a:avLst/>
          </a:prstGeom>
          <a:noFill/>
          <a:ln w="9525">
            <a:solidFill>
              <a:srgbClr val="000000"/>
            </a:solidFill>
            <a:miter lim="800000"/>
            <a:headEnd/>
            <a:tailEnd/>
          </a:ln>
        </xdr:spPr>
        <xdr:txBody>
          <a:bodyPr vertOverflow="clip" wrap="square" lIns="91440" tIns="45720" rIns="91440" bIns="45720" anchor="ctr" upright="1"/>
          <a:lstStyle/>
          <a:p>
            <a:pPr algn="ctr" rtl="0">
              <a:defRPr sz="1000"/>
            </a:pPr>
            <a:r>
              <a:rPr lang="en-US" sz="1200" b="0" i="0" strike="noStrike">
                <a:solidFill>
                  <a:srgbClr val="000000"/>
                </a:solidFill>
                <a:latin typeface="Arial"/>
                <a:cs typeface="Arial"/>
              </a:rPr>
              <a:t>Interviews with industry participants</a:t>
            </a:r>
            <a:endParaRPr lang="en-US" sz="1200" b="0" i="0" strike="noStrike">
              <a:solidFill>
                <a:srgbClr val="000000"/>
              </a:solidFill>
              <a:latin typeface="Arial"/>
              <a:ea typeface="+mn-ea"/>
              <a:cs typeface="Arial"/>
            </a:endParaRPr>
          </a:p>
          <a:p>
            <a:pPr algn="ctr" rtl="0">
              <a:defRPr sz="1000"/>
            </a:pPr>
            <a:endParaRPr lang="en-US" sz="1000" b="0" i="0" strike="noStrike">
              <a:solidFill>
                <a:srgbClr val="000000"/>
              </a:solidFill>
              <a:latin typeface="Arial"/>
              <a:cs typeface="Arial"/>
            </a:endParaRPr>
          </a:p>
        </xdr:txBody>
      </xdr:sp>
      <xdr:sp macro="" textlink="">
        <xdr:nvSpPr>
          <xdr:cNvPr id="12796945" name="AutoShape 16">
            <a:extLst>
              <a:ext uri="{FF2B5EF4-FFF2-40B4-BE49-F238E27FC236}">
                <a16:creationId xmlns:a16="http://schemas.microsoft.com/office/drawing/2014/main" id="{00000000-0008-0000-0D00-00001144C300}"/>
              </a:ext>
            </a:extLst>
          </xdr:cNvPr>
          <xdr:cNvSpPr>
            <a:spLocks noChangeArrowheads="1"/>
          </xdr:cNvSpPr>
        </xdr:nvSpPr>
        <xdr:spPr bwMode="auto">
          <a:xfrm>
            <a:off x="158" y="204"/>
            <a:ext cx="165" cy="146"/>
          </a:xfrm>
          <a:prstGeom prst="homePlate">
            <a:avLst>
              <a:gd name="adj" fmla="val 28253"/>
            </a:avLst>
          </a:prstGeom>
          <a:noFill/>
          <a:ln w="9525">
            <a:solidFill>
              <a:srgbClr val="000000"/>
            </a:solidFill>
            <a:miter lim="800000"/>
            <a:headEnd/>
            <a:tailEnd/>
          </a:ln>
        </xdr:spPr>
      </xdr:sp>
      <xdr:sp macro="" textlink="">
        <xdr:nvSpPr>
          <xdr:cNvPr id="12796946" name="Line 17">
            <a:extLst>
              <a:ext uri="{FF2B5EF4-FFF2-40B4-BE49-F238E27FC236}">
                <a16:creationId xmlns:a16="http://schemas.microsoft.com/office/drawing/2014/main" id="{00000000-0008-0000-0D00-00001244C300}"/>
              </a:ext>
            </a:extLst>
          </xdr:cNvPr>
          <xdr:cNvSpPr>
            <a:spLocks noChangeShapeType="1"/>
          </xdr:cNvSpPr>
        </xdr:nvSpPr>
        <xdr:spPr bwMode="auto">
          <a:xfrm>
            <a:off x="515" y="206"/>
            <a:ext cx="49" cy="70"/>
          </a:xfrm>
          <a:prstGeom prst="line">
            <a:avLst/>
          </a:prstGeom>
          <a:noFill/>
          <a:ln w="9525">
            <a:solidFill>
              <a:srgbClr val="000000"/>
            </a:solidFill>
            <a:round/>
            <a:headEnd/>
            <a:tailEnd/>
          </a:ln>
        </xdr:spPr>
      </xdr:sp>
      <xdr:sp macro="" textlink="">
        <xdr:nvSpPr>
          <xdr:cNvPr id="12796947" name="Line 18">
            <a:extLst>
              <a:ext uri="{FF2B5EF4-FFF2-40B4-BE49-F238E27FC236}">
                <a16:creationId xmlns:a16="http://schemas.microsoft.com/office/drawing/2014/main" id="{00000000-0008-0000-0D00-00001344C300}"/>
              </a:ext>
            </a:extLst>
          </xdr:cNvPr>
          <xdr:cNvSpPr>
            <a:spLocks noChangeShapeType="1"/>
          </xdr:cNvSpPr>
        </xdr:nvSpPr>
        <xdr:spPr bwMode="auto">
          <a:xfrm flipV="1">
            <a:off x="515" y="276"/>
            <a:ext cx="49" cy="75"/>
          </a:xfrm>
          <a:prstGeom prst="line">
            <a:avLst/>
          </a:prstGeom>
          <a:noFill/>
          <a:ln w="9525">
            <a:solidFill>
              <a:srgbClr val="000000"/>
            </a:solidFill>
            <a:round/>
            <a:headEnd/>
            <a:tailEnd/>
          </a:ln>
        </xdr:spPr>
      </xdr:sp>
    </xdr:grpSp>
    <xdr:clientData/>
  </xdr:twoCellAnchor>
  <xdr:twoCellAnchor>
    <xdr:from>
      <xdr:col>11</xdr:col>
      <xdr:colOff>514350</xdr:colOff>
      <xdr:row>11</xdr:row>
      <xdr:rowOff>123825</xdr:rowOff>
    </xdr:from>
    <xdr:to>
      <xdr:col>14</xdr:col>
      <xdr:colOff>9525</xdr:colOff>
      <xdr:row>17</xdr:row>
      <xdr:rowOff>123825</xdr:rowOff>
    </xdr:to>
    <xdr:sp macro="" textlink="">
      <xdr:nvSpPr>
        <xdr:cNvPr id="18" name="Text Box 10">
          <a:extLst>
            <a:ext uri="{FF2B5EF4-FFF2-40B4-BE49-F238E27FC236}">
              <a16:creationId xmlns:a16="http://schemas.microsoft.com/office/drawing/2014/main" id="{00000000-0008-0000-0D00-000012000000}"/>
            </a:ext>
          </a:extLst>
        </xdr:cNvPr>
        <xdr:cNvSpPr txBox="1">
          <a:spLocks noChangeArrowheads="1"/>
        </xdr:cNvSpPr>
      </xdr:nvSpPr>
      <xdr:spPr bwMode="auto">
        <a:xfrm>
          <a:off x="7429500" y="2057400"/>
          <a:ext cx="1371600" cy="1028700"/>
        </a:xfrm>
        <a:prstGeom prst="rect">
          <a:avLst/>
        </a:prstGeom>
        <a:noFill/>
        <a:ln w="9525">
          <a:solidFill>
            <a:srgbClr val="000000"/>
          </a:solidFill>
          <a:miter lim="800000"/>
          <a:headEnd/>
          <a:tailEnd/>
        </a:ln>
      </xdr:spPr>
      <xdr:txBody>
        <a:bodyPr vertOverflow="clip" wrap="square" lIns="91440" tIns="45720" rIns="91440" bIns="45720" anchor="ctr" upright="1"/>
        <a:lstStyle/>
        <a:p>
          <a:pPr algn="ctr" rtl="0">
            <a:defRPr sz="1000"/>
          </a:pPr>
          <a:r>
            <a:rPr lang="en-US" sz="1200" b="0" i="0" strike="noStrike">
              <a:solidFill>
                <a:srgbClr val="000000"/>
              </a:solidFill>
              <a:latin typeface="Arial"/>
              <a:cs typeface="Arial"/>
            </a:rPr>
            <a:t>LightCounting</a:t>
          </a:r>
        </a:p>
        <a:p>
          <a:pPr algn="ctr" rtl="0">
            <a:defRPr sz="1000"/>
          </a:pPr>
          <a:r>
            <a:rPr lang="en-US" sz="1200" b="0" i="0" strike="noStrike">
              <a:solidFill>
                <a:srgbClr val="000000"/>
              </a:solidFill>
              <a:latin typeface="Arial"/>
              <a:cs typeface="Arial"/>
            </a:rPr>
            <a:t> Optical Interconnect </a:t>
          </a:r>
        </a:p>
        <a:p>
          <a:pPr algn="ctr" rtl="0">
            <a:defRPr sz="1000"/>
          </a:pPr>
          <a:r>
            <a:rPr lang="en-US" sz="1200" b="0" i="0" strike="noStrike">
              <a:solidFill>
                <a:srgbClr val="000000"/>
              </a:solidFill>
              <a:latin typeface="Arial"/>
              <a:cs typeface="Arial"/>
            </a:rPr>
            <a:t>Forecast</a:t>
          </a:r>
        </a:p>
      </xdr:txBody>
    </xdr:sp>
    <xdr:clientData/>
  </xdr:twoCellAnchor>
  <xdr:twoCellAnchor>
    <xdr:from>
      <xdr:col>9</xdr:col>
      <xdr:colOff>285750</xdr:colOff>
      <xdr:row>11</xdr:row>
      <xdr:rowOff>142875</xdr:rowOff>
    </xdr:from>
    <xdr:to>
      <xdr:col>11</xdr:col>
      <xdr:colOff>209550</xdr:colOff>
      <xdr:row>13</xdr:row>
      <xdr:rowOff>34484</xdr:rowOff>
    </xdr:to>
    <xdr:sp macro="" textlink="">
      <xdr:nvSpPr>
        <xdr:cNvPr id="19" name="Text Box 11">
          <a:extLst>
            <a:ext uri="{FF2B5EF4-FFF2-40B4-BE49-F238E27FC236}">
              <a16:creationId xmlns:a16="http://schemas.microsoft.com/office/drawing/2014/main" id="{00000000-0008-0000-0D00-000013000000}"/>
            </a:ext>
          </a:extLst>
        </xdr:cNvPr>
        <xdr:cNvSpPr txBox="1">
          <a:spLocks noChangeArrowheads="1"/>
        </xdr:cNvSpPr>
      </xdr:nvSpPr>
      <xdr:spPr bwMode="auto">
        <a:xfrm>
          <a:off x="6057900" y="2076450"/>
          <a:ext cx="1066800" cy="234509"/>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Sanity</a:t>
          </a:r>
          <a:r>
            <a:rPr lang="en-US" sz="1000" b="0" i="0" strike="noStrike" baseline="0">
              <a:solidFill>
                <a:srgbClr val="000000"/>
              </a:solidFill>
              <a:latin typeface="Arial"/>
              <a:cs typeface="Arial"/>
            </a:rPr>
            <a:t> checks</a:t>
          </a:r>
          <a:endParaRPr lang="en-US" sz="1000" b="0" i="0" strike="noStrike">
            <a:solidFill>
              <a:srgbClr val="000000"/>
            </a:solidFill>
            <a:latin typeface="Arial"/>
            <a:cs typeface="Arial"/>
          </a:endParaRPr>
        </a:p>
      </xdr:txBody>
    </xdr:sp>
    <xdr:clientData/>
  </xdr:twoCellAnchor>
  <xdr:twoCellAnchor>
    <xdr:from>
      <xdr:col>9</xdr:col>
      <xdr:colOff>285750</xdr:colOff>
      <xdr:row>15</xdr:row>
      <xdr:rowOff>119938</xdr:rowOff>
    </xdr:from>
    <xdr:to>
      <xdr:col>11</xdr:col>
      <xdr:colOff>209550</xdr:colOff>
      <xdr:row>17</xdr:row>
      <xdr:rowOff>47626</xdr:rowOff>
    </xdr:to>
    <xdr:sp macro="" textlink="">
      <xdr:nvSpPr>
        <xdr:cNvPr id="20" name="Text Box 12">
          <a:extLst>
            <a:ext uri="{FF2B5EF4-FFF2-40B4-BE49-F238E27FC236}">
              <a16:creationId xmlns:a16="http://schemas.microsoft.com/office/drawing/2014/main" id="{00000000-0008-0000-0D00-000014000000}"/>
            </a:ext>
          </a:extLst>
        </xdr:cNvPr>
        <xdr:cNvSpPr txBox="1">
          <a:spLocks noChangeArrowheads="1"/>
        </xdr:cNvSpPr>
      </xdr:nvSpPr>
      <xdr:spPr bwMode="auto">
        <a:xfrm>
          <a:off x="6057900" y="2739313"/>
          <a:ext cx="1066800" cy="270588"/>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Expert review</a:t>
          </a:r>
        </a:p>
        <a:p>
          <a:pPr algn="ctr" rtl="0">
            <a:defRPr sz="1000"/>
          </a:pPr>
          <a:endParaRPr lang="en-US" sz="1000" b="0" i="0" strike="noStrike">
            <a:solidFill>
              <a:srgbClr val="000000"/>
            </a:solidFill>
            <a:latin typeface="Arial"/>
            <a:cs typeface="Arial"/>
          </a:endParaRPr>
        </a:p>
      </xdr:txBody>
    </xdr:sp>
    <xdr:clientData/>
  </xdr:twoCellAnchor>
  <xdr:twoCellAnchor>
    <xdr:from>
      <xdr:col>8</xdr:col>
      <xdr:colOff>466725</xdr:colOff>
      <xdr:row>12</xdr:row>
      <xdr:rowOff>88680</xdr:rowOff>
    </xdr:from>
    <xdr:to>
      <xdr:col>9</xdr:col>
      <xdr:colOff>285750</xdr:colOff>
      <xdr:row>13</xdr:row>
      <xdr:rowOff>95250</xdr:rowOff>
    </xdr:to>
    <xdr:cxnSp macro="">
      <xdr:nvCxnSpPr>
        <xdr:cNvPr id="11" name="Straight Arrow Connector 10">
          <a:extLst>
            <a:ext uri="{FF2B5EF4-FFF2-40B4-BE49-F238E27FC236}">
              <a16:creationId xmlns:a16="http://schemas.microsoft.com/office/drawing/2014/main" id="{00000000-0008-0000-0D00-00000B000000}"/>
            </a:ext>
          </a:extLst>
        </xdr:cNvPr>
        <xdr:cNvCxnSpPr>
          <a:endCxn id="19" idx="1"/>
        </xdr:cNvCxnSpPr>
      </xdr:nvCxnSpPr>
      <xdr:spPr>
        <a:xfrm flipV="1">
          <a:off x="5667375" y="2193705"/>
          <a:ext cx="390525" cy="17802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476250</xdr:colOff>
      <xdr:row>16</xdr:row>
      <xdr:rowOff>9525</xdr:rowOff>
    </xdr:from>
    <xdr:to>
      <xdr:col>9</xdr:col>
      <xdr:colOff>285750</xdr:colOff>
      <xdr:row>16</xdr:row>
      <xdr:rowOff>83782</xdr:rowOff>
    </xdr:to>
    <xdr:cxnSp macro="">
      <xdr:nvCxnSpPr>
        <xdr:cNvPr id="22" name="Straight Arrow Connector 21">
          <a:extLst>
            <a:ext uri="{FF2B5EF4-FFF2-40B4-BE49-F238E27FC236}">
              <a16:creationId xmlns:a16="http://schemas.microsoft.com/office/drawing/2014/main" id="{00000000-0008-0000-0D00-000016000000}"/>
            </a:ext>
          </a:extLst>
        </xdr:cNvPr>
        <xdr:cNvCxnSpPr>
          <a:endCxn id="20" idx="1"/>
        </xdr:cNvCxnSpPr>
      </xdr:nvCxnSpPr>
      <xdr:spPr>
        <a:xfrm>
          <a:off x="5676900" y="2800350"/>
          <a:ext cx="381000" cy="7425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209550</xdr:colOff>
      <xdr:row>12</xdr:row>
      <xdr:rowOff>85725</xdr:rowOff>
    </xdr:from>
    <xdr:to>
      <xdr:col>11</xdr:col>
      <xdr:colOff>514350</xdr:colOff>
      <xdr:row>12</xdr:row>
      <xdr:rowOff>142875</xdr:rowOff>
    </xdr:to>
    <xdr:cxnSp macro="">
      <xdr:nvCxnSpPr>
        <xdr:cNvPr id="25" name="Straight Arrow Connector 24">
          <a:extLst>
            <a:ext uri="{FF2B5EF4-FFF2-40B4-BE49-F238E27FC236}">
              <a16:creationId xmlns:a16="http://schemas.microsoft.com/office/drawing/2014/main" id="{00000000-0008-0000-0D00-000019000000}"/>
            </a:ext>
          </a:extLst>
        </xdr:cNvPr>
        <xdr:cNvCxnSpPr/>
      </xdr:nvCxnSpPr>
      <xdr:spPr>
        <a:xfrm>
          <a:off x="7124700" y="2190750"/>
          <a:ext cx="304800" cy="57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209550</xdr:colOff>
      <xdr:row>15</xdr:row>
      <xdr:rowOff>152400</xdr:rowOff>
    </xdr:from>
    <xdr:to>
      <xdr:col>11</xdr:col>
      <xdr:colOff>514350</xdr:colOff>
      <xdr:row>16</xdr:row>
      <xdr:rowOff>85725</xdr:rowOff>
    </xdr:to>
    <xdr:cxnSp macro="">
      <xdr:nvCxnSpPr>
        <xdr:cNvPr id="27" name="Straight Arrow Connector 26">
          <a:extLst>
            <a:ext uri="{FF2B5EF4-FFF2-40B4-BE49-F238E27FC236}">
              <a16:creationId xmlns:a16="http://schemas.microsoft.com/office/drawing/2014/main" id="{00000000-0008-0000-0D00-00001B000000}"/>
            </a:ext>
          </a:extLst>
        </xdr:cNvPr>
        <xdr:cNvCxnSpPr/>
      </xdr:nvCxnSpPr>
      <xdr:spPr>
        <a:xfrm flipV="1">
          <a:off x="7124700" y="2771775"/>
          <a:ext cx="304800" cy="1047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254000</xdr:colOff>
      <xdr:row>0</xdr:row>
      <xdr:rowOff>23813</xdr:rowOff>
    </xdr:from>
    <xdr:to>
      <xdr:col>14</xdr:col>
      <xdr:colOff>605301</xdr:colOff>
      <xdr:row>4</xdr:row>
      <xdr:rowOff>110841</xdr:rowOff>
    </xdr:to>
    <xdr:pic>
      <xdr:nvPicPr>
        <xdr:cNvPr id="21" name="Picture 20">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a:stretch>
          <a:fillRect/>
        </a:stretch>
      </xdr:blipFill>
      <xdr:spPr>
        <a:xfrm>
          <a:off x="6731000" y="23813"/>
          <a:ext cx="3034176" cy="8014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xdr:colOff>
      <xdr:row>4</xdr:row>
      <xdr:rowOff>9524</xdr:rowOff>
    </xdr:from>
    <xdr:to>
      <xdr:col>6</xdr:col>
      <xdr:colOff>108857</xdr:colOff>
      <xdr:row>23</xdr:row>
      <xdr:rowOff>161924</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326572</xdr:colOff>
      <xdr:row>4</xdr:row>
      <xdr:rowOff>17145</xdr:rowOff>
    </xdr:from>
    <xdr:to>
      <xdr:col>11</xdr:col>
      <xdr:colOff>152401</xdr:colOff>
      <xdr:row>24</xdr:row>
      <xdr:rowOff>19050</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270966</xdr:colOff>
      <xdr:row>4</xdr:row>
      <xdr:rowOff>35289</xdr:rowOff>
    </xdr:from>
    <xdr:to>
      <xdr:col>16</xdr:col>
      <xdr:colOff>0</xdr:colOff>
      <xdr:row>24</xdr:row>
      <xdr:rowOff>46719</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2721</xdr:colOff>
      <xdr:row>6</xdr:row>
      <xdr:rowOff>25853</xdr:rowOff>
    </xdr:from>
    <xdr:to>
      <xdr:col>16</xdr:col>
      <xdr:colOff>0</xdr:colOff>
      <xdr:row>8</xdr:row>
      <xdr:rowOff>77560</xdr:rowOff>
    </xdr:to>
    <xdr:sp macro="" textlink="$H$26">
      <xdr:nvSpPr>
        <xdr:cNvPr id="7" name="TextBox 1">
          <a:extLst>
            <a:ext uri="{FF2B5EF4-FFF2-40B4-BE49-F238E27FC236}">
              <a16:creationId xmlns:a16="http://schemas.microsoft.com/office/drawing/2014/main" id="{00000000-0008-0000-0E00-000007000000}"/>
            </a:ext>
          </a:extLst>
        </xdr:cNvPr>
        <xdr:cNvSpPr txBox="1"/>
      </xdr:nvSpPr>
      <xdr:spPr>
        <a:xfrm>
          <a:off x="10404021" y="1445078"/>
          <a:ext cx="3864429" cy="39460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11E0A19A-E714-4A73-A311-4220815F1631}" type="TxLink">
            <a:rPr lang="en-US" sz="1800" b="0" i="0" u="none" strike="noStrike">
              <a:solidFill>
                <a:srgbClr val="1F497D"/>
              </a:solidFill>
              <a:latin typeface="Calibri"/>
            </a:rPr>
            <a:pPr algn="ctr"/>
            <a:t>Total 1</a:t>
          </a:fld>
          <a:endParaRPr lang="en-US" sz="800"/>
        </a:p>
      </xdr:txBody>
    </xdr:sp>
    <xdr:clientData/>
  </xdr:twoCellAnchor>
  <xdr:twoCellAnchor editAs="oneCell">
    <xdr:from>
      <xdr:col>13</xdr:col>
      <xdr:colOff>263070</xdr:colOff>
      <xdr:row>0</xdr:row>
      <xdr:rowOff>0</xdr:rowOff>
    </xdr:from>
    <xdr:to>
      <xdr:col>16</xdr:col>
      <xdr:colOff>466961</xdr:colOff>
      <xdr:row>3</xdr:row>
      <xdr:rowOff>84760</xdr:rowOff>
    </xdr:to>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stretch>
          <a:fillRect/>
        </a:stretch>
      </xdr:blipFill>
      <xdr:spPr>
        <a:xfrm>
          <a:off x="12509499" y="0"/>
          <a:ext cx="3034176" cy="801403"/>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0.20163</cdr:x>
      <cdr:y>0.10657</cdr:y>
    </cdr:from>
    <cdr:to>
      <cdr:x>0.82134</cdr:x>
      <cdr:y>0.38807</cdr:y>
    </cdr:to>
    <cdr:sp macro="" textlink="">
      <cdr:nvSpPr>
        <cdr:cNvPr id="2" name="TextBox 1"/>
        <cdr:cNvSpPr txBox="1"/>
      </cdr:nvSpPr>
      <cdr:spPr>
        <a:xfrm xmlns:a="http://schemas.openxmlformats.org/drawingml/2006/main">
          <a:off x="1005839" y="346165"/>
          <a:ext cx="3091543"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0.33255</cdr:x>
      <cdr:y>0.14678</cdr:y>
    </cdr:from>
    <cdr:to>
      <cdr:x>0.66423</cdr:x>
      <cdr:y>0.26072</cdr:y>
    </cdr:to>
    <cdr:sp macro="" textlink="">
      <cdr:nvSpPr>
        <cdr:cNvPr id="3" name="TextBox 2"/>
        <cdr:cNvSpPr txBox="1"/>
      </cdr:nvSpPr>
      <cdr:spPr>
        <a:xfrm xmlns:a="http://schemas.openxmlformats.org/drawingml/2006/main">
          <a:off x="1658983" y="476794"/>
          <a:ext cx="1654628" cy="3701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0.09252</cdr:x>
      <cdr:y>0.09272</cdr:y>
    </cdr:from>
    <cdr:to>
      <cdr:x>0.91299</cdr:x>
      <cdr:y>0.21671</cdr:y>
    </cdr:to>
    <cdr:sp macro="" textlink="Dashboard!$H$26">
      <cdr:nvSpPr>
        <cdr:cNvPr id="4" name="TextBox 3"/>
        <cdr:cNvSpPr txBox="1"/>
      </cdr:nvSpPr>
      <cdr:spPr>
        <a:xfrm xmlns:a="http://schemas.openxmlformats.org/drawingml/2006/main">
          <a:off x="461554" y="343960"/>
          <a:ext cx="4093028" cy="4600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9527CA62-2140-4B91-B417-D383881F517D}" type="TxLink">
            <a:rPr lang="en-US" sz="1800" b="0" i="0" u="none" strike="noStrike">
              <a:solidFill>
                <a:srgbClr val="1F497D"/>
              </a:solidFill>
              <a:latin typeface="Calibri"/>
            </a:rPr>
            <a:pPr algn="ctr"/>
            <a:t>Total 1</a:t>
          </a:fld>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0.09135</cdr:x>
      <cdr:y>0.09392</cdr:y>
    </cdr:from>
    <cdr:to>
      <cdr:x>0.91818</cdr:x>
      <cdr:y>0.22792</cdr:y>
    </cdr:to>
    <cdr:sp macro="" textlink="Dashboard!$H$26">
      <cdr:nvSpPr>
        <cdr:cNvPr id="2" name="TextBox 1"/>
        <cdr:cNvSpPr txBox="1"/>
      </cdr:nvSpPr>
      <cdr:spPr>
        <a:xfrm xmlns:a="http://schemas.openxmlformats.org/drawingml/2006/main">
          <a:off x="432979" y="347526"/>
          <a:ext cx="3918856" cy="49584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CCCD651-D602-4AEE-94A4-CF595A545E0C}" type="TxLink">
            <a:rPr lang="en-US" sz="1800" b="0" i="0" u="none" strike="noStrike">
              <a:solidFill>
                <a:srgbClr val="1F497D"/>
              </a:solidFill>
              <a:latin typeface="Calibri"/>
            </a:rPr>
            <a:pPr algn="ctr"/>
            <a:t>Total 1</a:t>
          </a:fld>
          <a:endParaRPr lang="en-US" sz="800"/>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240394</xdr:colOff>
      <xdr:row>138</xdr:row>
      <xdr:rowOff>25701</xdr:rowOff>
    </xdr:from>
    <xdr:to>
      <xdr:col>12</xdr:col>
      <xdr:colOff>415775</xdr:colOff>
      <xdr:row>158</xdr:row>
      <xdr:rowOff>111010</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203200</xdr:colOff>
      <xdr:row>160</xdr:row>
      <xdr:rowOff>38100</xdr:rowOff>
    </xdr:from>
    <xdr:to>
      <xdr:col>7</xdr:col>
      <xdr:colOff>473831</xdr:colOff>
      <xdr:row>176</xdr:row>
      <xdr:rowOff>58964</xdr:rowOff>
    </xdr:to>
    <xdr:graphicFrame macro="">
      <xdr:nvGraphicFramePr>
        <xdr:cNvPr id="9" name="Chart 8">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787400</xdr:colOff>
      <xdr:row>160</xdr:row>
      <xdr:rowOff>38100</xdr:rowOff>
    </xdr:from>
    <xdr:to>
      <xdr:col>12</xdr:col>
      <xdr:colOff>425848</xdr:colOff>
      <xdr:row>176</xdr:row>
      <xdr:rowOff>58964</xdr:rowOff>
    </xdr:to>
    <xdr:graphicFrame macro="">
      <xdr:nvGraphicFramePr>
        <xdr:cNvPr id="10" name="Chart 9">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9639</xdr:colOff>
      <xdr:row>52</xdr:row>
      <xdr:rowOff>150836</xdr:rowOff>
    </xdr:from>
    <xdr:to>
      <xdr:col>3</xdr:col>
      <xdr:colOff>870857</xdr:colOff>
      <xdr:row>71</xdr:row>
      <xdr:rowOff>36286</xdr:rowOff>
    </xdr:to>
    <xdr:graphicFrame macro="">
      <xdr:nvGraphicFramePr>
        <xdr:cNvPr id="14" name="Chart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381000</xdr:colOff>
      <xdr:row>249</xdr:row>
      <xdr:rowOff>130023</xdr:rowOff>
    </xdr:from>
    <xdr:to>
      <xdr:col>5</xdr:col>
      <xdr:colOff>710293</xdr:colOff>
      <xdr:row>270</xdr:row>
      <xdr:rowOff>64708</xdr:rowOff>
    </xdr:to>
    <xdr:graphicFrame macro="">
      <xdr:nvGraphicFramePr>
        <xdr:cNvPr id="16" name="Chart 15">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395817</xdr:colOff>
      <xdr:row>271</xdr:row>
      <xdr:rowOff>48080</xdr:rowOff>
    </xdr:from>
    <xdr:to>
      <xdr:col>1</xdr:col>
      <xdr:colOff>3498283</xdr:colOff>
      <xdr:row>287</xdr:row>
      <xdr:rowOff>78316</xdr:rowOff>
    </xdr:to>
    <xdr:graphicFrame macro="">
      <xdr:nvGraphicFramePr>
        <xdr:cNvPr id="17" name="Chart 16">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3067050</xdr:colOff>
      <xdr:row>271</xdr:row>
      <xdr:rowOff>48080</xdr:rowOff>
    </xdr:from>
    <xdr:to>
      <xdr:col>5</xdr:col>
      <xdr:colOff>701809</xdr:colOff>
      <xdr:row>287</xdr:row>
      <xdr:rowOff>78316</xdr:rowOff>
    </xdr:to>
    <xdr:graphicFrame macro="">
      <xdr:nvGraphicFramePr>
        <xdr:cNvPr id="18" name="Chart 17">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284315</xdr:colOff>
      <xdr:row>53</xdr:row>
      <xdr:rowOff>45435</xdr:rowOff>
    </xdr:from>
    <xdr:to>
      <xdr:col>39</xdr:col>
      <xdr:colOff>211666</xdr:colOff>
      <xdr:row>91</xdr:row>
      <xdr:rowOff>105835</xdr:rowOff>
    </xdr:to>
    <xdr:graphicFrame macro="">
      <xdr:nvGraphicFramePr>
        <xdr:cNvPr id="25" name="Chart 24">
          <a:extLst>
            <a:ext uri="{FF2B5EF4-FFF2-40B4-BE49-F238E27FC236}">
              <a16:creationId xmlns:a16="http://schemas.microsoft.com/office/drawing/2014/main" id="{00000000-0008-0000-0F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32</xdr:col>
      <xdr:colOff>561681</xdr:colOff>
      <xdr:row>153</xdr:row>
      <xdr:rowOff>114301</xdr:rowOff>
    </xdr:from>
    <xdr:to>
      <xdr:col>40</xdr:col>
      <xdr:colOff>39216</xdr:colOff>
      <xdr:row>169</xdr:row>
      <xdr:rowOff>83684</xdr:rowOff>
    </xdr:to>
    <xdr:graphicFrame macro="">
      <xdr:nvGraphicFramePr>
        <xdr:cNvPr id="26" name="Chart 25">
          <a:extLst>
            <a:ext uri="{FF2B5EF4-FFF2-40B4-BE49-F238E27FC236}">
              <a16:creationId xmlns:a16="http://schemas.microsoft.com/office/drawing/2014/main" id="{00000000-0008-0000-0F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569278</xdr:colOff>
      <xdr:row>170</xdr:row>
      <xdr:rowOff>65767</xdr:rowOff>
    </xdr:from>
    <xdr:to>
      <xdr:col>40</xdr:col>
      <xdr:colOff>61102</xdr:colOff>
      <xdr:row>176</xdr:row>
      <xdr:rowOff>0</xdr:rowOff>
    </xdr:to>
    <xdr:graphicFrame macro="">
      <xdr:nvGraphicFramePr>
        <xdr:cNvPr id="27" name="Chart 26">
          <a:extLst>
            <a:ext uri="{FF2B5EF4-FFF2-40B4-BE49-F238E27FC236}">
              <a16:creationId xmlns:a16="http://schemas.microsoft.com/office/drawing/2014/main" id="{00000000-0008-0000-0F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12</xdr:col>
      <xdr:colOff>453571</xdr:colOff>
      <xdr:row>0</xdr:row>
      <xdr:rowOff>117929</xdr:rowOff>
    </xdr:from>
    <xdr:to>
      <xdr:col>15</xdr:col>
      <xdr:colOff>1130054</xdr:colOff>
      <xdr:row>4</xdr:row>
      <xdr:rowOff>72665</xdr:rowOff>
    </xdr:to>
    <xdr:pic>
      <xdr:nvPicPr>
        <xdr:cNvPr id="28" name="Picture 27">
          <a:extLst>
            <a:ext uri="{FF2B5EF4-FFF2-40B4-BE49-F238E27FC236}">
              <a16:creationId xmlns:a16="http://schemas.microsoft.com/office/drawing/2014/main" id="{00000000-0008-0000-0F00-00001C000000}"/>
            </a:ext>
          </a:extLst>
        </xdr:cNvPr>
        <xdr:cNvPicPr>
          <a:picLocks noChangeAspect="1"/>
        </xdr:cNvPicPr>
      </xdr:nvPicPr>
      <xdr:blipFill>
        <a:blip xmlns:r="http://schemas.openxmlformats.org/officeDocument/2006/relationships" r:embed="rId11"/>
        <a:stretch>
          <a:fillRect/>
        </a:stretch>
      </xdr:blipFill>
      <xdr:spPr>
        <a:xfrm>
          <a:off x="12455071" y="117929"/>
          <a:ext cx="3035054" cy="807450"/>
        </a:xfrm>
        <a:prstGeom prst="rect">
          <a:avLst/>
        </a:prstGeom>
      </xdr:spPr>
    </xdr:pic>
    <xdr:clientData/>
  </xdr:twoCellAnchor>
  <xdr:twoCellAnchor>
    <xdr:from>
      <xdr:col>2</xdr:col>
      <xdr:colOff>853017</xdr:colOff>
      <xdr:row>23</xdr:row>
      <xdr:rowOff>16026</xdr:rowOff>
    </xdr:from>
    <xdr:to>
      <xdr:col>11</xdr:col>
      <xdr:colOff>588434</xdr:colOff>
      <xdr:row>44</xdr:row>
      <xdr:rowOff>78317</xdr:rowOff>
    </xdr:to>
    <xdr:graphicFrame macro="">
      <xdr:nvGraphicFramePr>
        <xdr:cNvPr id="33" name="Chart 32">
          <a:extLst>
            <a:ext uri="{FF2B5EF4-FFF2-40B4-BE49-F238E27FC236}">
              <a16:creationId xmlns:a16="http://schemas.microsoft.com/office/drawing/2014/main" id="{00000000-0008-0000-0F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38100</xdr:colOff>
      <xdr:row>23</xdr:row>
      <xdr:rowOff>62593</xdr:rowOff>
    </xdr:from>
    <xdr:to>
      <xdr:col>25</xdr:col>
      <xdr:colOff>21166</xdr:colOff>
      <xdr:row>44</xdr:row>
      <xdr:rowOff>120650</xdr:rowOff>
    </xdr:to>
    <xdr:graphicFrame macro="">
      <xdr:nvGraphicFramePr>
        <xdr:cNvPr id="34" name="Chart 33">
          <a:extLst>
            <a:ext uri="{FF2B5EF4-FFF2-40B4-BE49-F238E27FC236}">
              <a16:creationId xmlns:a16="http://schemas.microsoft.com/office/drawing/2014/main" id="{00000000-0008-0000-0F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615346</xdr:colOff>
      <xdr:row>220</xdr:row>
      <xdr:rowOff>154895</xdr:rowOff>
    </xdr:from>
    <xdr:to>
      <xdr:col>10</xdr:col>
      <xdr:colOff>328084</xdr:colOff>
      <xdr:row>239</xdr:row>
      <xdr:rowOff>63500</xdr:rowOff>
    </xdr:to>
    <xdr:graphicFrame macro="">
      <xdr:nvGraphicFramePr>
        <xdr:cNvPr id="40" name="Chart 39">
          <a:extLst>
            <a:ext uri="{FF2B5EF4-FFF2-40B4-BE49-F238E27FC236}">
              <a16:creationId xmlns:a16="http://schemas.microsoft.com/office/drawing/2014/main" id="{00000000-0008-0000-0F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208644</xdr:colOff>
      <xdr:row>220</xdr:row>
      <xdr:rowOff>183445</xdr:rowOff>
    </xdr:from>
    <xdr:to>
      <xdr:col>24</xdr:col>
      <xdr:colOff>1</xdr:colOff>
      <xdr:row>239</xdr:row>
      <xdr:rowOff>21167</xdr:rowOff>
    </xdr:to>
    <xdr:graphicFrame macro="">
      <xdr:nvGraphicFramePr>
        <xdr:cNvPr id="44" name="Chart 43">
          <a:extLst>
            <a:ext uri="{FF2B5EF4-FFF2-40B4-BE49-F238E27FC236}">
              <a16:creationId xmlns:a16="http://schemas.microsoft.com/office/drawing/2014/main" id="{00000000-0008-0000-0F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28221</xdr:colOff>
      <xdr:row>52</xdr:row>
      <xdr:rowOff>141112</xdr:rowOff>
    </xdr:from>
    <xdr:to>
      <xdr:col>11</xdr:col>
      <xdr:colOff>479777</xdr:colOff>
      <xdr:row>71</xdr:row>
      <xdr:rowOff>54428</xdr:rowOff>
    </xdr:to>
    <xdr:graphicFrame macro="">
      <xdr:nvGraphicFramePr>
        <xdr:cNvPr id="45" name="Chart 44">
          <a:extLst>
            <a:ext uri="{FF2B5EF4-FFF2-40B4-BE49-F238E27FC236}">
              <a16:creationId xmlns:a16="http://schemas.microsoft.com/office/drawing/2014/main" id="{00000000-0008-0000-0F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522111</xdr:colOff>
      <xdr:row>52</xdr:row>
      <xdr:rowOff>141111</xdr:rowOff>
    </xdr:from>
    <xdr:to>
      <xdr:col>18</xdr:col>
      <xdr:colOff>21166</xdr:colOff>
      <xdr:row>71</xdr:row>
      <xdr:rowOff>36286</xdr:rowOff>
    </xdr:to>
    <xdr:graphicFrame macro="">
      <xdr:nvGraphicFramePr>
        <xdr:cNvPr id="46" name="Chart 45">
          <a:extLst>
            <a:ext uri="{FF2B5EF4-FFF2-40B4-BE49-F238E27FC236}">
              <a16:creationId xmlns:a16="http://schemas.microsoft.com/office/drawing/2014/main" id="{00000000-0008-0000-0F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105833</xdr:colOff>
      <xdr:row>249</xdr:row>
      <xdr:rowOff>77106</xdr:rowOff>
    </xdr:from>
    <xdr:to>
      <xdr:col>15</xdr:col>
      <xdr:colOff>592666</xdr:colOff>
      <xdr:row>270</xdr:row>
      <xdr:rowOff>75291</xdr:rowOff>
    </xdr:to>
    <xdr:graphicFrame macro="">
      <xdr:nvGraphicFramePr>
        <xdr:cNvPr id="47" name="Chart 46">
          <a:extLst>
            <a:ext uri="{FF2B5EF4-FFF2-40B4-BE49-F238E27FC236}">
              <a16:creationId xmlns:a16="http://schemas.microsoft.com/office/drawing/2014/main" id="{00000000-0008-0000-0F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131234</xdr:colOff>
      <xdr:row>271</xdr:row>
      <xdr:rowOff>111580</xdr:rowOff>
    </xdr:from>
    <xdr:to>
      <xdr:col>11</xdr:col>
      <xdr:colOff>270366</xdr:colOff>
      <xdr:row>287</xdr:row>
      <xdr:rowOff>141816</xdr:rowOff>
    </xdr:to>
    <xdr:graphicFrame macro="">
      <xdr:nvGraphicFramePr>
        <xdr:cNvPr id="48" name="Chart 47">
          <a:extLst>
            <a:ext uri="{FF2B5EF4-FFF2-40B4-BE49-F238E27FC236}">
              <a16:creationId xmlns:a16="http://schemas.microsoft.com/office/drawing/2014/main" id="{00000000-0008-0000-0F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579967</xdr:colOff>
      <xdr:row>271</xdr:row>
      <xdr:rowOff>111580</xdr:rowOff>
    </xdr:from>
    <xdr:to>
      <xdr:col>15</xdr:col>
      <xdr:colOff>1855392</xdr:colOff>
      <xdr:row>287</xdr:row>
      <xdr:rowOff>141816</xdr:rowOff>
    </xdr:to>
    <xdr:graphicFrame macro="">
      <xdr:nvGraphicFramePr>
        <xdr:cNvPr id="49" name="Chart 48">
          <a:extLst>
            <a:ext uri="{FF2B5EF4-FFF2-40B4-BE49-F238E27FC236}">
              <a16:creationId xmlns:a16="http://schemas.microsoft.com/office/drawing/2014/main" id="{00000000-0008-0000-0F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571500</xdr:colOff>
      <xdr:row>186</xdr:row>
      <xdr:rowOff>35983</xdr:rowOff>
    </xdr:from>
    <xdr:to>
      <xdr:col>20</xdr:col>
      <xdr:colOff>3022</xdr:colOff>
      <xdr:row>204</xdr:row>
      <xdr:rowOff>60477</xdr:rowOff>
    </xdr:to>
    <xdr:graphicFrame macro="">
      <xdr:nvGraphicFramePr>
        <xdr:cNvPr id="50" name="Chart 49">
          <a:extLst>
            <a:ext uri="{FF2B5EF4-FFF2-40B4-BE49-F238E27FC236}">
              <a16:creationId xmlns:a16="http://schemas.microsoft.com/office/drawing/2014/main" id="{00000000-0008-0000-0F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9639</xdr:colOff>
      <xdr:row>95</xdr:row>
      <xdr:rowOff>150836</xdr:rowOff>
    </xdr:from>
    <xdr:to>
      <xdr:col>3</xdr:col>
      <xdr:colOff>903111</xdr:colOff>
      <xdr:row>115</xdr:row>
      <xdr:rowOff>127000</xdr:rowOff>
    </xdr:to>
    <xdr:graphicFrame macro="">
      <xdr:nvGraphicFramePr>
        <xdr:cNvPr id="51" name="Chart 50">
          <a:extLst>
            <a:ext uri="{FF2B5EF4-FFF2-40B4-BE49-F238E27FC236}">
              <a16:creationId xmlns:a16="http://schemas.microsoft.com/office/drawing/2014/main" id="{00000000-0008-0000-0F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268060</xdr:colOff>
      <xdr:row>187</xdr:row>
      <xdr:rowOff>70453</xdr:rowOff>
    </xdr:from>
    <xdr:to>
      <xdr:col>5</xdr:col>
      <xdr:colOff>5744</xdr:colOff>
      <xdr:row>205</xdr:row>
      <xdr:rowOff>76804</xdr:rowOff>
    </xdr:to>
    <xdr:graphicFrame macro="">
      <xdr:nvGraphicFramePr>
        <xdr:cNvPr id="52" name="Chart 51">
          <a:extLst>
            <a:ext uri="{FF2B5EF4-FFF2-40B4-BE49-F238E27FC236}">
              <a16:creationId xmlns:a16="http://schemas.microsoft.com/office/drawing/2014/main" id="{00000000-0008-0000-0F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381000</xdr:colOff>
      <xdr:row>4</xdr:row>
      <xdr:rowOff>137584</xdr:rowOff>
    </xdr:from>
    <xdr:to>
      <xdr:col>12</xdr:col>
      <xdr:colOff>855738</xdr:colOff>
      <xdr:row>20</xdr:row>
      <xdr:rowOff>167820</xdr:rowOff>
    </xdr:to>
    <xdr:graphicFrame macro="">
      <xdr:nvGraphicFramePr>
        <xdr:cNvPr id="55" name="Chart 54">
          <a:extLst>
            <a:ext uri="{FF2B5EF4-FFF2-40B4-BE49-F238E27FC236}">
              <a16:creationId xmlns:a16="http://schemas.microsoft.com/office/drawing/2014/main" id="{00000000-0008-0000-0F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54427</xdr:colOff>
      <xdr:row>4</xdr:row>
      <xdr:rowOff>137584</xdr:rowOff>
    </xdr:from>
    <xdr:to>
      <xdr:col>7</xdr:col>
      <xdr:colOff>205655</xdr:colOff>
      <xdr:row>20</xdr:row>
      <xdr:rowOff>167820</xdr:rowOff>
    </xdr:to>
    <xdr:graphicFrame macro="">
      <xdr:nvGraphicFramePr>
        <xdr:cNvPr id="56" name="Chart 55">
          <a:extLst>
            <a:ext uri="{FF2B5EF4-FFF2-40B4-BE49-F238E27FC236}">
              <a16:creationId xmlns:a16="http://schemas.microsoft.com/office/drawing/2014/main" id="{00000000-0008-0000-0F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142118</xdr:colOff>
      <xdr:row>187</xdr:row>
      <xdr:rowOff>11794</xdr:rowOff>
    </xdr:from>
    <xdr:to>
      <xdr:col>11</xdr:col>
      <xdr:colOff>701525</xdr:colOff>
      <xdr:row>205</xdr:row>
      <xdr:rowOff>40822</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20</xdr:col>
      <xdr:colOff>362859</xdr:colOff>
      <xdr:row>186</xdr:row>
      <xdr:rowOff>36284</xdr:rowOff>
    </xdr:from>
    <xdr:to>
      <xdr:col>28</xdr:col>
      <xdr:colOff>816429</xdr:colOff>
      <xdr:row>203</xdr:row>
      <xdr:rowOff>181428</xdr:rowOff>
    </xdr:to>
    <xdr:graphicFrame macro="">
      <xdr:nvGraphicFramePr>
        <xdr:cNvPr id="59" name="Chart 58">
          <a:extLst>
            <a:ext uri="{FF2B5EF4-FFF2-40B4-BE49-F238E27FC236}">
              <a16:creationId xmlns:a16="http://schemas.microsoft.com/office/drawing/2014/main" id="{00000000-0008-0000-0F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173870</xdr:colOff>
      <xdr:row>96</xdr:row>
      <xdr:rowOff>10583</xdr:rowOff>
    </xdr:from>
    <xdr:to>
      <xdr:col>12</xdr:col>
      <xdr:colOff>98778</xdr:colOff>
      <xdr:row>115</xdr:row>
      <xdr:rowOff>141110</xdr:rowOff>
    </xdr:to>
    <xdr:graphicFrame macro="">
      <xdr:nvGraphicFramePr>
        <xdr:cNvPr id="60" name="Chart 59">
          <a:extLst>
            <a:ext uri="{FF2B5EF4-FFF2-40B4-BE49-F238E27FC236}">
              <a16:creationId xmlns:a16="http://schemas.microsoft.com/office/drawing/2014/main" id="{00000000-0008-0000-0F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12</xdr:col>
      <xdr:colOff>383118</xdr:colOff>
      <xdr:row>96</xdr:row>
      <xdr:rowOff>7055</xdr:rowOff>
    </xdr:from>
    <xdr:to>
      <xdr:col>19</xdr:col>
      <xdr:colOff>338667</xdr:colOff>
      <xdr:row>115</xdr:row>
      <xdr:rowOff>131535</xdr:rowOff>
    </xdr:to>
    <xdr:graphicFrame macro="">
      <xdr:nvGraphicFramePr>
        <xdr:cNvPr id="63" name="Chart 62">
          <a:extLst>
            <a:ext uri="{FF2B5EF4-FFF2-40B4-BE49-F238E27FC236}">
              <a16:creationId xmlns:a16="http://schemas.microsoft.com/office/drawing/2014/main" id="{00000000-0008-0000-0F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16</xdr:col>
      <xdr:colOff>91017</xdr:colOff>
      <xdr:row>249</xdr:row>
      <xdr:rowOff>42333</xdr:rowOff>
    </xdr:from>
    <xdr:to>
      <xdr:col>26</xdr:col>
      <xdr:colOff>201083</xdr:colOff>
      <xdr:row>270</xdr:row>
      <xdr:rowOff>47774</xdr:rowOff>
    </xdr:to>
    <xdr:graphicFrame macro="">
      <xdr:nvGraphicFramePr>
        <xdr:cNvPr id="31" name="Chart 30">
          <a:extLst>
            <a:ext uri="{FF2B5EF4-FFF2-40B4-BE49-F238E27FC236}">
              <a16:creationId xmlns:a16="http://schemas.microsoft.com/office/drawing/2014/main" id="{00000000-0008-0000-0F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16</xdr:col>
      <xdr:colOff>209551</xdr:colOff>
      <xdr:row>271</xdr:row>
      <xdr:rowOff>94646</xdr:rowOff>
    </xdr:from>
    <xdr:to>
      <xdr:col>24</xdr:col>
      <xdr:colOff>346209</xdr:colOff>
      <xdr:row>287</xdr:row>
      <xdr:rowOff>124882</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15699922" y="50887389"/>
          <a:ext cx="5829887" cy="2816979"/>
          <a:chOff x="15523634" y="49592897"/>
          <a:chExt cx="5925741" cy="2739569"/>
        </a:xfrm>
      </xdr:grpSpPr>
      <xdr:graphicFrame macro="">
        <xdr:nvGraphicFramePr>
          <xdr:cNvPr id="32" name="Chart 31">
            <a:extLst>
              <a:ext uri="{FF2B5EF4-FFF2-40B4-BE49-F238E27FC236}">
                <a16:creationId xmlns:a16="http://schemas.microsoft.com/office/drawing/2014/main" id="{00000000-0008-0000-0F00-000020000000}"/>
              </a:ext>
            </a:extLst>
          </xdr:cNvPr>
          <xdr:cNvGraphicFramePr>
            <a:graphicFrameLocks/>
          </xdr:cNvGraphicFramePr>
        </xdr:nvGraphicFramePr>
        <xdr:xfrm>
          <a:off x="15523634" y="49592897"/>
          <a:ext cx="1811299" cy="2739569"/>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35" name="Chart 34">
            <a:extLst>
              <a:ext uri="{FF2B5EF4-FFF2-40B4-BE49-F238E27FC236}">
                <a16:creationId xmlns:a16="http://schemas.microsoft.com/office/drawing/2014/main" id="{00000000-0008-0000-0F00-000023000000}"/>
              </a:ext>
            </a:extLst>
          </xdr:cNvPr>
          <xdr:cNvGraphicFramePr>
            <a:graphicFrameLocks/>
          </xdr:cNvGraphicFramePr>
        </xdr:nvGraphicFramePr>
        <xdr:xfrm>
          <a:off x="17284699" y="49592897"/>
          <a:ext cx="4164676" cy="2739569"/>
        </xdr:xfrm>
        <a:graphic>
          <a:graphicData uri="http://schemas.openxmlformats.org/drawingml/2006/chart">
            <c:chart xmlns:c="http://schemas.openxmlformats.org/drawingml/2006/chart" xmlns:r="http://schemas.openxmlformats.org/officeDocument/2006/relationships" r:id="rId32"/>
          </a:graphicData>
        </a:graphic>
      </xdr:graphicFrame>
    </xdr:grpSp>
    <xdr:clientData/>
  </xdr:twoCellAnchor>
  <xdr:twoCellAnchor>
    <xdr:from>
      <xdr:col>18</xdr:col>
      <xdr:colOff>127000</xdr:colOff>
      <xdr:row>52</xdr:row>
      <xdr:rowOff>103010</xdr:rowOff>
    </xdr:from>
    <xdr:to>
      <xdr:col>26</xdr:col>
      <xdr:colOff>606878</xdr:colOff>
      <xdr:row>70</xdr:row>
      <xdr:rowOff>167518</xdr:rowOff>
    </xdr:to>
    <xdr:graphicFrame macro="">
      <xdr:nvGraphicFramePr>
        <xdr:cNvPr id="36" name="Chart 35">
          <a:extLst>
            <a:ext uri="{FF2B5EF4-FFF2-40B4-BE49-F238E27FC236}">
              <a16:creationId xmlns:a16="http://schemas.microsoft.com/office/drawing/2014/main" id="{00000000-0008-0000-0F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526142</xdr:colOff>
      <xdr:row>1</xdr:row>
      <xdr:rowOff>148545</xdr:rowOff>
    </xdr:from>
    <xdr:to>
      <xdr:col>17</xdr:col>
      <xdr:colOff>528194</xdr:colOff>
      <xdr:row>5</xdr:row>
      <xdr:rowOff>53011</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0731499" y="311831"/>
          <a:ext cx="3013766" cy="7934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776363</xdr:colOff>
      <xdr:row>1</xdr:row>
      <xdr:rowOff>55185</xdr:rowOff>
    </xdr:from>
    <xdr:to>
      <xdr:col>17</xdr:col>
      <xdr:colOff>699039</xdr:colOff>
      <xdr:row>4</xdr:row>
      <xdr:rowOff>189838</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11052780" y="224518"/>
          <a:ext cx="3055343" cy="8014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T46"/>
  <sheetViews>
    <sheetView showGridLines="0" tabSelected="1" zoomScale="80" zoomScaleNormal="80" zoomScalePageLayoutView="80" workbookViewId="0"/>
  </sheetViews>
  <sheetFormatPr defaultColWidth="9.21875" defaultRowHeight="13.2"/>
  <cols>
    <col min="1" max="1" width="4.44140625" customWidth="1"/>
    <col min="2" max="2" width="36.21875" customWidth="1"/>
    <col min="3" max="3" width="41.44140625" customWidth="1"/>
  </cols>
  <sheetData>
    <row r="1" spans="1:20">
      <c r="A1" s="2"/>
      <c r="B1" s="2"/>
      <c r="C1" s="2"/>
      <c r="D1" s="2"/>
      <c r="E1" s="2"/>
      <c r="F1" s="2"/>
      <c r="G1" s="2"/>
      <c r="H1" s="2"/>
      <c r="I1" s="2"/>
      <c r="J1" s="2"/>
      <c r="K1" s="2"/>
      <c r="L1" s="2"/>
      <c r="M1" s="2"/>
      <c r="N1" s="2"/>
      <c r="O1" s="2"/>
      <c r="P1" s="2"/>
      <c r="Q1" s="2"/>
      <c r="R1" s="2"/>
      <c r="S1" s="2"/>
      <c r="T1" s="2"/>
    </row>
    <row r="2" spans="1:20" ht="15.6">
      <c r="A2" s="2"/>
      <c r="B2" s="446" t="s">
        <v>156</v>
      </c>
      <c r="C2" s="2"/>
      <c r="E2" s="2"/>
      <c r="F2" s="2"/>
      <c r="G2" s="2"/>
      <c r="H2" s="2"/>
      <c r="I2" s="2"/>
      <c r="J2" s="2"/>
      <c r="K2" s="2"/>
      <c r="L2" s="2"/>
      <c r="M2" s="2"/>
      <c r="N2" s="2"/>
      <c r="O2" s="2"/>
      <c r="P2" s="2"/>
      <c r="Q2" s="2"/>
      <c r="R2" s="2"/>
      <c r="S2" s="2"/>
      <c r="T2" s="2"/>
    </row>
    <row r="3" spans="1:20" ht="15">
      <c r="A3" s="2"/>
      <c r="B3" s="189" t="s">
        <v>298</v>
      </c>
      <c r="C3" s="2"/>
      <c r="D3" s="2"/>
      <c r="E3" s="2"/>
      <c r="F3" s="2"/>
      <c r="G3" s="2"/>
      <c r="H3" s="2"/>
      <c r="I3" s="2"/>
      <c r="J3" s="2"/>
      <c r="K3" s="2"/>
      <c r="L3" s="2"/>
      <c r="M3" s="2"/>
      <c r="N3" s="2"/>
      <c r="O3" s="2"/>
      <c r="P3" s="2"/>
      <c r="Q3" s="2"/>
      <c r="R3" s="2"/>
      <c r="S3" s="2"/>
      <c r="T3" s="2"/>
    </row>
    <row r="4" spans="1:20">
      <c r="A4" s="2"/>
      <c r="C4" s="2"/>
      <c r="D4" s="2"/>
      <c r="E4" s="2"/>
      <c r="F4" s="2"/>
      <c r="G4" s="2"/>
      <c r="H4" s="2"/>
      <c r="I4" s="2"/>
      <c r="J4" s="2"/>
      <c r="K4" s="2"/>
      <c r="L4" s="2"/>
      <c r="M4" s="2"/>
      <c r="N4" s="2"/>
      <c r="O4" s="2"/>
      <c r="P4" s="2"/>
      <c r="Q4" s="2"/>
      <c r="R4" s="2"/>
      <c r="S4" s="2"/>
      <c r="T4" s="2"/>
    </row>
    <row r="5" spans="1:20" ht="17.399999999999999">
      <c r="A5" s="2"/>
      <c r="B5" s="3" t="s">
        <v>41</v>
      </c>
      <c r="C5" s="2"/>
      <c r="D5" s="2"/>
      <c r="E5" s="2"/>
      <c r="F5" s="2"/>
      <c r="G5" s="2"/>
      <c r="H5" s="2"/>
      <c r="I5" s="2"/>
      <c r="J5" s="2"/>
      <c r="K5" s="2"/>
      <c r="L5" s="2"/>
      <c r="M5" s="2"/>
      <c r="N5" s="2"/>
      <c r="O5" s="2"/>
      <c r="P5" s="2"/>
      <c r="Q5" s="2"/>
      <c r="R5" s="2"/>
      <c r="S5" s="2"/>
      <c r="T5" s="2"/>
    </row>
    <row r="6" spans="1:20" ht="12.75" customHeight="1">
      <c r="A6" s="2"/>
      <c r="B6" s="447" t="s">
        <v>158</v>
      </c>
      <c r="C6" s="447"/>
      <c r="D6" s="447"/>
      <c r="E6" s="447"/>
      <c r="F6" s="447"/>
      <c r="G6" s="447"/>
      <c r="H6" s="447"/>
      <c r="I6" s="447"/>
      <c r="J6" s="447"/>
      <c r="K6" s="447"/>
      <c r="L6" s="447"/>
      <c r="M6" s="447"/>
      <c r="N6" s="2"/>
      <c r="O6" s="2"/>
      <c r="P6" s="2"/>
      <c r="Q6" s="2"/>
      <c r="R6" s="2"/>
      <c r="S6" s="2"/>
      <c r="T6" s="2"/>
    </row>
    <row r="7" spans="1:20">
      <c r="A7" s="2"/>
      <c r="B7" s="447"/>
      <c r="C7" s="447"/>
      <c r="D7" s="447"/>
      <c r="E7" s="447"/>
      <c r="F7" s="447"/>
      <c r="G7" s="447"/>
      <c r="H7" s="447"/>
      <c r="I7" s="447"/>
      <c r="J7" s="447"/>
      <c r="K7" s="447"/>
      <c r="L7" s="447"/>
      <c r="M7" s="447"/>
      <c r="N7" s="2"/>
      <c r="O7" s="2"/>
      <c r="P7" s="2"/>
      <c r="Q7" s="2"/>
      <c r="R7" s="2"/>
      <c r="S7" s="2"/>
      <c r="T7" s="2"/>
    </row>
    <row r="8" spans="1:20">
      <c r="A8" s="2"/>
      <c r="B8" s="447"/>
      <c r="C8" s="447"/>
      <c r="D8" s="447"/>
      <c r="E8" s="447"/>
      <c r="F8" s="447"/>
      <c r="G8" s="447"/>
      <c r="H8" s="447"/>
      <c r="I8" s="447"/>
      <c r="J8" s="447"/>
      <c r="K8" s="447"/>
      <c r="L8" s="447"/>
      <c r="M8" s="447"/>
      <c r="N8" s="2"/>
      <c r="O8" s="2"/>
      <c r="P8" s="2"/>
      <c r="Q8" s="2"/>
      <c r="R8" s="2"/>
      <c r="S8" s="2"/>
      <c r="T8" s="2"/>
    </row>
    <row r="9" spans="1:20">
      <c r="A9" s="2"/>
      <c r="B9" s="447"/>
      <c r="C9" s="447"/>
      <c r="D9" s="447"/>
      <c r="E9" s="447"/>
      <c r="F9" s="447"/>
      <c r="G9" s="447"/>
      <c r="H9" s="447"/>
      <c r="I9" s="447"/>
      <c r="J9" s="447"/>
      <c r="K9" s="447"/>
      <c r="L9" s="447"/>
      <c r="M9" s="447"/>
      <c r="N9" s="2"/>
      <c r="O9" s="2"/>
      <c r="P9" s="2"/>
      <c r="Q9" s="2"/>
      <c r="R9" s="2"/>
      <c r="S9" s="2"/>
      <c r="T9" s="2"/>
    </row>
    <row r="10" spans="1:20">
      <c r="A10" s="2"/>
      <c r="B10" s="447"/>
      <c r="C10" s="447"/>
      <c r="D10" s="447"/>
      <c r="E10" s="447"/>
      <c r="F10" s="447"/>
      <c r="G10" s="447"/>
      <c r="H10" s="447"/>
      <c r="I10" s="447"/>
      <c r="J10" s="447"/>
      <c r="K10" s="447"/>
      <c r="L10" s="447"/>
      <c r="M10" s="447"/>
      <c r="N10" s="2"/>
      <c r="O10" s="2"/>
      <c r="P10" s="2"/>
      <c r="Q10" s="2"/>
      <c r="R10" s="2"/>
      <c r="S10" s="2"/>
      <c r="T10" s="2"/>
    </row>
    <row r="11" spans="1:20" ht="24" customHeight="1">
      <c r="A11" s="2"/>
      <c r="B11" s="64" t="s">
        <v>226</v>
      </c>
      <c r="C11" s="63"/>
      <c r="D11" s="2"/>
      <c r="E11" s="2"/>
      <c r="F11" s="2"/>
      <c r="G11" s="2"/>
      <c r="H11" s="2"/>
      <c r="I11" s="2"/>
      <c r="J11" s="2"/>
      <c r="K11" s="2"/>
      <c r="L11" s="2"/>
      <c r="M11" s="2"/>
      <c r="N11" s="2"/>
      <c r="O11" s="2"/>
      <c r="P11" s="2"/>
      <c r="Q11" s="2"/>
      <c r="R11" s="2"/>
      <c r="S11" s="2"/>
      <c r="T11" s="2"/>
    </row>
    <row r="12" spans="1:20" ht="24" customHeight="1">
      <c r="A12" s="2"/>
      <c r="B12" s="63" t="s">
        <v>35</v>
      </c>
      <c r="C12" s="63"/>
      <c r="D12" s="2"/>
      <c r="E12" s="2"/>
      <c r="F12" s="2"/>
      <c r="G12" s="2"/>
      <c r="H12" s="2"/>
      <c r="I12" s="2"/>
      <c r="J12" s="2"/>
      <c r="K12" s="2"/>
      <c r="L12" s="2"/>
      <c r="M12" s="2"/>
      <c r="N12" s="2"/>
      <c r="O12" s="2"/>
      <c r="P12" s="2"/>
      <c r="Q12" s="2"/>
      <c r="R12" s="2"/>
      <c r="S12" s="2"/>
      <c r="T12" s="2"/>
    </row>
    <row r="13" spans="1:20" ht="24" customHeight="1">
      <c r="A13" s="2"/>
      <c r="B13" s="306" t="s">
        <v>289</v>
      </c>
      <c r="C13" s="5"/>
      <c r="D13" s="2"/>
      <c r="E13" s="2"/>
      <c r="F13" s="2"/>
      <c r="G13" s="2"/>
      <c r="H13" s="2"/>
      <c r="I13" s="2"/>
      <c r="J13" s="2"/>
      <c r="K13" s="2"/>
      <c r="L13" s="2"/>
      <c r="M13" s="2"/>
      <c r="N13" s="2"/>
      <c r="O13" s="2"/>
      <c r="P13" s="2"/>
      <c r="Q13" s="2"/>
      <c r="R13" s="2"/>
      <c r="S13" s="2"/>
      <c r="T13" s="2"/>
    </row>
    <row r="14" spans="1:20">
      <c r="A14" s="2"/>
      <c r="C14" s="2"/>
      <c r="D14" s="2"/>
      <c r="E14" s="2"/>
      <c r="F14" s="2"/>
      <c r="G14" s="2"/>
      <c r="H14" s="2"/>
      <c r="I14" s="2"/>
      <c r="J14" s="2"/>
      <c r="K14" s="2"/>
      <c r="L14" s="2"/>
      <c r="M14" s="2"/>
      <c r="N14" s="2"/>
      <c r="O14" s="2"/>
      <c r="P14" s="2"/>
      <c r="Q14" s="2"/>
      <c r="R14" s="2"/>
      <c r="S14" s="2"/>
      <c r="T14" s="2"/>
    </row>
    <row r="15" spans="1:20">
      <c r="A15" s="2"/>
      <c r="B15" s="2"/>
      <c r="C15" s="2"/>
      <c r="D15" s="2"/>
      <c r="E15" s="2"/>
      <c r="F15" s="2"/>
      <c r="G15" s="2"/>
      <c r="H15" s="2"/>
      <c r="I15" s="2"/>
      <c r="J15" s="2"/>
      <c r="K15" s="2"/>
      <c r="L15" s="2"/>
      <c r="M15" s="2"/>
      <c r="N15" s="2"/>
      <c r="O15" s="2"/>
      <c r="P15" s="2"/>
      <c r="Q15" s="2"/>
      <c r="R15" s="2"/>
      <c r="S15" s="2"/>
      <c r="T15" s="2"/>
    </row>
    <row r="16" spans="1:20" ht="18.75" customHeight="1">
      <c r="A16" s="2"/>
      <c r="B16" s="2"/>
      <c r="C16" s="2"/>
      <c r="D16" s="2"/>
      <c r="E16" s="2"/>
      <c r="F16" s="2"/>
      <c r="G16" s="2"/>
      <c r="H16" s="2"/>
      <c r="I16" s="2"/>
      <c r="J16" s="2"/>
      <c r="K16" s="2"/>
      <c r="L16" s="2"/>
      <c r="M16" s="2"/>
      <c r="N16" s="2"/>
      <c r="O16" s="2"/>
      <c r="P16" s="2"/>
      <c r="Q16" s="2"/>
      <c r="R16" s="2"/>
      <c r="S16" s="2"/>
      <c r="T16" s="2"/>
    </row>
    <row r="17" spans="1:20">
      <c r="A17" s="2"/>
      <c r="B17" s="2"/>
      <c r="C17" s="2"/>
      <c r="D17" s="2"/>
      <c r="E17" s="2"/>
      <c r="F17" s="2"/>
      <c r="G17" s="2"/>
      <c r="H17" s="2"/>
      <c r="I17" s="2"/>
      <c r="J17" s="2"/>
      <c r="K17" s="2"/>
      <c r="L17" s="2"/>
      <c r="M17" s="2"/>
      <c r="N17" s="2"/>
      <c r="O17" s="2"/>
      <c r="P17" s="2"/>
      <c r="Q17" s="2"/>
      <c r="R17" s="2"/>
      <c r="S17" s="2"/>
      <c r="T17" s="2"/>
    </row>
    <row r="18" spans="1:20">
      <c r="A18" s="2"/>
      <c r="B18" s="2"/>
      <c r="C18" s="2"/>
      <c r="D18" s="2"/>
      <c r="E18" s="2"/>
      <c r="F18" s="2"/>
      <c r="G18" s="2"/>
      <c r="H18" s="2"/>
      <c r="I18" s="2"/>
      <c r="J18" s="2"/>
      <c r="K18" s="2"/>
      <c r="L18" s="2"/>
      <c r="M18" s="2"/>
      <c r="N18" s="2"/>
      <c r="O18" s="2"/>
      <c r="P18" s="2"/>
      <c r="Q18" s="2"/>
      <c r="R18" s="2"/>
      <c r="S18" s="2"/>
      <c r="T18" s="2"/>
    </row>
    <row r="19" spans="1:20">
      <c r="A19" s="2"/>
      <c r="B19" s="2"/>
      <c r="C19" s="2"/>
      <c r="D19" s="2"/>
      <c r="E19" s="2"/>
      <c r="F19" s="2"/>
      <c r="G19" s="2"/>
      <c r="H19" s="2"/>
      <c r="I19" s="2"/>
      <c r="J19" s="2"/>
      <c r="K19" s="2"/>
      <c r="L19" s="2"/>
      <c r="M19" s="2"/>
      <c r="N19" s="2"/>
      <c r="O19" s="2"/>
      <c r="P19" s="2"/>
      <c r="Q19" s="2"/>
      <c r="R19" s="2"/>
      <c r="S19" s="2"/>
      <c r="T19" s="2"/>
    </row>
    <row r="20" spans="1:20">
      <c r="A20" s="2"/>
      <c r="B20" s="2"/>
      <c r="C20" s="2"/>
      <c r="D20" s="2"/>
      <c r="E20" s="2"/>
      <c r="F20" s="2"/>
      <c r="G20" s="2"/>
      <c r="H20" s="2"/>
      <c r="I20" s="2"/>
      <c r="J20" s="2"/>
      <c r="K20" s="2"/>
      <c r="L20" s="2"/>
      <c r="M20" s="2"/>
      <c r="N20" s="2"/>
      <c r="O20" s="2"/>
      <c r="P20" s="2"/>
      <c r="Q20" s="2"/>
      <c r="R20" s="2"/>
      <c r="S20" s="2"/>
      <c r="T20" s="2"/>
    </row>
    <row r="21" spans="1:20">
      <c r="A21" s="2"/>
      <c r="B21" s="2"/>
      <c r="C21" s="2"/>
      <c r="D21" s="2"/>
      <c r="E21" s="2"/>
      <c r="F21" s="2"/>
      <c r="G21" s="2"/>
      <c r="H21" s="2"/>
      <c r="I21" s="2"/>
      <c r="J21" s="2"/>
      <c r="K21" s="2"/>
      <c r="L21" s="2"/>
      <c r="M21" s="2"/>
      <c r="N21" s="2"/>
      <c r="O21" s="2"/>
      <c r="P21" s="2"/>
      <c r="Q21" s="2"/>
      <c r="R21" s="2"/>
      <c r="S21" s="2"/>
      <c r="T21" s="2"/>
    </row>
    <row r="22" spans="1:20">
      <c r="A22" s="2"/>
      <c r="B22" s="2"/>
      <c r="C22" s="2"/>
      <c r="D22" s="2"/>
      <c r="E22" s="2"/>
      <c r="F22" s="2"/>
      <c r="G22" s="2"/>
      <c r="H22" s="2"/>
      <c r="I22" s="2"/>
      <c r="J22" s="2"/>
      <c r="K22" s="2"/>
      <c r="L22" s="2"/>
      <c r="M22" s="2"/>
      <c r="N22" s="2"/>
      <c r="O22" s="2"/>
      <c r="P22" s="2"/>
      <c r="Q22" s="2"/>
      <c r="R22" s="2"/>
      <c r="S22" s="2"/>
      <c r="T22" s="2"/>
    </row>
    <row r="23" spans="1:20">
      <c r="A23" s="2"/>
      <c r="B23" s="2"/>
      <c r="C23" s="2"/>
      <c r="D23" s="2"/>
      <c r="E23" s="2"/>
      <c r="F23" s="2"/>
      <c r="G23" s="2"/>
      <c r="H23" s="2"/>
      <c r="I23" s="2"/>
      <c r="J23" s="2"/>
      <c r="K23" s="2"/>
      <c r="L23" s="2"/>
      <c r="M23" s="2"/>
      <c r="N23" s="2"/>
      <c r="O23" s="2"/>
      <c r="P23" s="2"/>
      <c r="Q23" s="2"/>
      <c r="R23" s="2"/>
      <c r="S23" s="2"/>
      <c r="T23" s="2"/>
    </row>
    <row r="24" spans="1:20">
      <c r="A24" s="2"/>
      <c r="B24" s="2"/>
      <c r="C24" s="2"/>
      <c r="D24" s="2"/>
      <c r="E24" s="2"/>
      <c r="F24" s="2"/>
      <c r="G24" s="2"/>
      <c r="H24" s="2"/>
      <c r="I24" s="2"/>
      <c r="J24" s="2"/>
      <c r="K24" s="2"/>
      <c r="L24" s="2"/>
      <c r="M24" s="2"/>
      <c r="N24" s="2"/>
      <c r="O24" s="2"/>
      <c r="P24" s="2"/>
      <c r="Q24" s="2"/>
      <c r="R24" s="2"/>
      <c r="S24" s="2"/>
      <c r="T24" s="2"/>
    </row>
    <row r="25" spans="1:20">
      <c r="A25" s="2"/>
      <c r="B25" s="2"/>
      <c r="C25" s="2"/>
      <c r="D25" s="2"/>
      <c r="E25" s="2"/>
      <c r="F25" s="2"/>
      <c r="G25" s="2"/>
      <c r="H25" s="2"/>
      <c r="I25" s="2"/>
      <c r="J25" s="2"/>
      <c r="K25" s="2"/>
      <c r="L25" s="2"/>
      <c r="M25" s="2"/>
      <c r="N25" s="2"/>
      <c r="O25" s="2"/>
      <c r="P25" s="2"/>
      <c r="Q25" s="2"/>
      <c r="R25" s="2"/>
      <c r="S25" s="2"/>
      <c r="T25" s="2"/>
    </row>
    <row r="26" spans="1:20">
      <c r="A26" s="2"/>
      <c r="B26" s="2"/>
      <c r="C26" s="2"/>
      <c r="D26" s="2"/>
      <c r="E26" s="2"/>
      <c r="F26" s="2"/>
      <c r="G26" s="2"/>
      <c r="H26" s="2"/>
      <c r="I26" s="2"/>
      <c r="J26" s="2"/>
      <c r="K26" s="2"/>
      <c r="L26" s="2"/>
      <c r="M26" s="2"/>
      <c r="N26" s="2"/>
      <c r="O26" s="2"/>
      <c r="P26" s="2"/>
      <c r="Q26" s="2"/>
      <c r="R26" s="2"/>
      <c r="S26" s="2"/>
      <c r="T26" s="2"/>
    </row>
    <row r="27" spans="1:20">
      <c r="A27" s="2"/>
      <c r="B27" s="2"/>
      <c r="C27" s="2"/>
      <c r="D27" s="2"/>
      <c r="E27" s="2"/>
      <c r="F27" s="2"/>
      <c r="G27" s="2"/>
      <c r="H27" s="2"/>
      <c r="I27" s="2"/>
      <c r="J27" s="2"/>
      <c r="K27" s="2"/>
      <c r="L27" s="2"/>
      <c r="M27" s="2"/>
      <c r="N27" s="2"/>
      <c r="O27" s="2"/>
      <c r="P27" s="2"/>
      <c r="Q27" s="2"/>
      <c r="R27" s="2"/>
      <c r="S27" s="2"/>
      <c r="T27" s="2"/>
    </row>
    <row r="28" spans="1:20">
      <c r="A28" s="2"/>
      <c r="B28" s="2"/>
      <c r="C28" s="2"/>
      <c r="D28" s="2"/>
      <c r="E28" s="2"/>
      <c r="F28" s="2"/>
      <c r="G28" s="2"/>
      <c r="H28" s="2"/>
      <c r="I28" s="2"/>
      <c r="J28" s="2"/>
      <c r="K28" s="2"/>
      <c r="L28" s="2"/>
      <c r="M28" s="2"/>
      <c r="N28" s="2"/>
      <c r="O28" s="2"/>
      <c r="P28" s="2"/>
      <c r="Q28" s="2"/>
      <c r="R28" s="2"/>
      <c r="S28" s="2"/>
      <c r="T28" s="2"/>
    </row>
    <row r="29" spans="1:20">
      <c r="A29" s="2"/>
      <c r="B29" s="2"/>
      <c r="C29" s="2"/>
      <c r="D29" s="2"/>
      <c r="E29" s="2"/>
      <c r="F29" s="2"/>
      <c r="G29" s="2"/>
      <c r="H29" s="2"/>
      <c r="I29" s="2"/>
      <c r="J29" s="2"/>
      <c r="K29" s="2"/>
      <c r="L29" s="2"/>
      <c r="M29" s="2"/>
      <c r="N29" s="2"/>
      <c r="O29" s="2"/>
      <c r="P29" s="2"/>
      <c r="Q29" s="2"/>
      <c r="R29" s="2"/>
      <c r="S29" s="2"/>
      <c r="T29" s="2"/>
    </row>
    <row r="30" spans="1:20">
      <c r="A30" s="2"/>
      <c r="B30" s="2"/>
      <c r="C30" s="2"/>
      <c r="D30" s="2"/>
      <c r="E30" s="2"/>
      <c r="F30" s="2"/>
      <c r="G30" s="2"/>
      <c r="H30" s="2"/>
      <c r="I30" s="2"/>
      <c r="J30" s="2"/>
      <c r="K30" s="2"/>
      <c r="L30" s="2"/>
      <c r="M30" s="2"/>
      <c r="N30" s="2"/>
      <c r="O30" s="2"/>
      <c r="P30" s="2"/>
      <c r="Q30" s="2"/>
      <c r="R30" s="2"/>
      <c r="S30" s="2"/>
      <c r="T30" s="2"/>
    </row>
    <row r="31" spans="1:20">
      <c r="A31" s="2"/>
      <c r="B31" s="2"/>
      <c r="C31" s="2"/>
      <c r="D31" s="2"/>
      <c r="E31" s="2"/>
      <c r="F31" s="2"/>
      <c r="G31" s="2"/>
      <c r="H31" s="2"/>
      <c r="I31" s="2"/>
      <c r="J31" s="2"/>
      <c r="K31" s="2"/>
      <c r="L31" s="2"/>
      <c r="M31" s="2"/>
      <c r="N31" s="2"/>
      <c r="O31" s="2"/>
      <c r="P31" s="2"/>
      <c r="Q31" s="2"/>
      <c r="R31" s="2"/>
      <c r="S31" s="2"/>
      <c r="T31" s="2"/>
    </row>
    <row r="32" spans="1:20">
      <c r="A32" s="2"/>
      <c r="B32" s="2"/>
      <c r="C32" s="2"/>
      <c r="D32" s="2"/>
      <c r="E32" s="2"/>
      <c r="F32" s="2"/>
      <c r="G32" s="2"/>
      <c r="H32" s="2"/>
      <c r="I32" s="2"/>
      <c r="J32" s="2"/>
      <c r="K32" s="2"/>
      <c r="L32" s="2"/>
      <c r="M32" s="2"/>
      <c r="N32" s="2"/>
      <c r="O32" s="2"/>
      <c r="P32" s="2"/>
      <c r="Q32" s="2"/>
      <c r="R32" s="2"/>
      <c r="S32" s="2"/>
      <c r="T32" s="2"/>
    </row>
    <row r="33" spans="1:20">
      <c r="A33" s="2"/>
      <c r="B33" s="2"/>
      <c r="C33" s="2"/>
      <c r="D33" s="2"/>
      <c r="E33" s="2"/>
      <c r="F33" s="2"/>
      <c r="G33" s="2"/>
      <c r="H33" s="2"/>
      <c r="I33" s="2"/>
      <c r="J33" s="2"/>
      <c r="K33" s="2"/>
      <c r="L33" s="2"/>
      <c r="M33" s="2"/>
      <c r="N33" s="2"/>
      <c r="O33" s="2"/>
      <c r="P33" s="2"/>
      <c r="Q33" s="2"/>
      <c r="R33" s="2"/>
      <c r="S33" s="2"/>
      <c r="T33" s="2"/>
    </row>
    <row r="34" spans="1:20">
      <c r="A34" s="2"/>
      <c r="B34" s="2"/>
      <c r="C34" s="2"/>
      <c r="D34" s="2"/>
      <c r="E34" s="2"/>
      <c r="F34" s="2"/>
      <c r="G34" s="2"/>
      <c r="H34" s="2"/>
      <c r="I34" s="2"/>
      <c r="J34" s="2"/>
      <c r="K34" s="2"/>
      <c r="L34" s="2"/>
      <c r="M34" s="2"/>
      <c r="N34" s="2"/>
      <c r="O34" s="2"/>
      <c r="P34" s="2"/>
      <c r="Q34" s="2"/>
      <c r="R34" s="2"/>
      <c r="S34" s="2"/>
      <c r="T34" s="2"/>
    </row>
    <row r="35" spans="1:20">
      <c r="A35" s="2"/>
      <c r="B35" s="2"/>
      <c r="C35" s="2"/>
      <c r="D35" s="2"/>
      <c r="E35" s="2"/>
      <c r="F35" s="2"/>
      <c r="G35" s="2"/>
      <c r="H35" s="2"/>
      <c r="I35" s="2"/>
      <c r="J35" s="2"/>
      <c r="K35" s="2"/>
      <c r="L35" s="2"/>
      <c r="M35" s="2"/>
      <c r="N35" s="2"/>
      <c r="O35" s="2"/>
      <c r="P35" s="2"/>
      <c r="Q35" s="2"/>
      <c r="R35" s="2"/>
      <c r="S35" s="2"/>
      <c r="T35" s="2"/>
    </row>
    <row r="36" spans="1:20">
      <c r="A36" s="2"/>
      <c r="B36" s="2"/>
      <c r="C36" s="2"/>
      <c r="D36" s="2"/>
      <c r="E36" s="2"/>
      <c r="F36" s="2"/>
      <c r="G36" s="2"/>
      <c r="H36" s="2"/>
      <c r="I36" s="2"/>
      <c r="J36" s="2"/>
      <c r="K36" s="2"/>
      <c r="L36" s="2"/>
      <c r="M36" s="2"/>
      <c r="N36" s="2"/>
      <c r="O36" s="2"/>
      <c r="P36" s="2"/>
      <c r="Q36" s="2"/>
      <c r="R36" s="2"/>
      <c r="S36" s="2"/>
      <c r="T36" s="2"/>
    </row>
    <row r="37" spans="1:20">
      <c r="A37" s="2"/>
      <c r="B37" s="2"/>
      <c r="C37" s="2"/>
      <c r="D37" s="2"/>
      <c r="E37" s="2"/>
      <c r="F37" s="2"/>
      <c r="G37" s="2"/>
      <c r="H37" s="2"/>
      <c r="I37" s="2"/>
      <c r="J37" s="2"/>
      <c r="K37" s="2"/>
      <c r="L37" s="2"/>
      <c r="M37" s="2"/>
      <c r="N37" s="2"/>
      <c r="O37" s="2"/>
      <c r="P37" s="2"/>
      <c r="Q37" s="2"/>
      <c r="R37" s="2"/>
      <c r="S37" s="2"/>
      <c r="T37" s="2"/>
    </row>
    <row r="38" spans="1:20">
      <c r="A38" s="2"/>
      <c r="B38" s="2"/>
      <c r="C38" s="2"/>
      <c r="D38" s="2"/>
      <c r="E38" s="2"/>
      <c r="F38" s="2"/>
      <c r="G38" s="2"/>
      <c r="H38" s="2"/>
      <c r="I38" s="2"/>
      <c r="J38" s="2"/>
      <c r="K38" s="2"/>
      <c r="L38" s="2"/>
      <c r="M38" s="2"/>
      <c r="N38" s="2"/>
      <c r="O38" s="2"/>
      <c r="P38" s="2"/>
      <c r="Q38" s="2"/>
      <c r="R38" s="2"/>
      <c r="S38" s="2"/>
      <c r="T38" s="2"/>
    </row>
    <row r="39" spans="1:20">
      <c r="A39" s="2"/>
      <c r="B39" s="2"/>
      <c r="C39" s="2"/>
      <c r="D39" s="2"/>
      <c r="E39" s="2"/>
      <c r="F39" s="2"/>
      <c r="G39" s="2"/>
      <c r="H39" s="2"/>
      <c r="I39" s="2"/>
      <c r="J39" s="2"/>
      <c r="K39" s="2"/>
      <c r="L39" s="2"/>
      <c r="M39" s="2"/>
      <c r="N39" s="2"/>
      <c r="O39" s="2"/>
      <c r="P39" s="2"/>
      <c r="Q39" s="2"/>
      <c r="R39" s="2"/>
      <c r="S39" s="2"/>
      <c r="T39" s="2"/>
    </row>
    <row r="40" spans="1:20">
      <c r="A40" s="2"/>
      <c r="B40" s="2"/>
      <c r="C40" s="2"/>
      <c r="D40" s="2"/>
      <c r="E40" s="2"/>
      <c r="F40" s="2"/>
      <c r="G40" s="2"/>
      <c r="H40" s="2"/>
      <c r="I40" s="2"/>
      <c r="J40" s="2"/>
      <c r="K40" s="2"/>
      <c r="L40" s="2"/>
      <c r="M40" s="2"/>
      <c r="N40" s="2"/>
      <c r="O40" s="2"/>
      <c r="P40" s="2"/>
      <c r="Q40" s="2"/>
      <c r="R40" s="2"/>
      <c r="S40" s="2"/>
      <c r="T40" s="2"/>
    </row>
    <row r="41" spans="1:20">
      <c r="A41" s="2"/>
      <c r="B41" s="2"/>
      <c r="C41" s="2"/>
      <c r="D41" s="2"/>
      <c r="E41" s="2"/>
      <c r="F41" s="2"/>
      <c r="G41" s="2"/>
      <c r="H41" s="2"/>
      <c r="I41" s="2"/>
      <c r="J41" s="2"/>
      <c r="K41" s="2"/>
      <c r="L41" s="2"/>
      <c r="M41" s="2"/>
      <c r="N41" s="2"/>
      <c r="O41" s="2"/>
      <c r="P41" s="2"/>
      <c r="Q41" s="2"/>
      <c r="R41" s="2"/>
      <c r="S41" s="2"/>
      <c r="T41" s="2"/>
    </row>
    <row r="42" spans="1:20">
      <c r="A42" s="2"/>
      <c r="B42" s="2"/>
      <c r="C42" s="2"/>
      <c r="D42" s="2"/>
      <c r="E42" s="2"/>
      <c r="F42" s="2"/>
      <c r="G42" s="2"/>
      <c r="H42" s="2"/>
      <c r="I42" s="2"/>
      <c r="J42" s="2"/>
      <c r="K42" s="2"/>
      <c r="L42" s="2"/>
      <c r="M42" s="2"/>
      <c r="N42" s="2"/>
      <c r="O42" s="2"/>
      <c r="P42" s="2"/>
      <c r="Q42" s="2"/>
      <c r="R42" s="2"/>
      <c r="S42" s="2"/>
      <c r="T42" s="2"/>
    </row>
    <row r="43" spans="1:20">
      <c r="A43" s="2"/>
      <c r="B43" s="2"/>
      <c r="C43" s="2"/>
      <c r="D43" s="2"/>
      <c r="E43" s="2"/>
      <c r="F43" s="2"/>
      <c r="G43" s="2"/>
      <c r="H43" s="2"/>
      <c r="I43" s="2"/>
      <c r="J43" s="2"/>
      <c r="K43" s="2"/>
      <c r="L43" s="2"/>
      <c r="M43" s="2"/>
      <c r="N43" s="2"/>
      <c r="O43" s="2"/>
      <c r="P43" s="2"/>
      <c r="Q43" s="2"/>
      <c r="R43" s="2"/>
      <c r="S43" s="2"/>
      <c r="T43" s="2"/>
    </row>
    <row r="44" spans="1:20">
      <c r="A44" s="2"/>
      <c r="B44" s="2"/>
      <c r="C44" s="2"/>
      <c r="D44" s="2"/>
      <c r="E44" s="2"/>
      <c r="F44" s="2"/>
      <c r="G44" s="2"/>
      <c r="H44" s="2"/>
      <c r="I44" s="2"/>
      <c r="J44" s="2"/>
      <c r="K44" s="2"/>
      <c r="L44" s="2"/>
      <c r="M44" s="2"/>
      <c r="N44" s="2"/>
      <c r="O44" s="2"/>
      <c r="P44" s="2"/>
      <c r="Q44" s="2"/>
      <c r="R44" s="2"/>
      <c r="S44" s="2"/>
      <c r="T44" s="2"/>
    </row>
    <row r="45" spans="1:20">
      <c r="A45" s="2"/>
      <c r="B45" s="2"/>
      <c r="C45" s="2"/>
      <c r="D45" s="2"/>
      <c r="E45" s="2"/>
      <c r="F45" s="2"/>
      <c r="G45" s="2"/>
      <c r="H45" s="2"/>
      <c r="I45" s="2"/>
      <c r="J45" s="2"/>
      <c r="K45" s="2"/>
      <c r="L45" s="2"/>
      <c r="M45" s="2"/>
      <c r="N45" s="2"/>
      <c r="O45" s="2"/>
      <c r="P45" s="2"/>
      <c r="Q45" s="2"/>
      <c r="R45" s="2"/>
      <c r="S45" s="2"/>
      <c r="T45" s="2"/>
    </row>
    <row r="46" spans="1:20">
      <c r="A46" s="2"/>
      <c r="B46" s="2"/>
      <c r="C46" s="2"/>
      <c r="D46" s="2"/>
      <c r="E46" s="2"/>
      <c r="F46" s="2"/>
      <c r="G46" s="2"/>
      <c r="H46" s="2"/>
      <c r="I46" s="2"/>
      <c r="J46" s="2"/>
      <c r="K46" s="2"/>
      <c r="L46" s="2"/>
      <c r="M46" s="2"/>
      <c r="N46" s="2"/>
      <c r="O46" s="2"/>
      <c r="P46" s="2"/>
      <c r="Q46" s="2"/>
      <c r="R46" s="2"/>
      <c r="S46" s="2"/>
      <c r="T46" s="2"/>
    </row>
  </sheetData>
  <mergeCells count="1">
    <mergeCell ref="B6:M1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sheetPr>
  <dimension ref="B2:S78"/>
  <sheetViews>
    <sheetView showGridLines="0" zoomScale="70" zoomScaleNormal="70" zoomScalePageLayoutView="80" workbookViewId="0"/>
  </sheetViews>
  <sheetFormatPr defaultColWidth="8.77734375" defaultRowHeight="13.8"/>
  <cols>
    <col min="1" max="1" width="4.44140625" style="8" customWidth="1"/>
    <col min="2" max="2" width="26.77734375" style="8" customWidth="1"/>
    <col min="3" max="14" width="11.21875" style="8" customWidth="1"/>
    <col min="15" max="15" width="8.44140625" style="8" customWidth="1"/>
    <col min="16" max="16" width="29.44140625" style="8" customWidth="1"/>
    <col min="17" max="17" width="12.21875" style="8" customWidth="1"/>
    <col min="18" max="21" width="8.77734375" style="8"/>
    <col min="22" max="29" width="10.44140625" style="8" customWidth="1"/>
    <col min="30" max="16384" width="8.77734375" style="8"/>
  </cols>
  <sheetData>
    <row r="2" spans="2:19" ht="23.4">
      <c r="B2" s="3" t="str">
        <f>Introduction!B2</f>
        <v>LightCounting High-Speed Cables Forecast</v>
      </c>
      <c r="M2" s="17"/>
      <c r="N2" s="17"/>
      <c r="O2" s="14" t="s">
        <v>16</v>
      </c>
      <c r="R2" s="19"/>
      <c r="S2" s="19"/>
    </row>
    <row r="3" spans="2:19" ht="15.6">
      <c r="B3" s="189" t="str">
        <f>Introduction!B3</f>
        <v>December 2022 - sample template</v>
      </c>
      <c r="L3" s="17"/>
      <c r="M3" s="18"/>
      <c r="N3" s="75"/>
    </row>
    <row r="4" spans="2:19">
      <c r="L4" s="18"/>
      <c r="M4" s="18"/>
      <c r="N4" s="75"/>
    </row>
    <row r="5" spans="2:19" ht="17.399999999999999">
      <c r="B5" s="3" t="s">
        <v>187</v>
      </c>
      <c r="L5" s="18"/>
      <c r="M5" s="18"/>
      <c r="N5" s="75"/>
    </row>
    <row r="6" spans="2:19" ht="21">
      <c r="B6" s="23" t="s">
        <v>22</v>
      </c>
      <c r="D6" s="22" t="s">
        <v>21</v>
      </c>
      <c r="L6" s="18"/>
      <c r="M6" s="133"/>
      <c r="N6" s="133"/>
    </row>
    <row r="7" spans="2:19">
      <c r="B7" s="131" t="s">
        <v>154</v>
      </c>
      <c r="C7" s="30">
        <v>2016</v>
      </c>
      <c r="D7" s="30">
        <v>2017</v>
      </c>
      <c r="E7" s="30">
        <v>2018</v>
      </c>
      <c r="F7" s="30">
        <v>2019</v>
      </c>
      <c r="G7" s="30">
        <v>2020</v>
      </c>
      <c r="H7" s="30">
        <v>2021</v>
      </c>
      <c r="I7" s="30">
        <v>2022</v>
      </c>
      <c r="J7" s="30">
        <v>2023</v>
      </c>
      <c r="K7" s="30">
        <v>2024</v>
      </c>
      <c r="L7" s="30">
        <v>2025</v>
      </c>
      <c r="M7" s="30">
        <v>2026</v>
      </c>
      <c r="N7" s="30">
        <v>2027</v>
      </c>
      <c r="P7" s="155" t="s">
        <v>228</v>
      </c>
    </row>
    <row r="8" spans="2:19">
      <c r="B8" s="284" t="s">
        <v>274</v>
      </c>
      <c r="C8" s="79">
        <v>4845145.5</v>
      </c>
      <c r="D8" s="79">
        <v>4589910</v>
      </c>
      <c r="E8" s="79"/>
      <c r="F8" s="79"/>
      <c r="G8" s="79"/>
      <c r="H8" s="79"/>
      <c r="I8" s="79"/>
      <c r="J8" s="79"/>
      <c r="K8" s="79"/>
      <c r="L8" s="79"/>
      <c r="M8" s="79"/>
      <c r="N8" s="79"/>
      <c r="P8" s="372" t="str">
        <f t="shared" ref="P8:P22" si="0">B8</f>
        <v>10G - DAC</v>
      </c>
    </row>
    <row r="9" spans="2:19">
      <c r="B9" s="285" t="s">
        <v>273</v>
      </c>
      <c r="C9" s="70">
        <v>568611.75000000012</v>
      </c>
      <c r="D9" s="70">
        <v>1246925.55</v>
      </c>
      <c r="E9" s="70"/>
      <c r="F9" s="70"/>
      <c r="G9" s="70"/>
      <c r="H9" s="70"/>
      <c r="I9" s="70"/>
      <c r="J9" s="70"/>
      <c r="K9" s="70"/>
      <c r="L9" s="70"/>
      <c r="M9" s="70"/>
      <c r="N9" s="70"/>
      <c r="P9" s="388" t="str">
        <f t="shared" si="0"/>
        <v>25G - DAC</v>
      </c>
    </row>
    <row r="10" spans="2:19">
      <c r="B10" s="285" t="s">
        <v>272</v>
      </c>
      <c r="C10" s="70">
        <v>1672205.7074885746</v>
      </c>
      <c r="D10" s="70">
        <v>1222748.8825000001</v>
      </c>
      <c r="E10" s="70"/>
      <c r="F10" s="70"/>
      <c r="G10" s="70"/>
      <c r="H10" s="70"/>
      <c r="I10" s="70"/>
      <c r="J10" s="70"/>
      <c r="K10" s="70"/>
      <c r="L10" s="70"/>
      <c r="M10" s="70"/>
      <c r="N10" s="70"/>
      <c r="P10" s="388" t="str">
        <f t="shared" si="0"/>
        <v>4x10G - DAC</v>
      </c>
    </row>
    <row r="11" spans="2:19">
      <c r="B11" s="285" t="s">
        <v>268</v>
      </c>
      <c r="C11" s="70">
        <v>402361.84385246772</v>
      </c>
      <c r="D11" s="70">
        <v>364851.71764485457</v>
      </c>
      <c r="E11" s="70"/>
      <c r="F11" s="70"/>
      <c r="G11" s="70"/>
      <c r="H11" s="70"/>
      <c r="I11" s="70"/>
      <c r="J11" s="70"/>
      <c r="K11" s="70"/>
      <c r="L11" s="70"/>
      <c r="M11" s="70"/>
      <c r="N11" s="70"/>
      <c r="P11" s="388" t="str">
        <f t="shared" si="0"/>
        <v>4x14G - DAC</v>
      </c>
    </row>
    <row r="12" spans="2:19">
      <c r="B12" s="285" t="s">
        <v>267</v>
      </c>
      <c r="C12" s="70">
        <v>16281.133999999998</v>
      </c>
      <c r="D12" s="70">
        <v>46432.393999999993</v>
      </c>
      <c r="E12" s="70"/>
      <c r="F12" s="70"/>
      <c r="G12" s="70"/>
      <c r="H12" s="70"/>
      <c r="I12" s="70"/>
      <c r="J12" s="70"/>
      <c r="K12" s="70"/>
      <c r="L12" s="70"/>
      <c r="M12" s="70"/>
      <c r="N12" s="70"/>
      <c r="P12" s="388" t="str">
        <f t="shared" si="0"/>
        <v>100G  - AEC</v>
      </c>
      <c r="Q12" s="18"/>
      <c r="R12" s="133"/>
    </row>
    <row r="13" spans="2:19">
      <c r="B13" s="285" t="s">
        <v>269</v>
      </c>
      <c r="C13" s="70">
        <v>146530.20600000003</v>
      </c>
      <c r="D13" s="70">
        <v>417891.54600000003</v>
      </c>
      <c r="E13" s="70"/>
      <c r="F13" s="70"/>
      <c r="G13" s="70"/>
      <c r="H13" s="70"/>
      <c r="I13" s="70"/>
      <c r="J13" s="70"/>
      <c r="K13" s="70"/>
      <c r="L13" s="70"/>
      <c r="M13" s="70"/>
      <c r="N13" s="70"/>
      <c r="P13" s="388" t="str">
        <f t="shared" si="0"/>
        <v>100G - DAC/ACC</v>
      </c>
      <c r="Q13" s="18"/>
      <c r="R13" s="133"/>
    </row>
    <row r="14" spans="2:19">
      <c r="B14" s="285" t="s">
        <v>270</v>
      </c>
      <c r="C14" s="45">
        <v>0</v>
      </c>
      <c r="D14" s="45">
        <v>0</v>
      </c>
      <c r="E14" s="45"/>
      <c r="F14" s="45"/>
      <c r="G14" s="45"/>
      <c r="H14" s="45"/>
      <c r="I14" s="45"/>
      <c r="J14" s="45"/>
      <c r="K14" s="45"/>
      <c r="L14" s="45"/>
      <c r="M14" s="45"/>
      <c r="N14" s="45"/>
      <c r="P14" s="388" t="str">
        <f t="shared" si="0"/>
        <v>200G - AEC</v>
      </c>
      <c r="Q14" s="18"/>
    </row>
    <row r="15" spans="2:19">
      <c r="B15" s="285" t="s">
        <v>271</v>
      </c>
      <c r="C15" s="45">
        <v>0</v>
      </c>
      <c r="D15" s="45">
        <v>0</v>
      </c>
      <c r="E15" s="45"/>
      <c r="F15" s="45"/>
      <c r="G15" s="45"/>
      <c r="H15" s="45"/>
      <c r="I15" s="45"/>
      <c r="J15" s="45"/>
      <c r="K15" s="45"/>
      <c r="L15" s="45"/>
      <c r="M15" s="45"/>
      <c r="N15" s="45"/>
      <c r="P15" s="388" t="str">
        <f t="shared" si="0"/>
        <v>200G - DAC/ACC</v>
      </c>
    </row>
    <row r="16" spans="2:19">
      <c r="B16" s="285" t="s">
        <v>262</v>
      </c>
      <c r="C16" s="45">
        <v>0</v>
      </c>
      <c r="D16" s="45">
        <v>0</v>
      </c>
      <c r="E16" s="45"/>
      <c r="F16" s="45"/>
      <c r="G16" s="45"/>
      <c r="H16" s="45"/>
      <c r="I16" s="45"/>
      <c r="J16" s="45"/>
      <c r="K16" s="45"/>
      <c r="L16" s="45"/>
      <c r="M16" s="45"/>
      <c r="N16" s="45"/>
      <c r="P16" s="388" t="str">
        <f t="shared" si="0"/>
        <v>400G - AEC</v>
      </c>
    </row>
    <row r="17" spans="2:16">
      <c r="B17" s="285" t="s">
        <v>266</v>
      </c>
      <c r="C17" s="45">
        <v>0</v>
      </c>
      <c r="D17" s="45">
        <v>0</v>
      </c>
      <c r="E17" s="45"/>
      <c r="F17" s="45"/>
      <c r="G17" s="45"/>
      <c r="H17" s="45"/>
      <c r="I17" s="45"/>
      <c r="J17" s="45"/>
      <c r="K17" s="45"/>
      <c r="L17" s="45"/>
      <c r="M17" s="45"/>
      <c r="N17" s="45"/>
      <c r="P17" s="388" t="str">
        <f t="shared" si="0"/>
        <v>400G - DAC/ACC</v>
      </c>
    </row>
    <row r="18" spans="2:16">
      <c r="B18" s="285" t="s">
        <v>263</v>
      </c>
      <c r="C18" s="45">
        <v>0</v>
      </c>
      <c r="D18" s="45">
        <v>0</v>
      </c>
      <c r="E18" s="45"/>
      <c r="F18" s="45"/>
      <c r="G18" s="45"/>
      <c r="H18" s="45"/>
      <c r="I18" s="45"/>
      <c r="J18" s="45"/>
      <c r="K18" s="45"/>
      <c r="L18" s="45"/>
      <c r="M18" s="45"/>
      <c r="N18" s="45"/>
      <c r="P18" s="388" t="str">
        <f t="shared" si="0"/>
        <v>800G - AEC</v>
      </c>
    </row>
    <row r="19" spans="2:16">
      <c r="B19" s="285" t="s">
        <v>265</v>
      </c>
      <c r="C19" s="45">
        <v>0</v>
      </c>
      <c r="D19" s="45">
        <v>0</v>
      </c>
      <c r="E19" s="45"/>
      <c r="F19" s="45"/>
      <c r="G19" s="45"/>
      <c r="H19" s="45"/>
      <c r="I19" s="45"/>
      <c r="J19" s="45"/>
      <c r="K19" s="45"/>
      <c r="L19" s="45"/>
      <c r="M19" s="45"/>
      <c r="N19" s="45"/>
      <c r="P19" s="388" t="str">
        <f t="shared" si="0"/>
        <v>800G - DAC/ACC</v>
      </c>
    </row>
    <row r="20" spans="2:16">
      <c r="B20" s="285" t="s">
        <v>264</v>
      </c>
      <c r="C20" s="45"/>
      <c r="D20" s="45"/>
      <c r="E20" s="45"/>
      <c r="F20" s="45"/>
      <c r="G20" s="45"/>
      <c r="H20" s="45"/>
      <c r="I20" s="45"/>
      <c r="J20" s="45"/>
      <c r="K20" s="45"/>
      <c r="L20" s="45"/>
      <c r="M20" s="45"/>
      <c r="N20" s="45"/>
      <c r="P20" s="388" t="str">
        <f t="shared" si="0"/>
        <v>1.6T - AEC</v>
      </c>
    </row>
    <row r="21" spans="2:16">
      <c r="B21" s="285" t="s">
        <v>275</v>
      </c>
      <c r="C21" s="70"/>
      <c r="D21" s="70"/>
      <c r="E21" s="40"/>
      <c r="F21" s="40"/>
      <c r="G21" s="40"/>
      <c r="H21" s="45"/>
      <c r="I21" s="45"/>
      <c r="J21" s="45"/>
      <c r="K21" s="45"/>
      <c r="L21" s="45"/>
      <c r="M21" s="45"/>
      <c r="N21" s="45"/>
      <c r="P21" s="388" t="str">
        <f t="shared" si="0"/>
        <v>1.6T - DAC/ACC</v>
      </c>
    </row>
    <row r="22" spans="2:16">
      <c r="B22" s="287" t="s">
        <v>85</v>
      </c>
      <c r="C22" s="136">
        <f>SUM(C8:C21)</f>
        <v>7651136.1413410418</v>
      </c>
      <c r="D22" s="136">
        <f t="shared" ref="D22:N22" si="1">SUM(D8:D21)</f>
        <v>7888760.090144855</v>
      </c>
      <c r="E22" s="136">
        <f t="shared" si="1"/>
        <v>0</v>
      </c>
      <c r="F22" s="136">
        <f t="shared" si="1"/>
        <v>0</v>
      </c>
      <c r="G22" s="136">
        <f t="shared" si="1"/>
        <v>0</v>
      </c>
      <c r="H22" s="136">
        <f t="shared" si="1"/>
        <v>0</v>
      </c>
      <c r="I22" s="136">
        <f t="shared" si="1"/>
        <v>0</v>
      </c>
      <c r="J22" s="136">
        <f t="shared" si="1"/>
        <v>0</v>
      </c>
      <c r="K22" s="136">
        <f>SUM(K8:K21)</f>
        <v>0</v>
      </c>
      <c r="L22" s="136">
        <f t="shared" si="1"/>
        <v>0</v>
      </c>
      <c r="M22" s="136">
        <f>SUM(M8:M21)</f>
        <v>0</v>
      </c>
      <c r="N22" s="136">
        <f t="shared" si="1"/>
        <v>0</v>
      </c>
      <c r="P22" s="388" t="str">
        <f t="shared" si="0"/>
        <v>Total devices</v>
      </c>
    </row>
    <row r="23" spans="2:16">
      <c r="B23" s="77"/>
      <c r="C23" s="77"/>
      <c r="D23" s="77"/>
      <c r="E23" s="77"/>
      <c r="F23" s="77"/>
      <c r="G23" s="77"/>
      <c r="H23" s="77"/>
      <c r="I23" s="77"/>
      <c r="J23" s="77"/>
      <c r="K23" s="77"/>
      <c r="L23" s="77"/>
      <c r="M23" s="77"/>
      <c r="N23" s="77"/>
      <c r="P23" s="388"/>
    </row>
    <row r="24" spans="2:16">
      <c r="B24" s="131" t="str">
        <f>B7</f>
        <v>Product type</v>
      </c>
      <c r="C24" s="35">
        <v>2016</v>
      </c>
      <c r="D24" s="35">
        <v>2017</v>
      </c>
      <c r="E24" s="35">
        <v>2018</v>
      </c>
      <c r="F24" s="35">
        <v>2019</v>
      </c>
      <c r="G24" s="35">
        <v>2020</v>
      </c>
      <c r="H24" s="35">
        <v>2021</v>
      </c>
      <c r="I24" s="35">
        <v>2022</v>
      </c>
      <c r="J24" s="35">
        <v>2023</v>
      </c>
      <c r="K24" s="35">
        <v>2024</v>
      </c>
      <c r="L24" s="35">
        <v>2025</v>
      </c>
      <c r="M24" s="35">
        <v>2026</v>
      </c>
      <c r="N24" s="35">
        <v>2027</v>
      </c>
      <c r="P24" s="388"/>
    </row>
    <row r="25" spans="2:16">
      <c r="B25" s="284" t="s">
        <v>294</v>
      </c>
      <c r="C25" s="25">
        <f>C12+C14+C16+C18+C20</f>
        <v>16281.133999999998</v>
      </c>
      <c r="D25" s="25">
        <f t="shared" ref="D25:N25" si="2">D12+D14+D16+D18+D20</f>
        <v>46432.393999999993</v>
      </c>
      <c r="E25" s="25">
        <f t="shared" si="2"/>
        <v>0</v>
      </c>
      <c r="F25" s="25">
        <f t="shared" si="2"/>
        <v>0</v>
      </c>
      <c r="G25" s="25">
        <f t="shared" si="2"/>
        <v>0</v>
      </c>
      <c r="H25" s="25">
        <f t="shared" si="2"/>
        <v>0</v>
      </c>
      <c r="I25" s="25">
        <f t="shared" si="2"/>
        <v>0</v>
      </c>
      <c r="J25" s="25">
        <f t="shared" si="2"/>
        <v>0</v>
      </c>
      <c r="K25" s="25">
        <f t="shared" si="2"/>
        <v>0</v>
      </c>
      <c r="L25" s="25">
        <f t="shared" si="2"/>
        <v>0</v>
      </c>
      <c r="M25" s="25">
        <f t="shared" si="2"/>
        <v>0</v>
      </c>
      <c r="N25" s="25">
        <f t="shared" si="2"/>
        <v>0</v>
      </c>
      <c r="P25" s="388" t="str">
        <f>B25</f>
        <v>AECs ≥100G</v>
      </c>
    </row>
    <row r="26" spans="2:16">
      <c r="B26" s="285" t="s">
        <v>295</v>
      </c>
      <c r="C26" s="50">
        <f>C13+C15+C17+C19+C21</f>
        <v>146530.20600000003</v>
      </c>
      <c r="D26" s="50">
        <f t="shared" ref="D26:N26" si="3">D13+D15+D17+D19+D21</f>
        <v>417891.54600000003</v>
      </c>
      <c r="E26" s="50">
        <f t="shared" si="3"/>
        <v>0</v>
      </c>
      <c r="F26" s="50">
        <f t="shared" si="3"/>
        <v>0</v>
      </c>
      <c r="G26" s="50">
        <f t="shared" si="3"/>
        <v>0</v>
      </c>
      <c r="H26" s="50">
        <f t="shared" si="3"/>
        <v>0</v>
      </c>
      <c r="I26" s="50">
        <f t="shared" si="3"/>
        <v>0</v>
      </c>
      <c r="J26" s="50">
        <f t="shared" si="3"/>
        <v>0</v>
      </c>
      <c r="K26" s="50">
        <f t="shared" si="3"/>
        <v>0</v>
      </c>
      <c r="L26" s="50">
        <f t="shared" si="3"/>
        <v>0</v>
      </c>
      <c r="M26" s="50">
        <f t="shared" si="3"/>
        <v>0</v>
      </c>
      <c r="N26" s="50">
        <f t="shared" si="3"/>
        <v>0</v>
      </c>
      <c r="P26" s="388" t="str">
        <f>B26</f>
        <v>DAC/ACCs  ≥100G</v>
      </c>
    </row>
    <row r="27" spans="2:16">
      <c r="B27" s="285" t="s">
        <v>155</v>
      </c>
      <c r="C27" s="50">
        <f>C28-C26-C25</f>
        <v>7488324.8013410419</v>
      </c>
      <c r="D27" s="50">
        <f t="shared" ref="D27:L27" si="4">D28-D26-D25</f>
        <v>7424436.1501448546</v>
      </c>
      <c r="E27" s="50">
        <f t="shared" si="4"/>
        <v>0</v>
      </c>
      <c r="F27" s="50">
        <f t="shared" si="4"/>
        <v>0</v>
      </c>
      <c r="G27" s="50">
        <f t="shared" si="4"/>
        <v>0</v>
      </c>
      <c r="H27" s="50">
        <f t="shared" si="4"/>
        <v>0</v>
      </c>
      <c r="I27" s="50">
        <f t="shared" si="4"/>
        <v>0</v>
      </c>
      <c r="J27" s="50">
        <f>J28-J26-J25</f>
        <v>0</v>
      </c>
      <c r="K27" s="50">
        <f t="shared" si="4"/>
        <v>0</v>
      </c>
      <c r="L27" s="50">
        <f t="shared" si="4"/>
        <v>0</v>
      </c>
      <c r="M27" s="50">
        <f>M28-M26-M25</f>
        <v>0</v>
      </c>
      <c r="N27" s="50">
        <f>N28-N26-N25</f>
        <v>0</v>
      </c>
      <c r="P27" s="388" t="str">
        <f>B27</f>
        <v>All other DACs (≤40G)</v>
      </c>
    </row>
    <row r="28" spans="2:16">
      <c r="B28" s="282" t="s">
        <v>13</v>
      </c>
      <c r="C28" s="84">
        <f>C22</f>
        <v>7651136.1413410418</v>
      </c>
      <c r="D28" s="36">
        <f t="shared" ref="D28:N28" si="5">D22</f>
        <v>7888760.090144855</v>
      </c>
      <c r="E28" s="36">
        <f t="shared" si="5"/>
        <v>0</v>
      </c>
      <c r="F28" s="36">
        <f t="shared" si="5"/>
        <v>0</v>
      </c>
      <c r="G28" s="36">
        <f t="shared" si="5"/>
        <v>0</v>
      </c>
      <c r="H28" s="36">
        <f t="shared" si="5"/>
        <v>0</v>
      </c>
      <c r="I28" s="36">
        <f t="shared" si="5"/>
        <v>0</v>
      </c>
      <c r="J28" s="36">
        <f t="shared" si="5"/>
        <v>0</v>
      </c>
      <c r="K28" s="36">
        <f t="shared" si="5"/>
        <v>0</v>
      </c>
      <c r="L28" s="36">
        <f t="shared" si="5"/>
        <v>0</v>
      </c>
      <c r="M28" s="36">
        <f t="shared" si="5"/>
        <v>0</v>
      </c>
      <c r="N28" s="36">
        <f t="shared" si="5"/>
        <v>0</v>
      </c>
      <c r="P28" s="389" t="s">
        <v>227</v>
      </c>
    </row>
    <row r="29" spans="2:16">
      <c r="C29" s="18">
        <f>C28-C22</f>
        <v>0</v>
      </c>
      <c r="D29" s="18">
        <f t="shared" ref="D29:N29" si="6">D28-D22</f>
        <v>0</v>
      </c>
      <c r="E29" s="18">
        <f t="shared" si="6"/>
        <v>0</v>
      </c>
      <c r="F29" s="18">
        <f t="shared" si="6"/>
        <v>0</v>
      </c>
      <c r="G29" s="18">
        <f t="shared" si="6"/>
        <v>0</v>
      </c>
      <c r="H29" s="18">
        <f t="shared" si="6"/>
        <v>0</v>
      </c>
      <c r="I29" s="18">
        <f t="shared" si="6"/>
        <v>0</v>
      </c>
      <c r="J29" s="18">
        <f t="shared" si="6"/>
        <v>0</v>
      </c>
      <c r="K29" s="18">
        <f t="shared" si="6"/>
        <v>0</v>
      </c>
      <c r="L29" s="18">
        <f t="shared" si="6"/>
        <v>0</v>
      </c>
      <c r="M29" s="18">
        <f t="shared" si="6"/>
        <v>0</v>
      </c>
      <c r="N29" s="18">
        <f t="shared" si="6"/>
        <v>0</v>
      </c>
    </row>
    <row r="31" spans="2:16" ht="21">
      <c r="B31" s="23" t="s">
        <v>23</v>
      </c>
    </row>
    <row r="32" spans="2:16">
      <c r="B32" s="131" t="str">
        <f t="shared" ref="B32:B46" si="7">B7</f>
        <v>Product type</v>
      </c>
      <c r="C32" s="30">
        <v>2016</v>
      </c>
      <c r="D32" s="30">
        <v>2017</v>
      </c>
      <c r="E32" s="30">
        <v>2018</v>
      </c>
      <c r="F32" s="30">
        <v>2019</v>
      </c>
      <c r="G32" s="30">
        <v>2020</v>
      </c>
      <c r="H32" s="30">
        <v>2021</v>
      </c>
      <c r="I32" s="30">
        <v>2022</v>
      </c>
      <c r="J32" s="30">
        <v>2023</v>
      </c>
      <c r="K32" s="30">
        <v>2024</v>
      </c>
      <c r="L32" s="30">
        <v>2025</v>
      </c>
      <c r="M32" s="30">
        <v>2026</v>
      </c>
      <c r="N32" s="30">
        <v>2027</v>
      </c>
    </row>
    <row r="33" spans="2:14">
      <c r="B33" s="284" t="str">
        <f t="shared" si="7"/>
        <v>10G - DAC</v>
      </c>
      <c r="C33" s="120">
        <v>14.586544854111729</v>
      </c>
      <c r="D33" s="120">
        <v>11.2376122201748</v>
      </c>
      <c r="E33" s="120"/>
      <c r="F33" s="120"/>
      <c r="G33" s="120"/>
      <c r="H33" s="120"/>
      <c r="I33" s="120"/>
      <c r="J33" s="120"/>
      <c r="K33" s="120"/>
      <c r="L33" s="120"/>
      <c r="M33" s="120"/>
      <c r="N33" s="120"/>
    </row>
    <row r="34" spans="2:14">
      <c r="B34" s="285" t="str">
        <f t="shared" si="7"/>
        <v>25G - DAC</v>
      </c>
      <c r="C34" s="67">
        <v>66</v>
      </c>
      <c r="D34" s="67">
        <v>46.214816117010038</v>
      </c>
      <c r="E34" s="67"/>
      <c r="F34" s="67"/>
      <c r="G34" s="67"/>
      <c r="H34" s="67"/>
      <c r="I34" s="67"/>
      <c r="J34" s="67"/>
      <c r="K34" s="67"/>
      <c r="L34" s="67"/>
      <c r="M34" s="67"/>
      <c r="N34" s="67"/>
    </row>
    <row r="35" spans="2:14">
      <c r="B35" s="285" t="str">
        <f t="shared" si="7"/>
        <v>4x10G - DAC</v>
      </c>
      <c r="C35" s="67">
        <v>61.104645568624569</v>
      </c>
      <c r="D35" s="67">
        <v>59.306005982673526</v>
      </c>
      <c r="E35" s="67"/>
      <c r="F35" s="67"/>
      <c r="G35" s="67"/>
      <c r="H35" s="67"/>
      <c r="I35" s="67"/>
      <c r="J35" s="67"/>
      <c r="K35" s="67"/>
      <c r="L35" s="67"/>
      <c r="M35" s="67"/>
      <c r="N35" s="67"/>
    </row>
    <row r="36" spans="2:14">
      <c r="B36" s="285" t="str">
        <f t="shared" si="7"/>
        <v>4x14G - DAC</v>
      </c>
      <c r="C36" s="67">
        <v>67.596061404384955</v>
      </c>
      <c r="D36" s="67">
        <v>67.905857195197569</v>
      </c>
      <c r="E36" s="67"/>
      <c r="F36" s="67"/>
      <c r="G36" s="67"/>
      <c r="H36" s="67"/>
      <c r="I36" s="67"/>
      <c r="J36" s="67"/>
      <c r="K36" s="67"/>
      <c r="L36" s="67"/>
      <c r="M36" s="67"/>
      <c r="N36" s="67"/>
    </row>
    <row r="37" spans="2:14">
      <c r="B37" s="285" t="str">
        <f t="shared" si="7"/>
        <v>100G  - AEC</v>
      </c>
      <c r="C37" s="67">
        <v>288</v>
      </c>
      <c r="D37" s="67">
        <v>163.19999999999999</v>
      </c>
      <c r="E37" s="67"/>
      <c r="F37" s="67"/>
      <c r="G37" s="67"/>
      <c r="H37" s="67"/>
      <c r="I37" s="67"/>
      <c r="J37" s="67"/>
      <c r="K37" s="67"/>
      <c r="L37" s="67"/>
      <c r="M37" s="67"/>
      <c r="N37" s="67"/>
    </row>
    <row r="38" spans="2:14">
      <c r="B38" s="285" t="str">
        <f t="shared" si="7"/>
        <v>100G - DAC/ACC</v>
      </c>
      <c r="C38" s="67">
        <v>192</v>
      </c>
      <c r="D38" s="67">
        <v>108.80000000000001</v>
      </c>
      <c r="E38" s="67"/>
      <c r="F38" s="67"/>
      <c r="G38" s="67"/>
      <c r="H38" s="67"/>
      <c r="I38" s="67"/>
      <c r="J38" s="67"/>
      <c r="K38" s="67"/>
      <c r="L38" s="67"/>
      <c r="M38" s="67"/>
      <c r="N38" s="67"/>
    </row>
    <row r="39" spans="2:14">
      <c r="B39" s="285" t="str">
        <f t="shared" si="7"/>
        <v>200G - AEC</v>
      </c>
      <c r="C39" s="67">
        <v>0</v>
      </c>
      <c r="D39" s="67">
        <v>0</v>
      </c>
      <c r="E39" s="67"/>
      <c r="F39" s="67"/>
      <c r="G39" s="67"/>
      <c r="H39" s="67"/>
      <c r="I39" s="67"/>
      <c r="J39" s="67"/>
      <c r="K39" s="67"/>
      <c r="L39" s="67"/>
      <c r="M39" s="67"/>
      <c r="N39" s="67"/>
    </row>
    <row r="40" spans="2:14">
      <c r="B40" s="285" t="str">
        <f t="shared" si="7"/>
        <v>200G - DAC/ACC</v>
      </c>
      <c r="C40" s="67">
        <v>0</v>
      </c>
      <c r="D40" s="67">
        <v>0</v>
      </c>
      <c r="E40" s="67"/>
      <c r="F40" s="67"/>
      <c r="G40" s="67"/>
      <c r="H40" s="67"/>
      <c r="I40" s="67"/>
      <c r="J40" s="67"/>
      <c r="K40" s="67"/>
      <c r="L40" s="67"/>
      <c r="M40" s="67"/>
      <c r="N40" s="67"/>
    </row>
    <row r="41" spans="2:14">
      <c r="B41" s="285" t="str">
        <f t="shared" si="7"/>
        <v>400G - AEC</v>
      </c>
      <c r="C41" s="67">
        <v>0</v>
      </c>
      <c r="D41" s="67">
        <v>0</v>
      </c>
      <c r="E41" s="67"/>
      <c r="F41" s="67"/>
      <c r="G41" s="67"/>
      <c r="H41" s="67"/>
      <c r="I41" s="67"/>
      <c r="J41" s="67"/>
      <c r="K41" s="67"/>
      <c r="L41" s="67"/>
      <c r="M41" s="67"/>
      <c r="N41" s="67"/>
    </row>
    <row r="42" spans="2:14">
      <c r="B42" s="285" t="str">
        <f t="shared" si="7"/>
        <v>400G - DAC/ACC</v>
      </c>
      <c r="C42" s="67">
        <v>0</v>
      </c>
      <c r="D42" s="67">
        <v>0</v>
      </c>
      <c r="E42" s="67"/>
      <c r="F42" s="67"/>
      <c r="G42" s="67"/>
      <c r="H42" s="67"/>
      <c r="I42" s="67"/>
      <c r="J42" s="67"/>
      <c r="K42" s="67"/>
      <c r="L42" s="67"/>
      <c r="M42" s="67"/>
      <c r="N42" s="67"/>
    </row>
    <row r="43" spans="2:14">
      <c r="B43" s="285" t="str">
        <f t="shared" si="7"/>
        <v>800G - AEC</v>
      </c>
      <c r="C43" s="67">
        <v>0</v>
      </c>
      <c r="D43" s="67">
        <v>0</v>
      </c>
      <c r="E43" s="67"/>
      <c r="F43" s="67"/>
      <c r="G43" s="67"/>
      <c r="H43" s="67"/>
      <c r="I43" s="67"/>
      <c r="J43" s="67"/>
      <c r="K43" s="67"/>
      <c r="L43" s="67"/>
      <c r="M43" s="67"/>
      <c r="N43" s="67"/>
    </row>
    <row r="44" spans="2:14" ht="15" customHeight="1">
      <c r="B44" s="285" t="str">
        <f t="shared" si="7"/>
        <v>800G - DAC/ACC</v>
      </c>
      <c r="C44" s="67">
        <v>0</v>
      </c>
      <c r="D44" s="67">
        <v>0</v>
      </c>
      <c r="E44" s="67"/>
      <c r="F44" s="67"/>
      <c r="G44" s="67"/>
      <c r="H44" s="67"/>
      <c r="I44" s="67"/>
      <c r="J44" s="67"/>
      <c r="K44" s="67"/>
      <c r="L44" s="67"/>
      <c r="M44" s="67"/>
      <c r="N44" s="67"/>
    </row>
    <row r="45" spans="2:14" ht="15" customHeight="1">
      <c r="B45" s="285" t="str">
        <f t="shared" si="7"/>
        <v>1.6T - AEC</v>
      </c>
      <c r="C45" s="67">
        <v>0</v>
      </c>
      <c r="D45" s="67">
        <v>0</v>
      </c>
      <c r="E45" s="67"/>
      <c r="F45" s="67"/>
      <c r="G45" s="67"/>
      <c r="H45" s="67"/>
      <c r="I45" s="67"/>
      <c r="J45" s="67"/>
      <c r="K45" s="67"/>
      <c r="L45" s="67"/>
      <c r="M45" s="67"/>
      <c r="N45" s="67"/>
    </row>
    <row r="46" spans="2:14">
      <c r="B46" s="285" t="str">
        <f t="shared" si="7"/>
        <v>1.6T - DAC/ACC</v>
      </c>
      <c r="C46" s="67">
        <v>0</v>
      </c>
      <c r="D46" s="67">
        <v>0</v>
      </c>
      <c r="E46" s="67"/>
      <c r="F46" s="67"/>
      <c r="G46" s="67"/>
      <c r="H46" s="67"/>
      <c r="I46" s="67"/>
      <c r="J46" s="67"/>
      <c r="K46" s="67"/>
      <c r="L46" s="67"/>
      <c r="M46" s="67"/>
      <c r="N46" s="67"/>
    </row>
    <row r="47" spans="2:14">
      <c r="B47" s="282" t="s">
        <v>13</v>
      </c>
      <c r="C47" s="111">
        <f>C72*10^6/C22</f>
        <v>35.341507690752785</v>
      </c>
      <c r="D47" s="111">
        <f t="shared" ref="D47:N47" si="8">D72*10^6/D22</f>
        <v>32.900271883899407</v>
      </c>
      <c r="E47" s="111" t="e">
        <f t="shared" si="8"/>
        <v>#DIV/0!</v>
      </c>
      <c r="F47" s="111" t="e">
        <f t="shared" si="8"/>
        <v>#DIV/0!</v>
      </c>
      <c r="G47" s="111" t="e">
        <f t="shared" si="8"/>
        <v>#DIV/0!</v>
      </c>
      <c r="H47" s="111" t="e">
        <f t="shared" si="8"/>
        <v>#DIV/0!</v>
      </c>
      <c r="I47" s="111" t="e">
        <f t="shared" si="8"/>
        <v>#DIV/0!</v>
      </c>
      <c r="J47" s="111" t="e">
        <f t="shared" si="8"/>
        <v>#DIV/0!</v>
      </c>
      <c r="K47" s="111" t="e">
        <f t="shared" si="8"/>
        <v>#DIV/0!</v>
      </c>
      <c r="L47" s="111" t="e">
        <f t="shared" si="8"/>
        <v>#DIV/0!</v>
      </c>
      <c r="M47" s="111" t="e">
        <f t="shared" si="8"/>
        <v>#DIV/0!</v>
      </c>
      <c r="N47" s="111" t="e">
        <f t="shared" si="8"/>
        <v>#DIV/0!</v>
      </c>
    </row>
    <row r="49" spans="2:14">
      <c r="B49" s="282" t="str">
        <f>B7</f>
        <v>Product type</v>
      </c>
      <c r="C49" s="35">
        <v>2016</v>
      </c>
      <c r="D49" s="35">
        <v>2017</v>
      </c>
      <c r="E49" s="35">
        <v>2018</v>
      </c>
      <c r="F49" s="35">
        <v>2019</v>
      </c>
      <c r="G49" s="35">
        <v>2020</v>
      </c>
      <c r="H49" s="35">
        <v>2021</v>
      </c>
      <c r="I49" s="35">
        <v>2022</v>
      </c>
      <c r="J49" s="35">
        <v>2023</v>
      </c>
      <c r="K49" s="35">
        <v>2024</v>
      </c>
      <c r="L49" s="35">
        <v>2025</v>
      </c>
      <c r="M49" s="35">
        <v>2026</v>
      </c>
      <c r="N49" s="35">
        <v>2027</v>
      </c>
    </row>
    <row r="50" spans="2:14">
      <c r="B50" s="284" t="str">
        <f>B25</f>
        <v>AECs ≥100G</v>
      </c>
      <c r="C50" s="162">
        <f t="shared" ref="C50:L50" si="9">C75*10^6/C25</f>
        <v>288</v>
      </c>
      <c r="D50" s="162">
        <f t="shared" si="9"/>
        <v>163.19999999999999</v>
      </c>
      <c r="E50" s="162" t="e">
        <f t="shared" si="9"/>
        <v>#DIV/0!</v>
      </c>
      <c r="F50" s="162" t="e">
        <f t="shared" si="9"/>
        <v>#DIV/0!</v>
      </c>
      <c r="G50" s="162" t="e">
        <f t="shared" si="9"/>
        <v>#DIV/0!</v>
      </c>
      <c r="H50" s="162" t="e">
        <f t="shared" si="9"/>
        <v>#DIV/0!</v>
      </c>
      <c r="I50" s="162" t="e">
        <f t="shared" si="9"/>
        <v>#DIV/0!</v>
      </c>
      <c r="J50" s="162" t="e">
        <f t="shared" si="9"/>
        <v>#DIV/0!</v>
      </c>
      <c r="K50" s="162" t="e">
        <f t="shared" si="9"/>
        <v>#DIV/0!</v>
      </c>
      <c r="L50" s="162" t="e">
        <f t="shared" si="9"/>
        <v>#DIV/0!</v>
      </c>
      <c r="M50" s="162">
        <f t="shared" ref="M50:N53" si="10">IF(M25=0,0,M75*10^6/M25)</f>
        <v>0</v>
      </c>
      <c r="N50" s="162">
        <f t="shared" si="10"/>
        <v>0</v>
      </c>
    </row>
    <row r="51" spans="2:14">
      <c r="B51" s="285" t="str">
        <f>B26</f>
        <v>DAC/ACCs  ≥100G</v>
      </c>
      <c r="C51" s="137">
        <f t="shared" ref="C51:L51" si="11">C76*10^6/C26</f>
        <v>192</v>
      </c>
      <c r="D51" s="137">
        <f t="shared" si="11"/>
        <v>108.80000000000001</v>
      </c>
      <c r="E51" s="137" t="e">
        <f t="shared" si="11"/>
        <v>#DIV/0!</v>
      </c>
      <c r="F51" s="137" t="e">
        <f t="shared" si="11"/>
        <v>#DIV/0!</v>
      </c>
      <c r="G51" s="137" t="e">
        <f t="shared" si="11"/>
        <v>#DIV/0!</v>
      </c>
      <c r="H51" s="137" t="e">
        <f t="shared" si="11"/>
        <v>#DIV/0!</v>
      </c>
      <c r="I51" s="137" t="e">
        <f t="shared" si="11"/>
        <v>#DIV/0!</v>
      </c>
      <c r="J51" s="137" t="e">
        <f t="shared" si="11"/>
        <v>#DIV/0!</v>
      </c>
      <c r="K51" s="137" t="e">
        <f t="shared" si="11"/>
        <v>#DIV/0!</v>
      </c>
      <c r="L51" s="137" t="e">
        <f t="shared" si="11"/>
        <v>#DIV/0!</v>
      </c>
      <c r="M51" s="137">
        <f t="shared" si="10"/>
        <v>0</v>
      </c>
      <c r="N51" s="137">
        <f t="shared" si="10"/>
        <v>0</v>
      </c>
    </row>
    <row r="52" spans="2:14">
      <c r="B52" s="286" t="str">
        <f>B27</f>
        <v>All other DACs (≤40G)</v>
      </c>
      <c r="C52" s="161">
        <f t="shared" ref="C52:L52" si="12">C77*10^6/C27</f>
        <v>31.726711506377789</v>
      </c>
      <c r="D52" s="161">
        <f t="shared" si="12"/>
        <v>27.813288539492881</v>
      </c>
      <c r="E52" s="161" t="e">
        <f t="shared" si="12"/>
        <v>#DIV/0!</v>
      </c>
      <c r="F52" s="161" t="e">
        <f t="shared" si="12"/>
        <v>#DIV/0!</v>
      </c>
      <c r="G52" s="161" t="e">
        <f t="shared" si="12"/>
        <v>#DIV/0!</v>
      </c>
      <c r="H52" s="161" t="e">
        <f t="shared" si="12"/>
        <v>#DIV/0!</v>
      </c>
      <c r="I52" s="161" t="e">
        <f t="shared" si="12"/>
        <v>#DIV/0!</v>
      </c>
      <c r="J52" s="161" t="e">
        <f t="shared" si="12"/>
        <v>#DIV/0!</v>
      </c>
      <c r="K52" s="161" t="e">
        <f t="shared" si="12"/>
        <v>#DIV/0!</v>
      </c>
      <c r="L52" s="161" t="e">
        <f t="shared" si="12"/>
        <v>#DIV/0!</v>
      </c>
      <c r="M52" s="161">
        <f t="shared" si="10"/>
        <v>0</v>
      </c>
      <c r="N52" s="161">
        <f t="shared" si="10"/>
        <v>0</v>
      </c>
    </row>
    <row r="53" spans="2:14">
      <c r="B53" s="282" t="s">
        <v>13</v>
      </c>
      <c r="C53" s="111">
        <f t="shared" ref="C53:L53" si="13">C78*10^6/C28</f>
        <v>35.341507690752785</v>
      </c>
      <c r="D53" s="111">
        <f t="shared" si="13"/>
        <v>32.900271883899407</v>
      </c>
      <c r="E53" s="111" t="e">
        <f t="shared" si="13"/>
        <v>#DIV/0!</v>
      </c>
      <c r="F53" s="111" t="e">
        <f t="shared" si="13"/>
        <v>#DIV/0!</v>
      </c>
      <c r="G53" s="111" t="e">
        <f t="shared" si="13"/>
        <v>#DIV/0!</v>
      </c>
      <c r="H53" s="111" t="e">
        <f t="shared" si="13"/>
        <v>#DIV/0!</v>
      </c>
      <c r="I53" s="111" t="e">
        <f t="shared" si="13"/>
        <v>#DIV/0!</v>
      </c>
      <c r="J53" s="111" t="e">
        <f t="shared" si="13"/>
        <v>#DIV/0!</v>
      </c>
      <c r="K53" s="111" t="e">
        <f t="shared" si="13"/>
        <v>#DIV/0!</v>
      </c>
      <c r="L53" s="111" t="e">
        <f t="shared" si="13"/>
        <v>#DIV/0!</v>
      </c>
      <c r="M53" s="111">
        <f t="shared" si="10"/>
        <v>0</v>
      </c>
      <c r="N53" s="111">
        <f t="shared" si="10"/>
        <v>0</v>
      </c>
    </row>
    <row r="54" spans="2:14">
      <c r="B54" s="77"/>
      <c r="C54" s="106"/>
      <c r="D54" s="106"/>
      <c r="E54" s="106"/>
      <c r="F54" s="106"/>
      <c r="G54" s="106"/>
      <c r="H54" s="106"/>
      <c r="I54" s="106"/>
      <c r="J54" s="106"/>
      <c r="K54" s="106"/>
      <c r="L54" s="106"/>
      <c r="M54" s="106"/>
      <c r="N54" s="106"/>
    </row>
    <row r="56" spans="2:14" ht="21">
      <c r="B56" s="24" t="s">
        <v>20</v>
      </c>
      <c r="D56" s="8" t="s">
        <v>15</v>
      </c>
    </row>
    <row r="57" spans="2:14">
      <c r="B57" s="131" t="str">
        <f t="shared" ref="B57:B69" si="14">B7</f>
        <v>Product type</v>
      </c>
      <c r="C57" s="30">
        <v>2016</v>
      </c>
      <c r="D57" s="30">
        <v>2017</v>
      </c>
      <c r="E57" s="30">
        <v>2018</v>
      </c>
      <c r="F57" s="30">
        <v>2019</v>
      </c>
      <c r="G57" s="30">
        <v>2020</v>
      </c>
      <c r="H57" s="30">
        <v>2021</v>
      </c>
      <c r="I57" s="30">
        <v>2022</v>
      </c>
      <c r="J57" s="30">
        <v>2023</v>
      </c>
      <c r="K57" s="30">
        <v>2024</v>
      </c>
      <c r="L57" s="30">
        <v>2025</v>
      </c>
      <c r="M57" s="30">
        <v>2026</v>
      </c>
      <c r="N57" s="30">
        <v>2027</v>
      </c>
    </row>
    <row r="58" spans="2:14">
      <c r="B58" s="284" t="str">
        <f t="shared" si="14"/>
        <v>10G - DAC</v>
      </c>
      <c r="C58" s="26">
        <f t="shared" ref="C58:L58" si="15">IF(C8=0,,C8*C33/10^6)</f>
        <v>70.673932160447592</v>
      </c>
      <c r="D58" s="26">
        <f t="shared" si="15"/>
        <v>51.579628705502515</v>
      </c>
      <c r="E58" s="26">
        <f t="shared" si="15"/>
        <v>0</v>
      </c>
      <c r="F58" s="26">
        <f t="shared" si="15"/>
        <v>0</v>
      </c>
      <c r="G58" s="26">
        <f t="shared" si="15"/>
        <v>0</v>
      </c>
      <c r="H58" s="26">
        <f t="shared" si="15"/>
        <v>0</v>
      </c>
      <c r="I58" s="26">
        <f t="shared" si="15"/>
        <v>0</v>
      </c>
      <c r="J58" s="26">
        <f t="shared" si="15"/>
        <v>0</v>
      </c>
      <c r="K58" s="26">
        <f t="shared" si="15"/>
        <v>0</v>
      </c>
      <c r="L58" s="26">
        <f t="shared" si="15"/>
        <v>0</v>
      </c>
      <c r="M58" s="26">
        <f t="shared" ref="M58:N71" si="16">IF(M8=0,,M8*M33/10^6)</f>
        <v>0</v>
      </c>
      <c r="N58" s="26">
        <f t="shared" si="16"/>
        <v>0</v>
      </c>
    </row>
    <row r="59" spans="2:14">
      <c r="B59" s="285" t="str">
        <f t="shared" si="14"/>
        <v>25G - DAC</v>
      </c>
      <c r="C59" s="37">
        <f t="shared" ref="C59:L59" si="17">IF(C9=0,,C9*C34/10^6)</f>
        <v>37.52837550000001</v>
      </c>
      <c r="D59" s="37">
        <f t="shared" si="17"/>
        <v>57.626435004851608</v>
      </c>
      <c r="E59" s="37">
        <f t="shared" si="17"/>
        <v>0</v>
      </c>
      <c r="F59" s="37">
        <f t="shared" si="17"/>
        <v>0</v>
      </c>
      <c r="G59" s="37">
        <f t="shared" si="17"/>
        <v>0</v>
      </c>
      <c r="H59" s="37">
        <f t="shared" si="17"/>
        <v>0</v>
      </c>
      <c r="I59" s="37">
        <f t="shared" si="17"/>
        <v>0</v>
      </c>
      <c r="J59" s="37">
        <f t="shared" si="17"/>
        <v>0</v>
      </c>
      <c r="K59" s="37">
        <f t="shared" si="17"/>
        <v>0</v>
      </c>
      <c r="L59" s="37">
        <f t="shared" si="17"/>
        <v>0</v>
      </c>
      <c r="M59" s="37">
        <f t="shared" si="16"/>
        <v>0</v>
      </c>
      <c r="N59" s="37">
        <f t="shared" si="16"/>
        <v>0</v>
      </c>
    </row>
    <row r="60" spans="2:14">
      <c r="B60" s="285" t="str">
        <f t="shared" si="14"/>
        <v>4x10G - DAC</v>
      </c>
      <c r="C60" s="37">
        <f t="shared" ref="C60:L60" si="18">IF(C10=0,,C10*C35/10^6)</f>
        <v>102.17953707392044</v>
      </c>
      <c r="D60" s="37">
        <f t="shared" si="18"/>
        <v>72.516352540852367</v>
      </c>
      <c r="E60" s="37">
        <f t="shared" si="18"/>
        <v>0</v>
      </c>
      <c r="F60" s="37">
        <f t="shared" si="18"/>
        <v>0</v>
      </c>
      <c r="G60" s="37">
        <f t="shared" si="18"/>
        <v>0</v>
      </c>
      <c r="H60" s="37">
        <f t="shared" si="18"/>
        <v>0</v>
      </c>
      <c r="I60" s="37">
        <f t="shared" si="18"/>
        <v>0</v>
      </c>
      <c r="J60" s="37">
        <f t="shared" si="18"/>
        <v>0</v>
      </c>
      <c r="K60" s="37">
        <f t="shared" si="18"/>
        <v>0</v>
      </c>
      <c r="L60" s="37">
        <f t="shared" si="18"/>
        <v>0</v>
      </c>
      <c r="M60" s="37">
        <f t="shared" si="16"/>
        <v>0</v>
      </c>
      <c r="N60" s="37">
        <f t="shared" si="16"/>
        <v>0</v>
      </c>
    </row>
    <row r="61" spans="2:14">
      <c r="B61" s="285" t="str">
        <f t="shared" si="14"/>
        <v>4x14G - DAC</v>
      </c>
      <c r="C61" s="37">
        <f t="shared" ref="C61:L61" si="19">IF(C11=0,,C11*C36/10^6)</f>
        <v>27.198075903832958</v>
      </c>
      <c r="D61" s="37">
        <f t="shared" si="19"/>
        <v>24.775568635814039</v>
      </c>
      <c r="E61" s="109">
        <f t="shared" si="19"/>
        <v>0</v>
      </c>
      <c r="F61" s="109">
        <f t="shared" si="19"/>
        <v>0</v>
      </c>
      <c r="G61" s="109">
        <f t="shared" si="19"/>
        <v>0</v>
      </c>
      <c r="H61" s="109">
        <f t="shared" si="19"/>
        <v>0</v>
      </c>
      <c r="I61" s="109">
        <f t="shared" si="19"/>
        <v>0</v>
      </c>
      <c r="J61" s="109">
        <f t="shared" si="19"/>
        <v>0</v>
      </c>
      <c r="K61" s="109">
        <f t="shared" si="19"/>
        <v>0</v>
      </c>
      <c r="L61" s="109">
        <f t="shared" si="19"/>
        <v>0</v>
      </c>
      <c r="M61" s="109">
        <f t="shared" si="16"/>
        <v>0</v>
      </c>
      <c r="N61" s="37">
        <f t="shared" si="16"/>
        <v>0</v>
      </c>
    </row>
    <row r="62" spans="2:14">
      <c r="B62" s="285" t="str">
        <f t="shared" si="14"/>
        <v>100G  - AEC</v>
      </c>
      <c r="C62" s="37">
        <f>IF(C12=0,,C12*C37/10^6)</f>
        <v>4.688966591999999</v>
      </c>
      <c r="D62" s="37">
        <f t="shared" ref="D62:L62" si="20">IF(D12=0,,D12*D37/10^6)</f>
        <v>7.577766700799998</v>
      </c>
      <c r="E62" s="37">
        <f t="shared" si="20"/>
        <v>0</v>
      </c>
      <c r="F62" s="37">
        <f t="shared" si="20"/>
        <v>0</v>
      </c>
      <c r="G62" s="37">
        <f t="shared" si="20"/>
        <v>0</v>
      </c>
      <c r="H62" s="37">
        <f t="shared" si="20"/>
        <v>0</v>
      </c>
      <c r="I62" s="37">
        <f t="shared" si="20"/>
        <v>0</v>
      </c>
      <c r="J62" s="37">
        <f t="shared" si="20"/>
        <v>0</v>
      </c>
      <c r="K62" s="37">
        <f t="shared" si="20"/>
        <v>0</v>
      </c>
      <c r="L62" s="37">
        <f t="shared" si="20"/>
        <v>0</v>
      </c>
      <c r="M62" s="37">
        <f t="shared" si="16"/>
        <v>0</v>
      </c>
      <c r="N62" s="37">
        <f t="shared" si="16"/>
        <v>0</v>
      </c>
    </row>
    <row r="63" spans="2:14">
      <c r="B63" s="285" t="str">
        <f t="shared" si="14"/>
        <v>100G - DAC/ACC</v>
      </c>
      <c r="C63" s="67">
        <f t="shared" ref="C63:L63" si="21">IF(C13=0,,C13*C38/10^6)</f>
        <v>28.13379955200001</v>
      </c>
      <c r="D63" s="67">
        <f t="shared" si="21"/>
        <v>45.46660020480001</v>
      </c>
      <c r="E63" s="67">
        <f t="shared" si="21"/>
        <v>0</v>
      </c>
      <c r="F63" s="67">
        <f t="shared" si="21"/>
        <v>0</v>
      </c>
      <c r="G63" s="67">
        <f t="shared" si="21"/>
        <v>0</v>
      </c>
      <c r="H63" s="67">
        <f t="shared" si="21"/>
        <v>0</v>
      </c>
      <c r="I63" s="67">
        <f t="shared" si="21"/>
        <v>0</v>
      </c>
      <c r="J63" s="67">
        <f t="shared" si="21"/>
        <v>0</v>
      </c>
      <c r="K63" s="67">
        <f t="shared" si="21"/>
        <v>0</v>
      </c>
      <c r="L63" s="67">
        <f t="shared" si="21"/>
        <v>0</v>
      </c>
      <c r="M63" s="67">
        <f t="shared" si="16"/>
        <v>0</v>
      </c>
      <c r="N63" s="67">
        <f t="shared" si="16"/>
        <v>0</v>
      </c>
    </row>
    <row r="64" spans="2:14">
      <c r="B64" s="285" t="str">
        <f t="shared" si="14"/>
        <v>200G - AEC</v>
      </c>
      <c r="C64" s="67">
        <f t="shared" ref="C64:L64" si="22">IF(C14=0,,C14*C39/10^6)</f>
        <v>0</v>
      </c>
      <c r="D64" s="67">
        <f t="shared" si="22"/>
        <v>0</v>
      </c>
      <c r="E64" s="67">
        <f t="shared" si="22"/>
        <v>0</v>
      </c>
      <c r="F64" s="67">
        <f t="shared" si="22"/>
        <v>0</v>
      </c>
      <c r="G64" s="67">
        <f t="shared" si="22"/>
        <v>0</v>
      </c>
      <c r="H64" s="67">
        <f t="shared" si="22"/>
        <v>0</v>
      </c>
      <c r="I64" s="67">
        <f t="shared" si="22"/>
        <v>0</v>
      </c>
      <c r="J64" s="67">
        <f t="shared" si="22"/>
        <v>0</v>
      </c>
      <c r="K64" s="67">
        <f t="shared" si="22"/>
        <v>0</v>
      </c>
      <c r="L64" s="67">
        <f t="shared" si="22"/>
        <v>0</v>
      </c>
      <c r="M64" s="67">
        <f t="shared" si="16"/>
        <v>0</v>
      </c>
      <c r="N64" s="67">
        <f t="shared" si="16"/>
        <v>0</v>
      </c>
    </row>
    <row r="65" spans="2:15">
      <c r="B65" s="285" t="str">
        <f t="shared" si="14"/>
        <v>200G - DAC/ACC</v>
      </c>
      <c r="C65" s="191">
        <f t="shared" ref="C65:L65" si="23">IF(C15=0,,C15*C40/10^6)</f>
        <v>0</v>
      </c>
      <c r="D65" s="67">
        <f t="shared" si="23"/>
        <v>0</v>
      </c>
      <c r="E65" s="67">
        <f t="shared" si="23"/>
        <v>0</v>
      </c>
      <c r="F65" s="67">
        <f t="shared" si="23"/>
        <v>0</v>
      </c>
      <c r="G65" s="67">
        <f t="shared" si="23"/>
        <v>0</v>
      </c>
      <c r="H65" s="67">
        <f t="shared" si="23"/>
        <v>0</v>
      </c>
      <c r="I65" s="67">
        <f t="shared" si="23"/>
        <v>0</v>
      </c>
      <c r="J65" s="67">
        <f t="shared" si="23"/>
        <v>0</v>
      </c>
      <c r="K65" s="67">
        <f t="shared" si="23"/>
        <v>0</v>
      </c>
      <c r="L65" s="67">
        <f t="shared" si="23"/>
        <v>0</v>
      </c>
      <c r="M65" s="67">
        <f t="shared" si="16"/>
        <v>0</v>
      </c>
      <c r="N65" s="67">
        <f t="shared" si="16"/>
        <v>0</v>
      </c>
    </row>
    <row r="66" spans="2:15">
      <c r="B66" s="285" t="str">
        <f t="shared" si="14"/>
        <v>400G - AEC</v>
      </c>
      <c r="C66" s="37">
        <f t="shared" ref="C66:L66" si="24">IF(C16=0,,C16*C41/10^6)</f>
        <v>0</v>
      </c>
      <c r="D66" s="37">
        <f t="shared" si="24"/>
        <v>0</v>
      </c>
      <c r="E66" s="37">
        <f t="shared" si="24"/>
        <v>0</v>
      </c>
      <c r="F66" s="37">
        <f t="shared" si="24"/>
        <v>0</v>
      </c>
      <c r="G66" s="37">
        <f t="shared" si="24"/>
        <v>0</v>
      </c>
      <c r="H66" s="37">
        <f t="shared" si="24"/>
        <v>0</v>
      </c>
      <c r="I66" s="37">
        <f t="shared" si="24"/>
        <v>0</v>
      </c>
      <c r="J66" s="37">
        <f t="shared" si="24"/>
        <v>0</v>
      </c>
      <c r="K66" s="37">
        <f t="shared" si="24"/>
        <v>0</v>
      </c>
      <c r="L66" s="37">
        <f t="shared" si="24"/>
        <v>0</v>
      </c>
      <c r="M66" s="37">
        <f t="shared" si="16"/>
        <v>0</v>
      </c>
      <c r="N66" s="37">
        <f t="shared" si="16"/>
        <v>0</v>
      </c>
    </row>
    <row r="67" spans="2:15">
      <c r="B67" s="285" t="str">
        <f t="shared" si="14"/>
        <v>400G - DAC/ACC</v>
      </c>
      <c r="C67" s="37"/>
      <c r="D67" s="37">
        <f t="shared" ref="D67:L67" si="25">IF(D17=0,,D17*D42/10^6)</f>
        <v>0</v>
      </c>
      <c r="E67" s="37">
        <f t="shared" si="25"/>
        <v>0</v>
      </c>
      <c r="F67" s="37">
        <f t="shared" si="25"/>
        <v>0</v>
      </c>
      <c r="G67" s="37">
        <f t="shared" si="25"/>
        <v>0</v>
      </c>
      <c r="H67" s="37">
        <f t="shared" si="25"/>
        <v>0</v>
      </c>
      <c r="I67" s="37">
        <f t="shared" si="25"/>
        <v>0</v>
      </c>
      <c r="J67" s="37">
        <f t="shared" si="25"/>
        <v>0</v>
      </c>
      <c r="K67" s="37">
        <f t="shared" si="25"/>
        <v>0</v>
      </c>
      <c r="L67" s="37">
        <f t="shared" si="25"/>
        <v>0</v>
      </c>
      <c r="M67" s="37">
        <f t="shared" si="16"/>
        <v>0</v>
      </c>
      <c r="N67" s="37">
        <f t="shared" si="16"/>
        <v>0</v>
      </c>
    </row>
    <row r="68" spans="2:15">
      <c r="B68" s="285" t="str">
        <f t="shared" si="14"/>
        <v>800G - AEC</v>
      </c>
      <c r="C68" s="37"/>
      <c r="D68" s="37">
        <f t="shared" ref="D68:L68" si="26">IF(D18=0,,D18*D43/10^6)</f>
        <v>0</v>
      </c>
      <c r="E68" s="37">
        <f t="shared" si="26"/>
        <v>0</v>
      </c>
      <c r="F68" s="37">
        <f t="shared" si="26"/>
        <v>0</v>
      </c>
      <c r="G68" s="37">
        <f t="shared" si="26"/>
        <v>0</v>
      </c>
      <c r="H68" s="37">
        <f t="shared" si="26"/>
        <v>0</v>
      </c>
      <c r="I68" s="37">
        <f t="shared" si="26"/>
        <v>0</v>
      </c>
      <c r="J68" s="37">
        <f t="shared" si="26"/>
        <v>0</v>
      </c>
      <c r="K68" s="37">
        <f t="shared" si="26"/>
        <v>0</v>
      </c>
      <c r="L68" s="37">
        <f t="shared" si="26"/>
        <v>0</v>
      </c>
      <c r="M68" s="37">
        <f t="shared" si="16"/>
        <v>0</v>
      </c>
      <c r="N68" s="37">
        <f t="shared" si="16"/>
        <v>0</v>
      </c>
    </row>
    <row r="69" spans="2:15">
      <c r="B69" s="285" t="str">
        <f t="shared" si="14"/>
        <v>800G - DAC/ACC</v>
      </c>
      <c r="C69" s="109">
        <f>IF(C19=0,,C19*C44/10^6)</f>
        <v>0</v>
      </c>
      <c r="D69" s="37">
        <f t="shared" ref="D69:L69" si="27">IF(D19=0,,D19*D44/10^6)</f>
        <v>0</v>
      </c>
      <c r="E69" s="37">
        <f t="shared" si="27"/>
        <v>0</v>
      </c>
      <c r="F69" s="37">
        <f t="shared" si="27"/>
        <v>0</v>
      </c>
      <c r="G69" s="37">
        <f t="shared" si="27"/>
        <v>0</v>
      </c>
      <c r="H69" s="37">
        <f t="shared" si="27"/>
        <v>0</v>
      </c>
      <c r="I69" s="37">
        <f t="shared" si="27"/>
        <v>0</v>
      </c>
      <c r="J69" s="37">
        <f t="shared" si="27"/>
        <v>0</v>
      </c>
      <c r="K69" s="37">
        <f t="shared" si="27"/>
        <v>0</v>
      </c>
      <c r="L69" s="37">
        <f t="shared" si="27"/>
        <v>0</v>
      </c>
      <c r="M69" s="37">
        <f t="shared" si="16"/>
        <v>0</v>
      </c>
      <c r="N69" s="37">
        <f t="shared" si="16"/>
        <v>0</v>
      </c>
    </row>
    <row r="70" spans="2:15" ht="15" customHeight="1">
      <c r="B70" s="285" t="str">
        <f>B20</f>
        <v>1.6T - AEC</v>
      </c>
      <c r="C70" s="109">
        <f t="shared" ref="C70:L70" si="28">IF(C20=0,,C20*C45/10^6)</f>
        <v>0</v>
      </c>
      <c r="D70" s="37">
        <f t="shared" si="28"/>
        <v>0</v>
      </c>
      <c r="E70" s="37">
        <f t="shared" si="28"/>
        <v>0</v>
      </c>
      <c r="F70" s="37">
        <f t="shared" si="28"/>
        <v>0</v>
      </c>
      <c r="G70" s="37">
        <f t="shared" si="28"/>
        <v>0</v>
      </c>
      <c r="H70" s="37">
        <f t="shared" si="28"/>
        <v>0</v>
      </c>
      <c r="I70" s="37">
        <f t="shared" si="28"/>
        <v>0</v>
      </c>
      <c r="J70" s="37">
        <f t="shared" si="28"/>
        <v>0</v>
      </c>
      <c r="K70" s="37">
        <f t="shared" si="28"/>
        <v>0</v>
      </c>
      <c r="L70" s="37">
        <f t="shared" si="28"/>
        <v>0</v>
      </c>
      <c r="M70" s="37">
        <f t="shared" si="16"/>
        <v>0</v>
      </c>
      <c r="N70" s="37">
        <f t="shared" si="16"/>
        <v>0</v>
      </c>
    </row>
    <row r="71" spans="2:15">
      <c r="B71" s="285" t="str">
        <f>B21</f>
        <v>1.6T - DAC/ACC</v>
      </c>
      <c r="C71" s="109">
        <f t="shared" ref="C71:L71" si="29">IF(C21=0,,C21*C46/10^6)</f>
        <v>0</v>
      </c>
      <c r="D71" s="37">
        <f t="shared" si="29"/>
        <v>0</v>
      </c>
      <c r="E71" s="37">
        <f t="shared" si="29"/>
        <v>0</v>
      </c>
      <c r="F71" s="37">
        <f t="shared" si="29"/>
        <v>0</v>
      </c>
      <c r="G71" s="37">
        <f t="shared" si="29"/>
        <v>0</v>
      </c>
      <c r="H71" s="37">
        <f t="shared" si="29"/>
        <v>0</v>
      </c>
      <c r="I71" s="37">
        <f t="shared" si="29"/>
        <v>0</v>
      </c>
      <c r="J71" s="37">
        <f t="shared" si="29"/>
        <v>0</v>
      </c>
      <c r="K71" s="37">
        <f t="shared" si="29"/>
        <v>0</v>
      </c>
      <c r="L71" s="37">
        <f t="shared" si="29"/>
        <v>0</v>
      </c>
      <c r="M71" s="37">
        <f t="shared" si="16"/>
        <v>0</v>
      </c>
      <c r="N71" s="37">
        <f t="shared" si="16"/>
        <v>0</v>
      </c>
    </row>
    <row r="72" spans="2:15">
      <c r="B72" s="287" t="s">
        <v>95</v>
      </c>
      <c r="C72" s="111">
        <f t="shared" ref="C72:L72" si="30">SUM(C58:C71)</f>
        <v>270.40268678220099</v>
      </c>
      <c r="D72" s="111">
        <f t="shared" si="30"/>
        <v>259.54235179262054</v>
      </c>
      <c r="E72" s="111">
        <f t="shared" si="30"/>
        <v>0</v>
      </c>
      <c r="F72" s="111">
        <f t="shared" si="30"/>
        <v>0</v>
      </c>
      <c r="G72" s="111">
        <f t="shared" si="30"/>
        <v>0</v>
      </c>
      <c r="H72" s="111">
        <f t="shared" si="30"/>
        <v>0</v>
      </c>
      <c r="I72" s="111">
        <f t="shared" si="30"/>
        <v>0</v>
      </c>
      <c r="J72" s="111">
        <f t="shared" si="30"/>
        <v>0</v>
      </c>
      <c r="K72" s="111">
        <f t="shared" si="30"/>
        <v>0</v>
      </c>
      <c r="L72" s="111">
        <f t="shared" si="30"/>
        <v>0</v>
      </c>
      <c r="M72" s="111">
        <f>SUM(M58:M71)</f>
        <v>0</v>
      </c>
      <c r="N72" s="111">
        <f>SUM(N58:N71)</f>
        <v>0</v>
      </c>
    </row>
    <row r="73" spans="2:15">
      <c r="B73" s="77"/>
      <c r="C73" s="77"/>
      <c r="D73" s="77"/>
      <c r="E73" s="77"/>
      <c r="F73" s="77"/>
      <c r="G73" s="77"/>
      <c r="H73" s="77"/>
      <c r="I73" s="77"/>
      <c r="J73" s="77"/>
      <c r="K73" s="77"/>
      <c r="L73" s="77"/>
      <c r="M73" s="77"/>
      <c r="N73" s="77"/>
      <c r="O73" s="77"/>
    </row>
    <row r="74" spans="2:15" ht="18.75" customHeight="1">
      <c r="B74" s="131" t="str">
        <f>B57</f>
        <v>Product type</v>
      </c>
      <c r="C74" s="35">
        <v>2016</v>
      </c>
      <c r="D74" s="35">
        <v>2017</v>
      </c>
      <c r="E74" s="35">
        <v>2018</v>
      </c>
      <c r="F74" s="35">
        <v>2019</v>
      </c>
      <c r="G74" s="35">
        <v>2020</v>
      </c>
      <c r="H74" s="35">
        <v>2021</v>
      </c>
      <c r="I74" s="35">
        <v>2022</v>
      </c>
      <c r="J74" s="35">
        <v>2023</v>
      </c>
      <c r="K74" s="35">
        <v>2024</v>
      </c>
      <c r="L74" s="35">
        <v>2025</v>
      </c>
      <c r="M74" s="35">
        <v>2026</v>
      </c>
      <c r="N74" s="35">
        <v>2027</v>
      </c>
    </row>
    <row r="75" spans="2:15">
      <c r="B75" s="284" t="str">
        <f>B50</f>
        <v>AECs ≥100G</v>
      </c>
      <c r="C75" s="162">
        <f>C62+C64+C66+C68+C70</f>
        <v>4.688966591999999</v>
      </c>
      <c r="D75" s="162">
        <f t="shared" ref="D75:N75" si="31">D62+D64+D66+D68+D70</f>
        <v>7.577766700799998</v>
      </c>
      <c r="E75" s="162">
        <f t="shared" si="31"/>
        <v>0</v>
      </c>
      <c r="F75" s="162">
        <f t="shared" si="31"/>
        <v>0</v>
      </c>
      <c r="G75" s="162">
        <f t="shared" si="31"/>
        <v>0</v>
      </c>
      <c r="H75" s="162">
        <f t="shared" si="31"/>
        <v>0</v>
      </c>
      <c r="I75" s="162">
        <f t="shared" si="31"/>
        <v>0</v>
      </c>
      <c r="J75" s="162">
        <f t="shared" si="31"/>
        <v>0</v>
      </c>
      <c r="K75" s="162">
        <f t="shared" si="31"/>
        <v>0</v>
      </c>
      <c r="L75" s="162">
        <f t="shared" si="31"/>
        <v>0</v>
      </c>
      <c r="M75" s="162">
        <f t="shared" si="31"/>
        <v>0</v>
      </c>
      <c r="N75" s="162">
        <f t="shared" si="31"/>
        <v>0</v>
      </c>
    </row>
    <row r="76" spans="2:15">
      <c r="B76" s="285" t="str">
        <f>B51</f>
        <v>DAC/ACCs  ≥100G</v>
      </c>
      <c r="C76" s="137">
        <f>C63+C65+C67+C69+C71</f>
        <v>28.13379955200001</v>
      </c>
      <c r="D76" s="137">
        <f t="shared" ref="D76:N76" si="32">D63+D65+D67+D69+D71</f>
        <v>45.46660020480001</v>
      </c>
      <c r="E76" s="137">
        <f t="shared" si="32"/>
        <v>0</v>
      </c>
      <c r="F76" s="137">
        <f t="shared" si="32"/>
        <v>0</v>
      </c>
      <c r="G76" s="137">
        <f t="shared" si="32"/>
        <v>0</v>
      </c>
      <c r="H76" s="137">
        <f t="shared" si="32"/>
        <v>0</v>
      </c>
      <c r="I76" s="137">
        <f t="shared" si="32"/>
        <v>0</v>
      </c>
      <c r="J76" s="137">
        <f t="shared" si="32"/>
        <v>0</v>
      </c>
      <c r="K76" s="137">
        <f t="shared" si="32"/>
        <v>0</v>
      </c>
      <c r="L76" s="137">
        <f t="shared" si="32"/>
        <v>0</v>
      </c>
      <c r="M76" s="137">
        <f t="shared" si="32"/>
        <v>0</v>
      </c>
      <c r="N76" s="137">
        <f t="shared" si="32"/>
        <v>0</v>
      </c>
    </row>
    <row r="77" spans="2:15">
      <c r="B77" s="285" t="str">
        <f>B52</f>
        <v>All other DACs (≤40G)</v>
      </c>
      <c r="C77" s="137">
        <f t="shared" ref="C77:K77" si="33">C78-C76-C75</f>
        <v>237.579920638201</v>
      </c>
      <c r="D77" s="137">
        <f t="shared" si="33"/>
        <v>206.49798488702052</v>
      </c>
      <c r="E77" s="137">
        <f t="shared" si="33"/>
        <v>0</v>
      </c>
      <c r="F77" s="137">
        <f t="shared" si="33"/>
        <v>0</v>
      </c>
      <c r="G77" s="137">
        <f t="shared" si="33"/>
        <v>0</v>
      </c>
      <c r="H77" s="137">
        <f t="shared" si="33"/>
        <v>0</v>
      </c>
      <c r="I77" s="137">
        <f t="shared" si="33"/>
        <v>0</v>
      </c>
      <c r="J77" s="137">
        <f t="shared" si="33"/>
        <v>0</v>
      </c>
      <c r="K77" s="137">
        <f t="shared" si="33"/>
        <v>0</v>
      </c>
      <c r="L77" s="137">
        <f t="shared" ref="L77:N77" si="34">L78-L76-L75</f>
        <v>0</v>
      </c>
      <c r="M77" s="137">
        <f t="shared" si="34"/>
        <v>0</v>
      </c>
      <c r="N77" s="137">
        <f t="shared" si="34"/>
        <v>0</v>
      </c>
    </row>
    <row r="78" spans="2:15">
      <c r="B78" s="282" t="s">
        <v>13</v>
      </c>
      <c r="C78" s="110">
        <f>C72</f>
        <v>270.40268678220099</v>
      </c>
      <c r="D78" s="111">
        <f t="shared" ref="D78:L78" si="35">D72</f>
        <v>259.54235179262054</v>
      </c>
      <c r="E78" s="111">
        <f t="shared" si="35"/>
        <v>0</v>
      </c>
      <c r="F78" s="111">
        <f t="shared" si="35"/>
        <v>0</v>
      </c>
      <c r="G78" s="111">
        <f t="shared" si="35"/>
        <v>0</v>
      </c>
      <c r="H78" s="111">
        <f t="shared" si="35"/>
        <v>0</v>
      </c>
      <c r="I78" s="111">
        <f t="shared" si="35"/>
        <v>0</v>
      </c>
      <c r="J78" s="111">
        <f t="shared" si="35"/>
        <v>0</v>
      </c>
      <c r="K78" s="111">
        <f t="shared" si="35"/>
        <v>0</v>
      </c>
      <c r="L78" s="111">
        <f t="shared" si="35"/>
        <v>0</v>
      </c>
      <c r="M78" s="111">
        <f>M72</f>
        <v>0</v>
      </c>
      <c r="N78" s="111">
        <f>N72</f>
        <v>0</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A2:U394"/>
  <sheetViews>
    <sheetView showGridLines="0" zoomScale="70" zoomScaleNormal="70" zoomScalePageLayoutView="80" workbookViewId="0"/>
  </sheetViews>
  <sheetFormatPr defaultColWidth="8.77734375" defaultRowHeight="13.2"/>
  <cols>
    <col min="1" max="1" width="4.44140625" customWidth="1"/>
    <col min="2" max="2" width="13.21875" customWidth="1"/>
    <col min="3" max="3" width="11" customWidth="1"/>
    <col min="4" max="4" width="10.21875" customWidth="1"/>
    <col min="5" max="5" width="9.21875" customWidth="1"/>
    <col min="6" max="6" width="21.21875" style="21" customWidth="1"/>
    <col min="7" max="10" width="10.77734375" customWidth="1"/>
    <col min="11" max="11" width="12" customWidth="1"/>
    <col min="12" max="12" width="11.44140625" customWidth="1"/>
    <col min="13" max="13" width="13" customWidth="1"/>
    <col min="14" max="14" width="12.44140625" customWidth="1"/>
    <col min="15" max="18" width="12.21875" customWidth="1"/>
    <col min="19" max="19" width="13.44140625" bestFit="1" customWidth="1"/>
    <col min="20" max="20" width="15.33203125" customWidth="1"/>
    <col min="21" max="21" width="12.44140625" customWidth="1"/>
  </cols>
  <sheetData>
    <row r="2" spans="2:21" ht="23.25" customHeight="1">
      <c r="B2" s="3" t="str">
        <f>Introduction!B2</f>
        <v>LightCounting High-Speed Cables Forecast</v>
      </c>
      <c r="C2" s="3"/>
      <c r="D2" s="3"/>
      <c r="E2" s="3"/>
      <c r="F2" s="407"/>
      <c r="P2" s="64"/>
      <c r="Q2" s="245"/>
      <c r="R2" s="64"/>
    </row>
    <row r="3" spans="2:21" ht="15">
      <c r="B3" s="189" t="str">
        <f>Introduction!B3</f>
        <v>December 2022 - sample template</v>
      </c>
      <c r="C3" s="189"/>
      <c r="P3" s="246"/>
      <c r="Q3" s="246"/>
      <c r="R3" s="247"/>
    </row>
    <row r="4" spans="2:21" ht="17.399999999999999">
      <c r="D4" s="3"/>
      <c r="E4" s="3"/>
      <c r="F4" s="407"/>
      <c r="G4" s="39"/>
      <c r="H4" s="39"/>
      <c r="I4" s="39"/>
      <c r="J4" s="39"/>
      <c r="K4" s="39"/>
      <c r="L4" s="39"/>
      <c r="P4" s="243"/>
      <c r="Q4" s="248"/>
      <c r="R4" s="243"/>
    </row>
    <row r="5" spans="2:21" ht="17.399999999999999">
      <c r="B5" s="3" t="s">
        <v>34</v>
      </c>
      <c r="C5" s="3"/>
      <c r="D5" s="41"/>
      <c r="E5" s="41"/>
      <c r="G5" s="39"/>
      <c r="H5" s="39"/>
      <c r="P5" s="243"/>
      <c r="Q5" s="243"/>
      <c r="R5" s="243"/>
    </row>
    <row r="6" spans="2:21" ht="14.4">
      <c r="B6" s="41"/>
      <c r="C6" s="41"/>
      <c r="D6" s="41"/>
      <c r="E6" s="41"/>
      <c r="G6" s="39"/>
      <c r="H6" s="39"/>
      <c r="P6" s="242"/>
      <c r="Q6" s="244"/>
      <c r="R6" s="243"/>
    </row>
    <row r="7" spans="2:21" s="8" customFormat="1" ht="21">
      <c r="B7" s="38" t="s">
        <v>26</v>
      </c>
      <c r="C7" s="38"/>
      <c r="D7" s="38"/>
      <c r="E7" s="38"/>
      <c r="F7" s="408"/>
      <c r="G7" s="150"/>
      <c r="H7" s="150"/>
      <c r="I7" s="150"/>
      <c r="J7" s="150"/>
      <c r="K7" s="150"/>
      <c r="L7" s="150"/>
      <c r="M7" s="150"/>
      <c r="N7" s="150"/>
      <c r="O7" s="150"/>
      <c r="P7" s="242"/>
      <c r="Q7" s="242"/>
      <c r="R7" s="242"/>
      <c r="U7" s="18"/>
    </row>
    <row r="8" spans="2:21" s="8" customFormat="1" ht="14.4">
      <c r="B8" s="28"/>
      <c r="C8" s="28"/>
      <c r="D8" s="28"/>
      <c r="E8" s="28"/>
      <c r="F8" s="409"/>
    </row>
    <row r="9" spans="2:21" s="8" customFormat="1" ht="14.4">
      <c r="B9" s="465" t="s">
        <v>89</v>
      </c>
      <c r="C9" s="466"/>
      <c r="D9" s="466"/>
      <c r="E9" s="466"/>
      <c r="F9" s="467"/>
      <c r="G9" s="378">
        <v>2016</v>
      </c>
      <c r="H9" s="378">
        <v>2017</v>
      </c>
      <c r="I9" s="378">
        <v>2018</v>
      </c>
      <c r="J9" s="378">
        <v>2019</v>
      </c>
      <c r="K9" s="378">
        <v>2020</v>
      </c>
      <c r="L9" s="378">
        <v>2021</v>
      </c>
      <c r="M9" s="378">
        <v>2022</v>
      </c>
      <c r="N9" s="378">
        <v>2023</v>
      </c>
      <c r="O9" s="378">
        <v>2024</v>
      </c>
      <c r="P9" s="378">
        <v>2025</v>
      </c>
      <c r="Q9" s="378">
        <v>2026</v>
      </c>
      <c r="R9" s="378">
        <v>2027</v>
      </c>
    </row>
    <row r="10" spans="2:21" s="8" customFormat="1" ht="14.4">
      <c r="B10" s="468" t="str">
        <f>Segmentation!B69</f>
        <v>HPC &amp; AI Clusters</v>
      </c>
      <c r="C10" s="469"/>
      <c r="D10" s="469"/>
      <c r="E10" s="469"/>
      <c r="F10" s="470"/>
      <c r="G10" s="186">
        <f t="shared" ref="G10:R10" si="0">G142+G143</f>
        <v>423905.86071428569</v>
      </c>
      <c r="H10" s="186">
        <f t="shared" si="0"/>
        <v>373601.42000000004</v>
      </c>
      <c r="I10" s="186">
        <f t="shared" si="0"/>
        <v>0</v>
      </c>
      <c r="J10" s="186">
        <f t="shared" si="0"/>
        <v>0</v>
      </c>
      <c r="K10" s="186">
        <f t="shared" si="0"/>
        <v>0</v>
      </c>
      <c r="L10" s="186">
        <f t="shared" si="0"/>
        <v>0</v>
      </c>
      <c r="M10" s="186">
        <f t="shared" si="0"/>
        <v>0</v>
      </c>
      <c r="N10" s="186">
        <f t="shared" si="0"/>
        <v>0</v>
      </c>
      <c r="O10" s="186">
        <f t="shared" si="0"/>
        <v>0</v>
      </c>
      <c r="P10" s="186">
        <f t="shared" si="0"/>
        <v>0</v>
      </c>
      <c r="Q10" s="186">
        <f t="shared" si="0"/>
        <v>0</v>
      </c>
      <c r="R10" s="186">
        <f t="shared" si="0"/>
        <v>0</v>
      </c>
    </row>
    <row r="11" spans="2:21" s="8" customFormat="1" ht="14.4">
      <c r="B11" s="471" t="str">
        <f>Segmentation!B70</f>
        <v>Core Routing</v>
      </c>
      <c r="C11" s="472"/>
      <c r="D11" s="472"/>
      <c r="E11" s="472"/>
      <c r="F11" s="473"/>
      <c r="G11" s="42">
        <f t="shared" ref="G11:R11" si="1">G204+G205</f>
        <v>73566.69642857142</v>
      </c>
      <c r="H11" s="42">
        <f t="shared" si="1"/>
        <v>68486.25</v>
      </c>
      <c r="I11" s="42">
        <f t="shared" si="1"/>
        <v>0</v>
      </c>
      <c r="J11" s="42">
        <f t="shared" si="1"/>
        <v>0</v>
      </c>
      <c r="K11" s="42">
        <f t="shared" si="1"/>
        <v>0</v>
      </c>
      <c r="L11" s="42">
        <f t="shared" si="1"/>
        <v>0</v>
      </c>
      <c r="M11" s="42">
        <f t="shared" si="1"/>
        <v>0</v>
      </c>
      <c r="N11" s="42">
        <f t="shared" si="1"/>
        <v>0</v>
      </c>
      <c r="O11" s="42">
        <f t="shared" si="1"/>
        <v>0</v>
      </c>
      <c r="P11" s="42">
        <f t="shared" si="1"/>
        <v>0</v>
      </c>
      <c r="Q11" s="42">
        <f t="shared" si="1"/>
        <v>0</v>
      </c>
      <c r="R11" s="42">
        <f t="shared" si="1"/>
        <v>0</v>
      </c>
    </row>
    <row r="12" spans="2:21" s="8" customFormat="1" ht="14.4">
      <c r="B12" s="471" t="str">
        <f>Segmentation!B71</f>
        <v>DC Compute Nodes</v>
      </c>
      <c r="C12" s="472"/>
      <c r="D12" s="472"/>
      <c r="E12" s="472"/>
      <c r="F12" s="473"/>
      <c r="G12" s="42">
        <f>G329+G330</f>
        <v>1964184.22</v>
      </c>
      <c r="H12" s="42">
        <f t="shared" ref="H12:R12" si="2">H329+H330</f>
        <v>3643092.92</v>
      </c>
      <c r="I12" s="42">
        <f t="shared" si="2"/>
        <v>0</v>
      </c>
      <c r="J12" s="42">
        <f t="shared" si="2"/>
        <v>0</v>
      </c>
      <c r="K12" s="42">
        <f t="shared" si="2"/>
        <v>0</v>
      </c>
      <c r="L12" s="42">
        <f t="shared" si="2"/>
        <v>0</v>
      </c>
      <c r="M12" s="42">
        <f t="shared" si="2"/>
        <v>0</v>
      </c>
      <c r="N12" s="42">
        <f t="shared" si="2"/>
        <v>0</v>
      </c>
      <c r="O12" s="42">
        <f t="shared" si="2"/>
        <v>0</v>
      </c>
      <c r="P12" s="42">
        <f t="shared" si="2"/>
        <v>0</v>
      </c>
      <c r="Q12" s="42">
        <f t="shared" si="2"/>
        <v>0</v>
      </c>
      <c r="R12" s="42">
        <f t="shared" si="2"/>
        <v>0</v>
      </c>
    </row>
    <row r="13" spans="2:21" s="8" customFormat="1" ht="14.4">
      <c r="B13" s="474" t="s">
        <v>174</v>
      </c>
      <c r="C13" s="460"/>
      <c r="D13" s="460"/>
      <c r="E13" s="460"/>
      <c r="F13" s="461"/>
      <c r="G13" s="42">
        <f t="shared" ref="G13:O13" si="3">G266+G267</f>
        <v>30729.579999999987</v>
      </c>
      <c r="H13" s="42">
        <f t="shared" si="3"/>
        <v>24250.409999999989</v>
      </c>
      <c r="I13" s="42">
        <f t="shared" si="3"/>
        <v>0</v>
      </c>
      <c r="J13" s="42">
        <f t="shared" si="3"/>
        <v>0</v>
      </c>
      <c r="K13" s="42">
        <f t="shared" si="3"/>
        <v>0</v>
      </c>
      <c r="L13" s="42">
        <f t="shared" si="3"/>
        <v>0</v>
      </c>
      <c r="M13" s="42">
        <f t="shared" si="3"/>
        <v>0</v>
      </c>
      <c r="N13" s="42">
        <f t="shared" si="3"/>
        <v>0</v>
      </c>
      <c r="O13" s="42">
        <f t="shared" si="3"/>
        <v>0</v>
      </c>
      <c r="P13" s="42">
        <f t="shared" ref="P13:R13" si="4">P266+P267</f>
        <v>0</v>
      </c>
      <c r="Q13" s="42">
        <f t="shared" si="4"/>
        <v>0</v>
      </c>
      <c r="R13" s="42">
        <f t="shared" si="4"/>
        <v>0</v>
      </c>
    </row>
    <row r="14" spans="2:21" s="8" customFormat="1" ht="14.4">
      <c r="B14" s="462" t="s">
        <v>13</v>
      </c>
      <c r="C14" s="463"/>
      <c r="D14" s="463"/>
      <c r="E14" s="463"/>
      <c r="F14" s="464"/>
      <c r="G14" s="36">
        <f t="shared" ref="G14:R14" si="5">SUM(G10:G13)</f>
        <v>2492386.3571428573</v>
      </c>
      <c r="H14" s="36">
        <f t="shared" si="5"/>
        <v>4109431</v>
      </c>
      <c r="I14" s="36">
        <f t="shared" si="5"/>
        <v>0</v>
      </c>
      <c r="J14" s="36">
        <f t="shared" si="5"/>
        <v>0</v>
      </c>
      <c r="K14" s="36">
        <f t="shared" si="5"/>
        <v>0</v>
      </c>
      <c r="L14" s="36">
        <f t="shared" si="5"/>
        <v>0</v>
      </c>
      <c r="M14" s="36">
        <f t="shared" si="5"/>
        <v>0</v>
      </c>
      <c r="N14" s="36">
        <f t="shared" si="5"/>
        <v>0</v>
      </c>
      <c r="O14" s="36">
        <f t="shared" si="5"/>
        <v>0</v>
      </c>
      <c r="P14" s="36">
        <f t="shared" si="5"/>
        <v>0</v>
      </c>
      <c r="Q14" s="36">
        <f t="shared" si="5"/>
        <v>0</v>
      </c>
      <c r="R14" s="36">
        <f t="shared" si="5"/>
        <v>0</v>
      </c>
    </row>
    <row r="15" spans="2:21" s="8" customFormat="1" ht="14.4">
      <c r="B15" s="465" t="s">
        <v>90</v>
      </c>
      <c r="C15" s="466"/>
      <c r="D15" s="466"/>
      <c r="E15" s="466"/>
      <c r="F15" s="467"/>
      <c r="G15" s="379">
        <v>2016</v>
      </c>
      <c r="H15" s="379">
        <v>2017</v>
      </c>
      <c r="I15" s="379">
        <v>2018</v>
      </c>
      <c r="J15" s="379">
        <v>2019</v>
      </c>
      <c r="K15" s="379">
        <v>2020</v>
      </c>
      <c r="L15" s="379">
        <v>2021</v>
      </c>
      <c r="M15" s="379">
        <v>2022</v>
      </c>
      <c r="N15" s="379">
        <v>2023</v>
      </c>
      <c r="O15" s="379">
        <v>2024</v>
      </c>
      <c r="P15" s="379">
        <v>2025</v>
      </c>
      <c r="Q15" s="379">
        <v>2026</v>
      </c>
      <c r="R15" s="379">
        <v>2027</v>
      </c>
    </row>
    <row r="16" spans="2:21" s="8" customFormat="1" ht="14.4">
      <c r="B16" s="468" t="str">
        <f>B10</f>
        <v>HPC &amp; AI Clusters</v>
      </c>
      <c r="C16" s="469"/>
      <c r="D16" s="469"/>
      <c r="E16" s="469"/>
      <c r="F16" s="470"/>
      <c r="G16" s="34"/>
      <c r="H16" s="34"/>
      <c r="I16" s="34"/>
      <c r="J16" s="34" t="str">
        <f t="shared" ref="J16:R16" si="6">IF(I10=0,"",(J10/I10)-1)</f>
        <v/>
      </c>
      <c r="K16" s="34" t="str">
        <f t="shared" si="6"/>
        <v/>
      </c>
      <c r="L16" s="34" t="str">
        <f t="shared" si="6"/>
        <v/>
      </c>
      <c r="M16" s="34" t="str">
        <f t="shared" si="6"/>
        <v/>
      </c>
      <c r="N16" s="34" t="str">
        <f t="shared" si="6"/>
        <v/>
      </c>
      <c r="O16" s="34" t="str">
        <f t="shared" si="6"/>
        <v/>
      </c>
      <c r="P16" s="34" t="str">
        <f t="shared" si="6"/>
        <v/>
      </c>
      <c r="Q16" s="34" t="str">
        <f t="shared" si="6"/>
        <v/>
      </c>
      <c r="R16" s="34" t="str">
        <f t="shared" si="6"/>
        <v/>
      </c>
    </row>
    <row r="17" spans="2:18" s="8" customFormat="1" ht="14.4">
      <c r="B17" s="471" t="str">
        <f>B11</f>
        <v>Core Routing</v>
      </c>
      <c r="C17" s="472"/>
      <c r="D17" s="472"/>
      <c r="E17" s="472"/>
      <c r="F17" s="473"/>
      <c r="G17" s="32"/>
      <c r="H17" s="32"/>
      <c r="I17" s="32"/>
      <c r="J17" s="32" t="str">
        <f t="shared" ref="J17:R17" si="7">IF(I11=0,"",(J11/I11)-1)</f>
        <v/>
      </c>
      <c r="K17" s="32" t="str">
        <f t="shared" si="7"/>
        <v/>
      </c>
      <c r="L17" s="32" t="str">
        <f t="shared" si="7"/>
        <v/>
      </c>
      <c r="M17" s="32" t="str">
        <f t="shared" si="7"/>
        <v/>
      </c>
      <c r="N17" s="32" t="str">
        <f t="shared" si="7"/>
        <v/>
      </c>
      <c r="O17" s="32" t="str">
        <f t="shared" si="7"/>
        <v/>
      </c>
      <c r="P17" s="32" t="str">
        <f t="shared" si="7"/>
        <v/>
      </c>
      <c r="Q17" s="32" t="str">
        <f t="shared" si="7"/>
        <v/>
      </c>
      <c r="R17" s="32" t="str">
        <f t="shared" si="7"/>
        <v/>
      </c>
    </row>
    <row r="18" spans="2:18" s="8" customFormat="1" ht="14.4">
      <c r="B18" s="471" t="str">
        <f>B12</f>
        <v>DC Compute Nodes</v>
      </c>
      <c r="C18" s="472"/>
      <c r="D18" s="472"/>
      <c r="E18" s="472"/>
      <c r="F18" s="473"/>
      <c r="G18" s="32"/>
      <c r="H18" s="32"/>
      <c r="I18" s="32"/>
      <c r="J18" s="32" t="str">
        <f t="shared" ref="J18:R18" si="8">IF(I12=0,"",(J12/I12)-1)</f>
        <v/>
      </c>
      <c r="K18" s="32" t="str">
        <f t="shared" si="8"/>
        <v/>
      </c>
      <c r="L18" s="32" t="str">
        <f t="shared" si="8"/>
        <v/>
      </c>
      <c r="M18" s="32" t="str">
        <f t="shared" si="8"/>
        <v/>
      </c>
      <c r="N18" s="32" t="str">
        <f t="shared" si="8"/>
        <v/>
      </c>
      <c r="O18" s="32" t="str">
        <f t="shared" si="8"/>
        <v/>
      </c>
      <c r="P18" s="32" t="str">
        <f t="shared" si="8"/>
        <v/>
      </c>
      <c r="Q18" s="32" t="str">
        <f t="shared" si="8"/>
        <v/>
      </c>
      <c r="R18" s="32" t="str">
        <f t="shared" si="8"/>
        <v/>
      </c>
    </row>
    <row r="19" spans="2:18" s="8" customFormat="1" ht="13.5" customHeight="1">
      <c r="B19" s="459" t="str">
        <f>B13</f>
        <v>Other</v>
      </c>
      <c r="C19" s="460"/>
      <c r="D19" s="460"/>
      <c r="E19" s="460"/>
      <c r="F19" s="461"/>
      <c r="G19" s="32"/>
      <c r="H19" s="32"/>
      <c r="I19" s="32"/>
      <c r="J19" s="32" t="str">
        <f t="shared" ref="J19:R19" si="9">IF(I13=0,"",(J13/I13)-1)</f>
        <v/>
      </c>
      <c r="K19" s="32" t="str">
        <f t="shared" si="9"/>
        <v/>
      </c>
      <c r="L19" s="32" t="str">
        <f t="shared" si="9"/>
        <v/>
      </c>
      <c r="M19" s="32" t="str">
        <f t="shared" si="9"/>
        <v/>
      </c>
      <c r="N19" s="32" t="str">
        <f t="shared" si="9"/>
        <v/>
      </c>
      <c r="O19" s="32" t="str">
        <f t="shared" si="9"/>
        <v/>
      </c>
      <c r="P19" s="32" t="str">
        <f t="shared" si="9"/>
        <v/>
      </c>
      <c r="Q19" s="32" t="str">
        <f t="shared" si="9"/>
        <v/>
      </c>
      <c r="R19" s="32" t="str">
        <f t="shared" si="9"/>
        <v/>
      </c>
    </row>
    <row r="20" spans="2:18" s="8" customFormat="1" ht="14.4">
      <c r="B20" s="462" t="s">
        <v>13</v>
      </c>
      <c r="C20" s="463"/>
      <c r="D20" s="463"/>
      <c r="E20" s="463"/>
      <c r="F20" s="464"/>
      <c r="G20" s="153"/>
      <c r="H20" s="153"/>
      <c r="I20" s="153"/>
      <c r="J20" s="153" t="str">
        <f t="shared" ref="J20:R20" si="10">IF(I14=0,"",(J14/I14)-1)</f>
        <v/>
      </c>
      <c r="K20" s="153" t="str">
        <f t="shared" si="10"/>
        <v/>
      </c>
      <c r="L20" s="153" t="str">
        <f t="shared" si="10"/>
        <v/>
      </c>
      <c r="M20" s="153" t="str">
        <f t="shared" si="10"/>
        <v/>
      </c>
      <c r="N20" s="153" t="str">
        <f t="shared" si="10"/>
        <v/>
      </c>
      <c r="O20" s="153" t="str">
        <f t="shared" si="10"/>
        <v/>
      </c>
      <c r="P20" s="153" t="str">
        <f t="shared" si="10"/>
        <v/>
      </c>
      <c r="Q20" s="153" t="str">
        <f t="shared" si="10"/>
        <v/>
      </c>
      <c r="R20" s="153" t="str">
        <f t="shared" si="10"/>
        <v/>
      </c>
    </row>
    <row r="21" spans="2:18" ht="14.4">
      <c r="B21" s="465" t="s">
        <v>91</v>
      </c>
      <c r="C21" s="466"/>
      <c r="D21" s="466"/>
      <c r="E21" s="466"/>
      <c r="F21" s="467"/>
      <c r="G21" s="378">
        <v>2016</v>
      </c>
      <c r="H21" s="378">
        <v>2017</v>
      </c>
      <c r="I21" s="378">
        <v>2018</v>
      </c>
      <c r="J21" s="378">
        <v>2019</v>
      </c>
      <c r="K21" s="378">
        <v>2020</v>
      </c>
      <c r="L21" s="378">
        <v>2021</v>
      </c>
      <c r="M21" s="378">
        <v>2022</v>
      </c>
      <c r="N21" s="378">
        <v>2023</v>
      </c>
      <c r="O21" s="378">
        <v>2024</v>
      </c>
      <c r="P21" s="378">
        <v>2025</v>
      </c>
      <c r="Q21" s="378">
        <v>2026</v>
      </c>
      <c r="R21" s="378">
        <v>2027</v>
      </c>
    </row>
    <row r="22" spans="2:18" ht="14.4">
      <c r="B22" s="468" t="str">
        <f>B10</f>
        <v>HPC &amp; AI Clusters</v>
      </c>
      <c r="C22" s="469"/>
      <c r="D22" s="469"/>
      <c r="E22" s="469"/>
      <c r="F22" s="470"/>
      <c r="G22" s="34">
        <f t="shared" ref="G22:R22" si="11">G10/G$14</f>
        <v>0.17008031660076547</v>
      </c>
      <c r="H22" s="34">
        <f t="shared" si="11"/>
        <v>9.0913175084336509E-2</v>
      </c>
      <c r="I22" s="34" t="e">
        <f t="shared" si="11"/>
        <v>#DIV/0!</v>
      </c>
      <c r="J22" s="34" t="e">
        <f t="shared" si="11"/>
        <v>#DIV/0!</v>
      </c>
      <c r="K22" s="34" t="e">
        <f t="shared" si="11"/>
        <v>#DIV/0!</v>
      </c>
      <c r="L22" s="34" t="e">
        <f t="shared" si="11"/>
        <v>#DIV/0!</v>
      </c>
      <c r="M22" s="34" t="e">
        <f t="shared" si="11"/>
        <v>#DIV/0!</v>
      </c>
      <c r="N22" s="34" t="e">
        <f t="shared" si="11"/>
        <v>#DIV/0!</v>
      </c>
      <c r="O22" s="34" t="e">
        <f t="shared" si="11"/>
        <v>#DIV/0!</v>
      </c>
      <c r="P22" s="34" t="e">
        <f t="shared" si="11"/>
        <v>#DIV/0!</v>
      </c>
      <c r="Q22" s="34" t="e">
        <f t="shared" si="11"/>
        <v>#DIV/0!</v>
      </c>
      <c r="R22" s="34" t="e">
        <f t="shared" si="11"/>
        <v>#DIV/0!</v>
      </c>
    </row>
    <row r="23" spans="2:18" ht="14.4">
      <c r="B23" s="471" t="str">
        <f>B11</f>
        <v>Core Routing</v>
      </c>
      <c r="C23" s="472"/>
      <c r="D23" s="472"/>
      <c r="E23" s="472"/>
      <c r="F23" s="473"/>
      <c r="G23" s="32">
        <f t="shared" ref="G23:R23" si="12">G11/G$14</f>
        <v>2.9516570020429928E-2</v>
      </c>
      <c r="H23" s="32">
        <f t="shared" si="12"/>
        <v>1.6665628404516342E-2</v>
      </c>
      <c r="I23" s="32" t="e">
        <f t="shared" si="12"/>
        <v>#DIV/0!</v>
      </c>
      <c r="J23" s="32" t="e">
        <f t="shared" si="12"/>
        <v>#DIV/0!</v>
      </c>
      <c r="K23" s="32" t="e">
        <f t="shared" si="12"/>
        <v>#DIV/0!</v>
      </c>
      <c r="L23" s="32" t="e">
        <f t="shared" si="12"/>
        <v>#DIV/0!</v>
      </c>
      <c r="M23" s="32" t="e">
        <f t="shared" si="12"/>
        <v>#DIV/0!</v>
      </c>
      <c r="N23" s="32" t="e">
        <f t="shared" si="12"/>
        <v>#DIV/0!</v>
      </c>
      <c r="O23" s="32" t="e">
        <f t="shared" si="12"/>
        <v>#DIV/0!</v>
      </c>
      <c r="P23" s="32" t="e">
        <f t="shared" si="12"/>
        <v>#DIV/0!</v>
      </c>
      <c r="Q23" s="32" t="e">
        <f t="shared" si="12"/>
        <v>#DIV/0!</v>
      </c>
      <c r="R23" s="32" t="e">
        <f t="shared" si="12"/>
        <v>#DIV/0!</v>
      </c>
    </row>
    <row r="24" spans="2:18" ht="14.4">
      <c r="B24" s="471" t="str">
        <f>B12</f>
        <v>DC Compute Nodes</v>
      </c>
      <c r="C24" s="472"/>
      <c r="D24" s="472"/>
      <c r="E24" s="472"/>
      <c r="F24" s="473"/>
      <c r="G24" s="32">
        <f t="shared" ref="G24:R24" si="13">G12/G$14</f>
        <v>0.78807373277858861</v>
      </c>
      <c r="H24" s="32">
        <f t="shared" si="13"/>
        <v>0.88652003647220257</v>
      </c>
      <c r="I24" s="32" t="e">
        <f t="shared" si="13"/>
        <v>#DIV/0!</v>
      </c>
      <c r="J24" s="32" t="e">
        <f t="shared" si="13"/>
        <v>#DIV/0!</v>
      </c>
      <c r="K24" s="32" t="e">
        <f t="shared" si="13"/>
        <v>#DIV/0!</v>
      </c>
      <c r="L24" s="32" t="e">
        <f t="shared" si="13"/>
        <v>#DIV/0!</v>
      </c>
      <c r="M24" s="32" t="e">
        <f t="shared" si="13"/>
        <v>#DIV/0!</v>
      </c>
      <c r="N24" s="32" t="e">
        <f t="shared" si="13"/>
        <v>#DIV/0!</v>
      </c>
      <c r="O24" s="32" t="e">
        <f t="shared" si="13"/>
        <v>#DIV/0!</v>
      </c>
      <c r="P24" s="32" t="e">
        <f t="shared" si="13"/>
        <v>#DIV/0!</v>
      </c>
      <c r="Q24" s="32" t="e">
        <f t="shared" si="13"/>
        <v>#DIV/0!</v>
      </c>
      <c r="R24" s="32" t="e">
        <f t="shared" si="13"/>
        <v>#DIV/0!</v>
      </c>
    </row>
    <row r="25" spans="2:18" ht="14.4">
      <c r="B25" s="459" t="str">
        <f>B13</f>
        <v>Other</v>
      </c>
      <c r="C25" s="460"/>
      <c r="D25" s="460"/>
      <c r="E25" s="460"/>
      <c r="F25" s="461"/>
      <c r="G25" s="32">
        <f t="shared" ref="G25:R25" si="14">G13/G$14</f>
        <v>1.2329380600215926E-2</v>
      </c>
      <c r="H25" s="32">
        <f t="shared" si="14"/>
        <v>5.9011600389445619E-3</v>
      </c>
      <c r="I25" s="32" t="e">
        <f t="shared" si="14"/>
        <v>#DIV/0!</v>
      </c>
      <c r="J25" s="32" t="e">
        <f t="shared" si="14"/>
        <v>#DIV/0!</v>
      </c>
      <c r="K25" s="32" t="e">
        <f t="shared" si="14"/>
        <v>#DIV/0!</v>
      </c>
      <c r="L25" s="32" t="e">
        <f t="shared" si="14"/>
        <v>#DIV/0!</v>
      </c>
      <c r="M25" s="32" t="e">
        <f t="shared" si="14"/>
        <v>#DIV/0!</v>
      </c>
      <c r="N25" s="32" t="e">
        <f t="shared" si="14"/>
        <v>#DIV/0!</v>
      </c>
      <c r="O25" s="32" t="e">
        <f t="shared" si="14"/>
        <v>#DIV/0!</v>
      </c>
      <c r="P25" s="32" t="e">
        <f t="shared" si="14"/>
        <v>#DIV/0!</v>
      </c>
      <c r="Q25" s="32" t="e">
        <f t="shared" si="14"/>
        <v>#DIV/0!</v>
      </c>
      <c r="R25" s="32" t="e">
        <f t="shared" si="14"/>
        <v>#DIV/0!</v>
      </c>
    </row>
    <row r="26" spans="2:18" ht="14.4">
      <c r="B26" s="462" t="s">
        <v>13</v>
      </c>
      <c r="C26" s="463"/>
      <c r="D26" s="463"/>
      <c r="E26" s="463"/>
      <c r="F26" s="464"/>
      <c r="G26" s="33">
        <f t="shared" ref="G26:R26" si="15">SUM(G22:G25)</f>
        <v>0.99999999999999989</v>
      </c>
      <c r="H26" s="33">
        <f t="shared" si="15"/>
        <v>1</v>
      </c>
      <c r="I26" s="33" t="e">
        <f t="shared" si="15"/>
        <v>#DIV/0!</v>
      </c>
      <c r="J26" s="33" t="e">
        <f t="shared" si="15"/>
        <v>#DIV/0!</v>
      </c>
      <c r="K26" s="33" t="e">
        <f t="shared" si="15"/>
        <v>#DIV/0!</v>
      </c>
      <c r="L26" s="33" t="e">
        <f t="shared" si="15"/>
        <v>#DIV/0!</v>
      </c>
      <c r="M26" s="33" t="e">
        <f t="shared" si="15"/>
        <v>#DIV/0!</v>
      </c>
      <c r="N26" s="33" t="e">
        <f t="shared" si="15"/>
        <v>#DIV/0!</v>
      </c>
      <c r="O26" s="33" t="e">
        <f t="shared" si="15"/>
        <v>#DIV/0!</v>
      </c>
      <c r="P26" s="33" t="e">
        <f t="shared" si="15"/>
        <v>#DIV/0!</v>
      </c>
      <c r="Q26" s="33" t="e">
        <f t="shared" si="15"/>
        <v>#DIV/0!</v>
      </c>
      <c r="R26" s="33" t="e">
        <f t="shared" si="15"/>
        <v>#DIV/0!</v>
      </c>
    </row>
    <row r="27" spans="2:18" ht="13.8">
      <c r="B27" s="251"/>
      <c r="C27" s="251"/>
      <c r="F27"/>
    </row>
    <row r="28" spans="2:18" s="8" customFormat="1" ht="14.4">
      <c r="B28" s="28"/>
      <c r="C28" s="28"/>
      <c r="D28" s="28"/>
      <c r="E28" s="28"/>
      <c r="F28" s="409"/>
    </row>
    <row r="29" spans="2:18" s="8" customFormat="1" ht="14.4">
      <c r="B29" s="465" t="s">
        <v>124</v>
      </c>
      <c r="C29" s="466"/>
      <c r="D29" s="466"/>
      <c r="E29" s="466"/>
      <c r="F29" s="467"/>
      <c r="G29" s="378">
        <v>2016</v>
      </c>
      <c r="H29" s="378">
        <v>2017</v>
      </c>
      <c r="I29" s="378">
        <v>2018</v>
      </c>
      <c r="J29" s="378">
        <v>2019</v>
      </c>
      <c r="K29" s="378">
        <v>2020</v>
      </c>
      <c r="L29" s="378">
        <v>2021</v>
      </c>
      <c r="M29" s="378">
        <v>2022</v>
      </c>
      <c r="N29" s="378">
        <v>2023</v>
      </c>
      <c r="O29" s="378">
        <v>2024</v>
      </c>
      <c r="P29" s="378">
        <v>2025</v>
      </c>
      <c r="Q29" s="378">
        <v>2026</v>
      </c>
      <c r="R29" s="378">
        <v>2027</v>
      </c>
    </row>
    <row r="30" spans="2:18" s="8" customFormat="1" ht="14.4">
      <c r="B30" s="468" t="str">
        <f>B10</f>
        <v>HPC &amp; AI Clusters</v>
      </c>
      <c r="C30" s="469"/>
      <c r="D30" s="469"/>
      <c r="E30" s="469"/>
      <c r="F30" s="470"/>
      <c r="G30" s="186">
        <f t="shared" ref="G30:R30" si="16">G144</f>
        <v>31686.577303786085</v>
      </c>
      <c r="H30" s="186">
        <f t="shared" si="16"/>
        <v>49766.52499512909</v>
      </c>
      <c r="I30" s="186">
        <f t="shared" si="16"/>
        <v>0</v>
      </c>
      <c r="J30" s="186">
        <f t="shared" si="16"/>
        <v>0</v>
      </c>
      <c r="K30" s="186">
        <f t="shared" si="16"/>
        <v>0</v>
      </c>
      <c r="L30" s="186">
        <f t="shared" si="16"/>
        <v>0</v>
      </c>
      <c r="M30" s="186">
        <f t="shared" si="16"/>
        <v>0</v>
      </c>
      <c r="N30" s="186">
        <f t="shared" si="16"/>
        <v>0</v>
      </c>
      <c r="O30" s="186">
        <f t="shared" si="16"/>
        <v>0</v>
      </c>
      <c r="P30" s="186">
        <f t="shared" si="16"/>
        <v>0</v>
      </c>
      <c r="Q30" s="186">
        <f t="shared" si="16"/>
        <v>0</v>
      </c>
      <c r="R30" s="186">
        <f t="shared" si="16"/>
        <v>0</v>
      </c>
    </row>
    <row r="31" spans="2:18" s="8" customFormat="1" ht="14.4">
      <c r="B31" s="471" t="str">
        <f>B11</f>
        <v>Core Routing</v>
      </c>
      <c r="C31" s="472"/>
      <c r="D31" s="472"/>
      <c r="E31" s="472"/>
      <c r="F31" s="473"/>
      <c r="G31" s="42">
        <f t="shared" ref="G31:R31" si="17">G206</f>
        <v>25113.422696213915</v>
      </c>
      <c r="H31" s="42">
        <f t="shared" si="17"/>
        <v>23342.155004870921</v>
      </c>
      <c r="I31" s="42">
        <f t="shared" si="17"/>
        <v>0</v>
      </c>
      <c r="J31" s="42">
        <f t="shared" si="17"/>
        <v>0</v>
      </c>
      <c r="K31" s="42">
        <f t="shared" si="17"/>
        <v>0</v>
      </c>
      <c r="L31" s="42">
        <f t="shared" si="17"/>
        <v>0</v>
      </c>
      <c r="M31" s="42">
        <f t="shared" si="17"/>
        <v>0</v>
      </c>
      <c r="N31" s="42">
        <f t="shared" si="17"/>
        <v>0</v>
      </c>
      <c r="O31" s="42">
        <f t="shared" si="17"/>
        <v>0</v>
      </c>
      <c r="P31" s="42">
        <f t="shared" si="17"/>
        <v>0</v>
      </c>
      <c r="Q31" s="42">
        <f t="shared" si="17"/>
        <v>0</v>
      </c>
      <c r="R31" s="42">
        <f t="shared" si="17"/>
        <v>0</v>
      </c>
    </row>
    <row r="32" spans="2:18" s="8" customFormat="1" ht="14.4">
      <c r="B32" s="471" t="str">
        <f>B12</f>
        <v>DC Compute Nodes</v>
      </c>
      <c r="C32" s="472"/>
      <c r="D32" s="472"/>
      <c r="E32" s="472"/>
      <c r="F32" s="473"/>
      <c r="G32" s="42">
        <f>G331</f>
        <v>21200</v>
      </c>
      <c r="H32" s="42">
        <f t="shared" ref="H32:P32" si="18">H331</f>
        <v>59045.499999999985</v>
      </c>
      <c r="I32" s="42">
        <f t="shared" si="18"/>
        <v>0</v>
      </c>
      <c r="J32" s="42">
        <f t="shared" si="18"/>
        <v>0</v>
      </c>
      <c r="K32" s="42">
        <f t="shared" si="18"/>
        <v>0</v>
      </c>
      <c r="L32" s="42">
        <f t="shared" si="18"/>
        <v>0</v>
      </c>
      <c r="M32" s="42">
        <f t="shared" si="18"/>
        <v>0</v>
      </c>
      <c r="N32" s="42">
        <f t="shared" si="18"/>
        <v>0</v>
      </c>
      <c r="O32" s="42">
        <f t="shared" si="18"/>
        <v>0</v>
      </c>
      <c r="P32" s="42">
        <f t="shared" si="18"/>
        <v>0</v>
      </c>
      <c r="Q32" s="42">
        <f>Q331</f>
        <v>0</v>
      </c>
      <c r="R32" s="42">
        <f>R331</f>
        <v>0</v>
      </c>
    </row>
    <row r="33" spans="2:18" s="8" customFormat="1" ht="14.4">
      <c r="B33" s="474" t="str">
        <f>B13</f>
        <v>Other</v>
      </c>
      <c r="C33" s="460"/>
      <c r="D33" s="460"/>
      <c r="E33" s="460"/>
      <c r="F33" s="461"/>
      <c r="G33" s="42">
        <f>G268</f>
        <v>0</v>
      </c>
      <c r="H33" s="42">
        <f t="shared" ref="H33:P33" si="19">H268</f>
        <v>2361.8200000000052</v>
      </c>
      <c r="I33" s="42">
        <f t="shared" si="19"/>
        <v>0</v>
      </c>
      <c r="J33" s="42">
        <f t="shared" si="19"/>
        <v>0</v>
      </c>
      <c r="K33" s="42">
        <f t="shared" si="19"/>
        <v>0</v>
      </c>
      <c r="L33" s="42">
        <f t="shared" si="19"/>
        <v>0</v>
      </c>
      <c r="M33" s="42">
        <f t="shared" si="19"/>
        <v>0</v>
      </c>
      <c r="N33" s="42">
        <f t="shared" si="19"/>
        <v>0</v>
      </c>
      <c r="O33" s="42">
        <f t="shared" si="19"/>
        <v>0</v>
      </c>
      <c r="P33" s="42">
        <f t="shared" si="19"/>
        <v>0</v>
      </c>
      <c r="Q33" s="42">
        <f>Q268</f>
        <v>0</v>
      </c>
      <c r="R33" s="42">
        <f>R268</f>
        <v>0</v>
      </c>
    </row>
    <row r="34" spans="2:18" s="8" customFormat="1" ht="14.4">
      <c r="B34" s="462" t="s">
        <v>13</v>
      </c>
      <c r="C34" s="463"/>
      <c r="D34" s="463"/>
      <c r="E34" s="463"/>
      <c r="F34" s="464"/>
      <c r="G34" s="36">
        <f t="shared" ref="G34:R34" si="20">SUM(G30:G33)</f>
        <v>78000</v>
      </c>
      <c r="H34" s="36">
        <f t="shared" si="20"/>
        <v>134516</v>
      </c>
      <c r="I34" s="36">
        <f t="shared" si="20"/>
        <v>0</v>
      </c>
      <c r="J34" s="36">
        <f t="shared" si="20"/>
        <v>0</v>
      </c>
      <c r="K34" s="36">
        <f t="shared" si="20"/>
        <v>0</v>
      </c>
      <c r="L34" s="36">
        <f t="shared" si="20"/>
        <v>0</v>
      </c>
      <c r="M34" s="36">
        <f t="shared" si="20"/>
        <v>0</v>
      </c>
      <c r="N34" s="36">
        <f t="shared" si="20"/>
        <v>0</v>
      </c>
      <c r="O34" s="36">
        <f t="shared" si="20"/>
        <v>0</v>
      </c>
      <c r="P34" s="36">
        <f t="shared" si="20"/>
        <v>0</v>
      </c>
      <c r="Q34" s="36">
        <f t="shared" si="20"/>
        <v>0</v>
      </c>
      <c r="R34" s="36">
        <f t="shared" si="20"/>
        <v>0</v>
      </c>
    </row>
    <row r="35" spans="2:18" s="8" customFormat="1" ht="14.4">
      <c r="B35" s="465" t="s">
        <v>92</v>
      </c>
      <c r="C35" s="466"/>
      <c r="D35" s="466"/>
      <c r="E35" s="466"/>
      <c r="F35" s="467"/>
      <c r="G35" s="379">
        <v>2016</v>
      </c>
      <c r="H35" s="379">
        <v>2017</v>
      </c>
      <c r="I35" s="379">
        <v>2018</v>
      </c>
      <c r="J35" s="379">
        <v>2019</v>
      </c>
      <c r="K35" s="379">
        <v>2020</v>
      </c>
      <c r="L35" s="379">
        <v>2021</v>
      </c>
      <c r="M35" s="379">
        <v>2022</v>
      </c>
      <c r="N35" s="379">
        <v>2023</v>
      </c>
      <c r="O35" s="379">
        <v>2024</v>
      </c>
      <c r="P35" s="379">
        <v>2025</v>
      </c>
      <c r="Q35" s="379">
        <v>2026</v>
      </c>
      <c r="R35" s="379">
        <v>2027</v>
      </c>
    </row>
    <row r="36" spans="2:18" s="8" customFormat="1" ht="14.4">
      <c r="B36" s="468" t="str">
        <f>B30</f>
        <v>HPC &amp; AI Clusters</v>
      </c>
      <c r="C36" s="469"/>
      <c r="D36" s="469"/>
      <c r="E36" s="469"/>
      <c r="F36" s="470"/>
      <c r="G36" s="34"/>
      <c r="H36" s="34"/>
      <c r="I36" s="34"/>
      <c r="J36" s="34" t="str">
        <f t="shared" ref="J36:R36" si="21">IF(I30=0,"",(J30/I30)-1)</f>
        <v/>
      </c>
      <c r="K36" s="34" t="str">
        <f t="shared" si="21"/>
        <v/>
      </c>
      <c r="L36" s="34" t="str">
        <f t="shared" si="21"/>
        <v/>
      </c>
      <c r="M36" s="34" t="str">
        <f t="shared" si="21"/>
        <v/>
      </c>
      <c r="N36" s="34" t="str">
        <f t="shared" si="21"/>
        <v/>
      </c>
      <c r="O36" s="34" t="str">
        <f t="shared" si="21"/>
        <v/>
      </c>
      <c r="P36" s="34" t="str">
        <f t="shared" si="21"/>
        <v/>
      </c>
      <c r="Q36" s="34" t="str">
        <f t="shared" si="21"/>
        <v/>
      </c>
      <c r="R36" s="34" t="str">
        <f t="shared" si="21"/>
        <v/>
      </c>
    </row>
    <row r="37" spans="2:18" s="8" customFormat="1" ht="14.4">
      <c r="B37" s="471" t="str">
        <f>B31</f>
        <v>Core Routing</v>
      </c>
      <c r="C37" s="472"/>
      <c r="D37" s="472"/>
      <c r="E37" s="472"/>
      <c r="F37" s="473"/>
      <c r="G37" s="32"/>
      <c r="H37" s="32"/>
      <c r="I37" s="32"/>
      <c r="J37" s="32" t="str">
        <f t="shared" ref="J37:R37" si="22">IF(I31=0,"",(J31/I31)-1)</f>
        <v/>
      </c>
      <c r="K37" s="32" t="str">
        <f t="shared" si="22"/>
        <v/>
      </c>
      <c r="L37" s="32" t="str">
        <f t="shared" si="22"/>
        <v/>
      </c>
      <c r="M37" s="32" t="str">
        <f t="shared" si="22"/>
        <v/>
      </c>
      <c r="N37" s="32" t="str">
        <f t="shared" si="22"/>
        <v/>
      </c>
      <c r="O37" s="32" t="str">
        <f t="shared" si="22"/>
        <v/>
      </c>
      <c r="P37" s="32" t="str">
        <f t="shared" si="22"/>
        <v/>
      </c>
      <c r="Q37" s="32" t="str">
        <f t="shared" si="22"/>
        <v/>
      </c>
      <c r="R37" s="32" t="str">
        <f t="shared" si="22"/>
        <v/>
      </c>
    </row>
    <row r="38" spans="2:18" s="8" customFormat="1" ht="14.4">
      <c r="B38" s="471" t="str">
        <f>B32</f>
        <v>DC Compute Nodes</v>
      </c>
      <c r="C38" s="472"/>
      <c r="D38" s="472"/>
      <c r="E38" s="472"/>
      <c r="F38" s="473"/>
      <c r="G38" s="32"/>
      <c r="H38" s="32"/>
      <c r="I38" s="32"/>
      <c r="J38" s="32" t="str">
        <f t="shared" ref="J38:R38" si="23">IF(I32=0,"",(J32/I32)-1)</f>
        <v/>
      </c>
      <c r="K38" s="32" t="str">
        <f t="shared" si="23"/>
        <v/>
      </c>
      <c r="L38" s="32" t="str">
        <f t="shared" si="23"/>
        <v/>
      </c>
      <c r="M38" s="32" t="str">
        <f t="shared" si="23"/>
        <v/>
      </c>
      <c r="N38" s="32" t="str">
        <f t="shared" si="23"/>
        <v/>
      </c>
      <c r="O38" s="32" t="str">
        <f t="shared" si="23"/>
        <v/>
      </c>
      <c r="P38" s="32" t="str">
        <f t="shared" si="23"/>
        <v/>
      </c>
      <c r="Q38" s="32" t="str">
        <f t="shared" si="23"/>
        <v/>
      </c>
      <c r="R38" s="32" t="str">
        <f t="shared" si="23"/>
        <v/>
      </c>
    </row>
    <row r="39" spans="2:18" s="8" customFormat="1" ht="13.5" customHeight="1">
      <c r="B39" s="459" t="str">
        <f>B33</f>
        <v>Other</v>
      </c>
      <c r="C39" s="460"/>
      <c r="D39" s="460"/>
      <c r="E39" s="460"/>
      <c r="F39" s="461"/>
      <c r="G39" s="32"/>
      <c r="H39" s="32"/>
      <c r="I39" s="32"/>
      <c r="J39" s="32" t="str">
        <f t="shared" ref="J39:R39" si="24">IF(I33=0,"",(J33/I33)-1)</f>
        <v/>
      </c>
      <c r="K39" s="32" t="str">
        <f t="shared" si="24"/>
        <v/>
      </c>
      <c r="L39" s="32" t="str">
        <f t="shared" si="24"/>
        <v/>
      </c>
      <c r="M39" s="32" t="str">
        <f t="shared" si="24"/>
        <v/>
      </c>
      <c r="N39" s="32" t="str">
        <f t="shared" si="24"/>
        <v/>
      </c>
      <c r="O39" s="32" t="str">
        <f t="shared" si="24"/>
        <v/>
      </c>
      <c r="P39" s="32" t="str">
        <f t="shared" si="24"/>
        <v/>
      </c>
      <c r="Q39" s="32" t="str">
        <f t="shared" si="24"/>
        <v/>
      </c>
      <c r="R39" s="32" t="str">
        <f t="shared" si="24"/>
        <v/>
      </c>
    </row>
    <row r="40" spans="2:18" s="8" customFormat="1" ht="14.4">
      <c r="B40" s="462" t="s">
        <v>13</v>
      </c>
      <c r="C40" s="463"/>
      <c r="D40" s="463"/>
      <c r="E40" s="463"/>
      <c r="F40" s="464"/>
      <c r="G40" s="153"/>
      <c r="H40" s="153"/>
      <c r="I40" s="153"/>
      <c r="J40" s="153" t="str">
        <f t="shared" ref="J40:R40" si="25">IF(I34=0,"",(J34/I34)-1)</f>
        <v/>
      </c>
      <c r="K40" s="153" t="str">
        <f t="shared" si="25"/>
        <v/>
      </c>
      <c r="L40" s="153" t="str">
        <f t="shared" si="25"/>
        <v/>
      </c>
      <c r="M40" s="153" t="str">
        <f t="shared" si="25"/>
        <v/>
      </c>
      <c r="N40" s="153" t="str">
        <f t="shared" si="25"/>
        <v/>
      </c>
      <c r="O40" s="153" t="str">
        <f t="shared" si="25"/>
        <v/>
      </c>
      <c r="P40" s="153" t="str">
        <f t="shared" si="25"/>
        <v/>
      </c>
      <c r="Q40" s="153" t="str">
        <f t="shared" si="25"/>
        <v/>
      </c>
      <c r="R40" s="153" t="str">
        <f t="shared" si="25"/>
        <v/>
      </c>
    </row>
    <row r="41" spans="2:18" ht="14.4">
      <c r="B41" s="465" t="s">
        <v>93</v>
      </c>
      <c r="C41" s="466"/>
      <c r="D41" s="466"/>
      <c r="E41" s="466"/>
      <c r="F41" s="467"/>
      <c r="G41" s="378">
        <v>2016</v>
      </c>
      <c r="H41" s="378">
        <v>2017</v>
      </c>
      <c r="I41" s="378">
        <v>2018</v>
      </c>
      <c r="J41" s="378">
        <v>2019</v>
      </c>
      <c r="K41" s="378">
        <v>2020</v>
      </c>
      <c r="L41" s="378">
        <v>2021</v>
      </c>
      <c r="M41" s="378">
        <v>2022</v>
      </c>
      <c r="N41" s="378">
        <v>2023</v>
      </c>
      <c r="O41" s="378">
        <v>2024</v>
      </c>
      <c r="P41" s="378">
        <v>2025</v>
      </c>
      <c r="Q41" s="378">
        <v>2026</v>
      </c>
      <c r="R41" s="378">
        <v>2027</v>
      </c>
    </row>
    <row r="42" spans="2:18" ht="14.4">
      <c r="B42" s="468" t="str">
        <f>B30</f>
        <v>HPC &amp; AI Clusters</v>
      </c>
      <c r="C42" s="469"/>
      <c r="D42" s="469"/>
      <c r="E42" s="469"/>
      <c r="F42" s="470"/>
      <c r="G42" s="34">
        <f>G30/G$34</f>
        <v>0.40623817056136008</v>
      </c>
      <c r="H42" s="34">
        <f t="shared" ref="H42:R42" si="26">H30/H$34</f>
        <v>0.36996732727057813</v>
      </c>
      <c r="I42" s="34" t="e">
        <f t="shared" si="26"/>
        <v>#DIV/0!</v>
      </c>
      <c r="J42" s="34" t="e">
        <f t="shared" si="26"/>
        <v>#DIV/0!</v>
      </c>
      <c r="K42" s="34" t="e">
        <f t="shared" si="26"/>
        <v>#DIV/0!</v>
      </c>
      <c r="L42" s="34" t="e">
        <f t="shared" si="26"/>
        <v>#DIV/0!</v>
      </c>
      <c r="M42" s="34" t="e">
        <f t="shared" si="26"/>
        <v>#DIV/0!</v>
      </c>
      <c r="N42" s="34" t="e">
        <f t="shared" si="26"/>
        <v>#DIV/0!</v>
      </c>
      <c r="O42" s="34" t="e">
        <f t="shared" si="26"/>
        <v>#DIV/0!</v>
      </c>
      <c r="P42" s="34" t="e">
        <f t="shared" si="26"/>
        <v>#DIV/0!</v>
      </c>
      <c r="Q42" s="34" t="e">
        <f t="shared" si="26"/>
        <v>#DIV/0!</v>
      </c>
      <c r="R42" s="34" t="e">
        <f t="shared" si="26"/>
        <v>#DIV/0!</v>
      </c>
    </row>
    <row r="43" spans="2:18" ht="14.4">
      <c r="B43" s="471" t="str">
        <f>B31</f>
        <v>Core Routing</v>
      </c>
      <c r="C43" s="472"/>
      <c r="D43" s="472"/>
      <c r="E43" s="472"/>
      <c r="F43" s="473"/>
      <c r="G43" s="32">
        <f t="shared" ref="G43:R45" si="27">G31/G$34</f>
        <v>0.32196695764376815</v>
      </c>
      <c r="H43" s="32">
        <f t="shared" si="27"/>
        <v>0.17352697823954713</v>
      </c>
      <c r="I43" s="32" t="e">
        <f t="shared" si="27"/>
        <v>#DIV/0!</v>
      </c>
      <c r="J43" s="32" t="e">
        <f t="shared" si="27"/>
        <v>#DIV/0!</v>
      </c>
      <c r="K43" s="32" t="e">
        <f t="shared" si="27"/>
        <v>#DIV/0!</v>
      </c>
      <c r="L43" s="32" t="e">
        <f t="shared" si="27"/>
        <v>#DIV/0!</v>
      </c>
      <c r="M43" s="32" t="e">
        <f t="shared" si="27"/>
        <v>#DIV/0!</v>
      </c>
      <c r="N43" s="32" t="e">
        <f t="shared" si="27"/>
        <v>#DIV/0!</v>
      </c>
      <c r="O43" s="32" t="e">
        <f t="shared" si="27"/>
        <v>#DIV/0!</v>
      </c>
      <c r="P43" s="32" t="e">
        <f t="shared" si="27"/>
        <v>#DIV/0!</v>
      </c>
      <c r="Q43" s="32" t="e">
        <f t="shared" si="27"/>
        <v>#DIV/0!</v>
      </c>
      <c r="R43" s="32" t="e">
        <f t="shared" si="27"/>
        <v>#DIV/0!</v>
      </c>
    </row>
    <row r="44" spans="2:18" ht="14.4">
      <c r="B44" s="471" t="str">
        <f>B32</f>
        <v>DC Compute Nodes</v>
      </c>
      <c r="C44" s="472"/>
      <c r="D44" s="472"/>
      <c r="E44" s="472"/>
      <c r="F44" s="473"/>
      <c r="G44" s="32">
        <f t="shared" si="27"/>
        <v>0.27179487179487177</v>
      </c>
      <c r="H44" s="32">
        <f t="shared" si="27"/>
        <v>0.43894778316334104</v>
      </c>
      <c r="I44" s="32" t="e">
        <f t="shared" si="27"/>
        <v>#DIV/0!</v>
      </c>
      <c r="J44" s="32" t="e">
        <f t="shared" si="27"/>
        <v>#DIV/0!</v>
      </c>
      <c r="K44" s="32" t="e">
        <f t="shared" si="27"/>
        <v>#DIV/0!</v>
      </c>
      <c r="L44" s="32" t="e">
        <f t="shared" si="27"/>
        <v>#DIV/0!</v>
      </c>
      <c r="M44" s="32" t="e">
        <f t="shared" si="27"/>
        <v>#DIV/0!</v>
      </c>
      <c r="N44" s="32" t="e">
        <f t="shared" si="27"/>
        <v>#DIV/0!</v>
      </c>
      <c r="O44" s="32" t="e">
        <f t="shared" si="27"/>
        <v>#DIV/0!</v>
      </c>
      <c r="P44" s="32" t="e">
        <f t="shared" si="27"/>
        <v>#DIV/0!</v>
      </c>
      <c r="Q44" s="32" t="e">
        <f t="shared" si="27"/>
        <v>#DIV/0!</v>
      </c>
      <c r="R44" s="32" t="e">
        <f t="shared" si="27"/>
        <v>#DIV/0!</v>
      </c>
    </row>
    <row r="45" spans="2:18" ht="14.4">
      <c r="B45" s="459" t="str">
        <f>B33</f>
        <v>Other</v>
      </c>
      <c r="C45" s="460"/>
      <c r="D45" s="460"/>
      <c r="E45" s="460"/>
      <c r="F45" s="461"/>
      <c r="G45" s="32">
        <f t="shared" si="27"/>
        <v>0</v>
      </c>
      <c r="H45" s="32">
        <f t="shared" si="27"/>
        <v>1.7557911326533684E-2</v>
      </c>
      <c r="I45" s="32" t="e">
        <f t="shared" si="27"/>
        <v>#DIV/0!</v>
      </c>
      <c r="J45" s="32" t="e">
        <f t="shared" si="27"/>
        <v>#DIV/0!</v>
      </c>
      <c r="K45" s="32" t="e">
        <f t="shared" si="27"/>
        <v>#DIV/0!</v>
      </c>
      <c r="L45" s="32" t="e">
        <f t="shared" si="27"/>
        <v>#DIV/0!</v>
      </c>
      <c r="M45" s="32" t="e">
        <f t="shared" si="27"/>
        <v>#DIV/0!</v>
      </c>
      <c r="N45" s="32" t="e">
        <f t="shared" si="27"/>
        <v>#DIV/0!</v>
      </c>
      <c r="O45" s="32" t="e">
        <f t="shared" si="27"/>
        <v>#DIV/0!</v>
      </c>
      <c r="P45" s="32" t="e">
        <f t="shared" si="27"/>
        <v>#DIV/0!</v>
      </c>
      <c r="Q45" s="32" t="e">
        <f t="shared" si="27"/>
        <v>#DIV/0!</v>
      </c>
      <c r="R45" s="32" t="e">
        <f t="shared" si="27"/>
        <v>#DIV/0!</v>
      </c>
    </row>
    <row r="46" spans="2:18" ht="14.4">
      <c r="B46" s="462" t="s">
        <v>13</v>
      </c>
      <c r="C46" s="463"/>
      <c r="D46" s="463"/>
      <c r="E46" s="463"/>
      <c r="F46" s="464"/>
      <c r="G46" s="33">
        <f t="shared" ref="G46:R46" si="28">SUM(G42:G45)</f>
        <v>1</v>
      </c>
      <c r="H46" s="33">
        <f t="shared" si="28"/>
        <v>1</v>
      </c>
      <c r="I46" s="33" t="e">
        <f t="shared" si="28"/>
        <v>#DIV/0!</v>
      </c>
      <c r="J46" s="33" t="e">
        <f t="shared" si="28"/>
        <v>#DIV/0!</v>
      </c>
      <c r="K46" s="33" t="e">
        <f t="shared" si="28"/>
        <v>#DIV/0!</v>
      </c>
      <c r="L46" s="33" t="e">
        <f t="shared" si="28"/>
        <v>#DIV/0!</v>
      </c>
      <c r="M46" s="33" t="e">
        <f t="shared" si="28"/>
        <v>#DIV/0!</v>
      </c>
      <c r="N46" s="33" t="e">
        <f t="shared" si="28"/>
        <v>#DIV/0!</v>
      </c>
      <c r="O46" s="33" t="e">
        <f t="shared" si="28"/>
        <v>#DIV/0!</v>
      </c>
      <c r="P46" s="33" t="e">
        <f t="shared" si="28"/>
        <v>#DIV/0!</v>
      </c>
      <c r="Q46" s="33" t="e">
        <f t="shared" si="28"/>
        <v>#DIV/0!</v>
      </c>
      <c r="R46" s="33" t="e">
        <f t="shared" si="28"/>
        <v>#DIV/0!</v>
      </c>
    </row>
    <row r="47" spans="2:18" ht="14.4">
      <c r="B47" s="257"/>
      <c r="C47" s="257"/>
      <c r="D47" s="257"/>
      <c r="E47" s="257"/>
      <c r="F47" s="257"/>
      <c r="G47" s="257"/>
      <c r="H47" s="257"/>
      <c r="I47" s="257"/>
      <c r="J47" s="257"/>
      <c r="K47" s="257"/>
      <c r="L47" s="257"/>
      <c r="M47" s="257"/>
      <c r="N47" s="257"/>
      <c r="O47" s="257"/>
      <c r="P47" s="257"/>
      <c r="Q47" s="257"/>
      <c r="R47" s="257"/>
    </row>
    <row r="48" spans="2:18" ht="14.4">
      <c r="B48" s="258"/>
      <c r="C48" s="258"/>
      <c r="D48" s="258"/>
      <c r="E48" s="258"/>
      <c r="F48" s="250"/>
      <c r="G48" s="10"/>
      <c r="H48" s="10"/>
      <c r="I48" s="10"/>
      <c r="J48" s="10"/>
      <c r="K48" s="10"/>
      <c r="L48" s="10"/>
      <c r="M48" s="10"/>
      <c r="N48" s="10"/>
      <c r="O48" s="10"/>
      <c r="P48" s="10"/>
      <c r="Q48" s="10"/>
      <c r="R48" s="10"/>
    </row>
    <row r="49" spans="2:18" s="8" customFormat="1" ht="14.4">
      <c r="B49" s="465" t="s">
        <v>296</v>
      </c>
      <c r="C49" s="466"/>
      <c r="D49" s="466"/>
      <c r="E49" s="466"/>
      <c r="F49" s="467"/>
      <c r="G49" s="378">
        <v>2016</v>
      </c>
      <c r="H49" s="378">
        <v>2017</v>
      </c>
      <c r="I49" s="378">
        <v>2018</v>
      </c>
      <c r="J49" s="378">
        <v>2019</v>
      </c>
      <c r="K49" s="378">
        <v>2020</v>
      </c>
      <c r="L49" s="378">
        <v>2021</v>
      </c>
      <c r="M49" s="378">
        <v>2022</v>
      </c>
      <c r="N49" s="378">
        <v>2023</v>
      </c>
      <c r="O49" s="378">
        <v>2024</v>
      </c>
      <c r="P49" s="378">
        <v>2025</v>
      </c>
      <c r="Q49" s="378">
        <v>2026</v>
      </c>
      <c r="R49" s="378">
        <v>2027</v>
      </c>
    </row>
    <row r="50" spans="2:18" s="8" customFormat="1" ht="14.4">
      <c r="B50" s="468" t="str">
        <f>B10</f>
        <v>HPC &amp; AI Clusters</v>
      </c>
      <c r="C50" s="469"/>
      <c r="D50" s="469"/>
      <c r="E50" s="469"/>
      <c r="F50" s="470"/>
      <c r="G50" s="288">
        <f>SUM(G111:G124)</f>
        <v>0</v>
      </c>
      <c r="H50" s="186">
        <f t="shared" ref="H50:R50" si="29">SUM(H111:H124)</f>
        <v>0</v>
      </c>
      <c r="I50" s="186">
        <f t="shared" si="29"/>
        <v>0</v>
      </c>
      <c r="J50" s="186">
        <f t="shared" si="29"/>
        <v>0</v>
      </c>
      <c r="K50" s="186">
        <f t="shared" si="29"/>
        <v>0</v>
      </c>
      <c r="L50" s="186">
        <f t="shared" si="29"/>
        <v>0</v>
      </c>
      <c r="M50" s="186">
        <f t="shared" si="29"/>
        <v>0</v>
      </c>
      <c r="N50" s="186">
        <f t="shared" si="29"/>
        <v>0</v>
      </c>
      <c r="O50" s="186">
        <f t="shared" si="29"/>
        <v>0</v>
      </c>
      <c r="P50" s="186">
        <f t="shared" si="29"/>
        <v>0</v>
      </c>
      <c r="Q50" s="186">
        <f t="shared" si="29"/>
        <v>0</v>
      </c>
      <c r="R50" s="186">
        <f t="shared" si="29"/>
        <v>0</v>
      </c>
    </row>
    <row r="51" spans="2:18" s="8" customFormat="1" ht="14.4">
      <c r="B51" s="471" t="str">
        <f>B11</f>
        <v>Core Routing</v>
      </c>
      <c r="C51" s="472"/>
      <c r="D51" s="472"/>
      <c r="E51" s="472"/>
      <c r="F51" s="473"/>
      <c r="G51" s="289">
        <f>SUM(G173:G186)</f>
        <v>0</v>
      </c>
      <c r="H51" s="42">
        <f t="shared" ref="H51:R51" si="30">SUM(H173:H186)</f>
        <v>0</v>
      </c>
      <c r="I51" s="42">
        <f t="shared" si="30"/>
        <v>0</v>
      </c>
      <c r="J51" s="42">
        <f t="shared" si="30"/>
        <v>0</v>
      </c>
      <c r="K51" s="42">
        <f t="shared" si="30"/>
        <v>0</v>
      </c>
      <c r="L51" s="42">
        <f t="shared" si="30"/>
        <v>0</v>
      </c>
      <c r="M51" s="42">
        <f t="shared" si="30"/>
        <v>0</v>
      </c>
      <c r="N51" s="42">
        <f t="shared" si="30"/>
        <v>0</v>
      </c>
      <c r="O51" s="42">
        <f t="shared" si="30"/>
        <v>0</v>
      </c>
      <c r="P51" s="42">
        <f t="shared" si="30"/>
        <v>0</v>
      </c>
      <c r="Q51" s="42">
        <f t="shared" si="30"/>
        <v>0</v>
      </c>
      <c r="R51" s="42">
        <f t="shared" si="30"/>
        <v>0</v>
      </c>
    </row>
    <row r="52" spans="2:18" s="8" customFormat="1" ht="14.4">
      <c r="B52" s="471" t="str">
        <f>B12</f>
        <v>DC Compute Nodes</v>
      </c>
      <c r="C52" s="472"/>
      <c r="D52" s="472"/>
      <c r="E52" s="472"/>
      <c r="F52" s="473"/>
      <c r="G52" s="289">
        <f>SUM(G298:G311)</f>
        <v>0</v>
      </c>
      <c r="H52" s="42">
        <f t="shared" ref="H52:R52" si="31">SUM(H298:H311)</f>
        <v>0</v>
      </c>
      <c r="I52" s="42">
        <f t="shared" si="31"/>
        <v>0</v>
      </c>
      <c r="J52" s="42">
        <f t="shared" si="31"/>
        <v>0</v>
      </c>
      <c r="K52" s="42">
        <f t="shared" si="31"/>
        <v>0</v>
      </c>
      <c r="L52" s="42">
        <f t="shared" si="31"/>
        <v>0</v>
      </c>
      <c r="M52" s="42">
        <f t="shared" si="31"/>
        <v>0</v>
      </c>
      <c r="N52" s="42">
        <f t="shared" si="31"/>
        <v>0</v>
      </c>
      <c r="O52" s="42">
        <f t="shared" si="31"/>
        <v>0</v>
      </c>
      <c r="P52" s="42">
        <f t="shared" si="31"/>
        <v>0</v>
      </c>
      <c r="Q52" s="42">
        <f t="shared" si="31"/>
        <v>0</v>
      </c>
      <c r="R52" s="42">
        <f t="shared" si="31"/>
        <v>0</v>
      </c>
    </row>
    <row r="53" spans="2:18" s="8" customFormat="1" ht="14.4">
      <c r="B53" s="474" t="str">
        <f>B13</f>
        <v>Other</v>
      </c>
      <c r="C53" s="460"/>
      <c r="D53" s="460"/>
      <c r="E53" s="460"/>
      <c r="F53" s="461"/>
      <c r="G53" s="290">
        <f>SUM(G235:G248)</f>
        <v>0</v>
      </c>
      <c r="H53" s="43">
        <f t="shared" ref="H53:R53" si="32">SUM(H235:H248)</f>
        <v>0</v>
      </c>
      <c r="I53" s="43">
        <f t="shared" si="32"/>
        <v>0</v>
      </c>
      <c r="J53" s="43">
        <f t="shared" si="32"/>
        <v>0</v>
      </c>
      <c r="K53" s="43">
        <f t="shared" si="32"/>
        <v>0</v>
      </c>
      <c r="L53" s="43">
        <f t="shared" si="32"/>
        <v>0</v>
      </c>
      <c r="M53" s="43">
        <f t="shared" si="32"/>
        <v>0</v>
      </c>
      <c r="N53" s="43">
        <f t="shared" si="32"/>
        <v>0</v>
      </c>
      <c r="O53" s="43">
        <f t="shared" si="32"/>
        <v>0</v>
      </c>
      <c r="P53" s="43">
        <f t="shared" si="32"/>
        <v>0</v>
      </c>
      <c r="Q53" s="43">
        <f t="shared" si="32"/>
        <v>0</v>
      </c>
      <c r="R53" s="43">
        <f t="shared" si="32"/>
        <v>0</v>
      </c>
    </row>
    <row r="54" spans="2:18" s="8" customFormat="1" ht="14.4">
      <c r="B54" s="462" t="s">
        <v>13</v>
      </c>
      <c r="C54" s="463"/>
      <c r="D54" s="463"/>
      <c r="E54" s="463"/>
      <c r="F54" s="464"/>
      <c r="G54" s="36">
        <f t="shared" ref="G54:R54" si="33">SUM(G50:G53)</f>
        <v>0</v>
      </c>
      <c r="H54" s="36">
        <f t="shared" si="33"/>
        <v>0</v>
      </c>
      <c r="I54" s="36">
        <f t="shared" si="33"/>
        <v>0</v>
      </c>
      <c r="J54" s="36">
        <f t="shared" si="33"/>
        <v>0</v>
      </c>
      <c r="K54" s="36">
        <f t="shared" si="33"/>
        <v>0</v>
      </c>
      <c r="L54" s="36">
        <f t="shared" si="33"/>
        <v>0</v>
      </c>
      <c r="M54" s="36">
        <f t="shared" si="33"/>
        <v>0</v>
      </c>
      <c r="N54" s="36">
        <f t="shared" si="33"/>
        <v>0</v>
      </c>
      <c r="O54" s="36">
        <f t="shared" si="33"/>
        <v>0</v>
      </c>
      <c r="P54" s="36">
        <f t="shared" si="33"/>
        <v>0</v>
      </c>
      <c r="Q54" s="36">
        <f t="shared" si="33"/>
        <v>0</v>
      </c>
      <c r="R54" s="36">
        <f t="shared" si="33"/>
        <v>0</v>
      </c>
    </row>
    <row r="55" spans="2:18" s="8" customFormat="1" ht="14.4">
      <c r="B55" s="465" t="s">
        <v>206</v>
      </c>
      <c r="C55" s="466"/>
      <c r="D55" s="466"/>
      <c r="E55" s="466"/>
      <c r="F55" s="467"/>
      <c r="G55" s="379">
        <v>2016</v>
      </c>
      <c r="H55" s="379">
        <v>2017</v>
      </c>
      <c r="I55" s="379">
        <v>2018</v>
      </c>
      <c r="J55" s="379">
        <v>2019</v>
      </c>
      <c r="K55" s="379">
        <v>2020</v>
      </c>
      <c r="L55" s="379">
        <v>2021</v>
      </c>
      <c r="M55" s="379">
        <v>2022</v>
      </c>
      <c r="N55" s="379">
        <v>2023</v>
      </c>
      <c r="O55" s="379">
        <v>2024</v>
      </c>
      <c r="P55" s="379">
        <v>2025</v>
      </c>
      <c r="Q55" s="379">
        <v>2026</v>
      </c>
      <c r="R55" s="379">
        <v>2027</v>
      </c>
    </row>
    <row r="56" spans="2:18" s="8" customFormat="1" ht="14.4">
      <c r="B56" s="468" t="str">
        <f>B10</f>
        <v>HPC &amp; AI Clusters</v>
      </c>
      <c r="C56" s="469"/>
      <c r="D56" s="469"/>
      <c r="E56" s="469"/>
      <c r="F56" s="470"/>
      <c r="G56" s="34"/>
      <c r="H56" s="34" t="str">
        <f t="shared" ref="H56:R56" si="34">IF(G50=0,"",(H50/G50)-1)</f>
        <v/>
      </c>
      <c r="I56" s="34" t="str">
        <f t="shared" si="34"/>
        <v/>
      </c>
      <c r="J56" s="34" t="str">
        <f t="shared" si="34"/>
        <v/>
      </c>
      <c r="K56" s="34" t="str">
        <f t="shared" si="34"/>
        <v/>
      </c>
      <c r="L56" s="34" t="str">
        <f t="shared" si="34"/>
        <v/>
      </c>
      <c r="M56" s="34" t="str">
        <f t="shared" si="34"/>
        <v/>
      </c>
      <c r="N56" s="34" t="str">
        <f t="shared" si="34"/>
        <v/>
      </c>
      <c r="O56" s="34" t="str">
        <f t="shared" si="34"/>
        <v/>
      </c>
      <c r="P56" s="34" t="str">
        <f t="shared" si="34"/>
        <v/>
      </c>
      <c r="Q56" s="34" t="str">
        <f t="shared" si="34"/>
        <v/>
      </c>
      <c r="R56" s="34" t="str">
        <f t="shared" si="34"/>
        <v/>
      </c>
    </row>
    <row r="57" spans="2:18" s="8" customFormat="1" ht="14.4">
      <c r="B57" s="471" t="str">
        <f>B51</f>
        <v>Core Routing</v>
      </c>
      <c r="C57" s="472"/>
      <c r="D57" s="472"/>
      <c r="E57" s="472"/>
      <c r="F57" s="473"/>
      <c r="G57" s="32"/>
      <c r="H57" s="32" t="str">
        <f t="shared" ref="H57:R57" si="35">IF(G51=0,"",(H51/G51)-1)</f>
        <v/>
      </c>
      <c r="I57" s="32" t="str">
        <f t="shared" si="35"/>
        <v/>
      </c>
      <c r="J57" s="32" t="str">
        <f t="shared" si="35"/>
        <v/>
      </c>
      <c r="K57" s="32" t="str">
        <f t="shared" si="35"/>
        <v/>
      </c>
      <c r="L57" s="32" t="str">
        <f t="shared" si="35"/>
        <v/>
      </c>
      <c r="M57" s="32" t="str">
        <f t="shared" si="35"/>
        <v/>
      </c>
      <c r="N57" s="32" t="str">
        <f t="shared" si="35"/>
        <v/>
      </c>
      <c r="O57" s="32" t="str">
        <f t="shared" si="35"/>
        <v/>
      </c>
      <c r="P57" s="32" t="str">
        <f t="shared" si="35"/>
        <v/>
      </c>
      <c r="Q57" s="32" t="str">
        <f t="shared" si="35"/>
        <v/>
      </c>
      <c r="R57" s="32" t="str">
        <f t="shared" si="35"/>
        <v/>
      </c>
    </row>
    <row r="58" spans="2:18" s="8" customFormat="1" ht="14.4">
      <c r="B58" s="471" t="str">
        <f>B52</f>
        <v>DC Compute Nodes</v>
      </c>
      <c r="C58" s="472"/>
      <c r="D58" s="472"/>
      <c r="E58" s="472"/>
      <c r="F58" s="473"/>
      <c r="G58" s="32"/>
      <c r="H58" s="32" t="str">
        <f t="shared" ref="H58:R58" si="36">IF(G52=0,"",(H52/G52)-1)</f>
        <v/>
      </c>
      <c r="I58" s="32" t="str">
        <f t="shared" si="36"/>
        <v/>
      </c>
      <c r="J58" s="32" t="str">
        <f t="shared" si="36"/>
        <v/>
      </c>
      <c r="K58" s="32" t="str">
        <f t="shared" si="36"/>
        <v/>
      </c>
      <c r="L58" s="32" t="str">
        <f t="shared" si="36"/>
        <v/>
      </c>
      <c r="M58" s="32" t="str">
        <f t="shared" si="36"/>
        <v/>
      </c>
      <c r="N58" s="32" t="str">
        <f t="shared" si="36"/>
        <v/>
      </c>
      <c r="O58" s="32" t="str">
        <f t="shared" si="36"/>
        <v/>
      </c>
      <c r="P58" s="32" t="str">
        <f t="shared" si="36"/>
        <v/>
      </c>
      <c r="Q58" s="32" t="str">
        <f t="shared" si="36"/>
        <v/>
      </c>
      <c r="R58" s="32" t="str">
        <f t="shared" si="36"/>
        <v/>
      </c>
    </row>
    <row r="59" spans="2:18" s="8" customFormat="1" ht="13.5" customHeight="1">
      <c r="B59" s="459" t="str">
        <f>B53</f>
        <v>Other</v>
      </c>
      <c r="C59" s="460"/>
      <c r="D59" s="460"/>
      <c r="E59" s="460"/>
      <c r="F59" s="461"/>
      <c r="G59" s="32"/>
      <c r="H59" s="32" t="str">
        <f t="shared" ref="H59:R59" si="37">IF(G53=0,"",(H53/G53)-1)</f>
        <v/>
      </c>
      <c r="I59" s="32" t="str">
        <f t="shared" si="37"/>
        <v/>
      </c>
      <c r="J59" s="32" t="str">
        <f t="shared" si="37"/>
        <v/>
      </c>
      <c r="K59" s="32" t="str">
        <f t="shared" si="37"/>
        <v/>
      </c>
      <c r="L59" s="32" t="str">
        <f t="shared" si="37"/>
        <v/>
      </c>
      <c r="M59" s="32" t="str">
        <f t="shared" si="37"/>
        <v/>
      </c>
      <c r="N59" s="32" t="str">
        <f t="shared" si="37"/>
        <v/>
      </c>
      <c r="O59" s="32" t="str">
        <f t="shared" si="37"/>
        <v/>
      </c>
      <c r="P59" s="32" t="str">
        <f t="shared" si="37"/>
        <v/>
      </c>
      <c r="Q59" s="32" t="str">
        <f t="shared" si="37"/>
        <v/>
      </c>
      <c r="R59" s="32" t="str">
        <f t="shared" si="37"/>
        <v/>
      </c>
    </row>
    <row r="60" spans="2:18" s="8" customFormat="1" ht="14.4">
      <c r="B60" s="462" t="s">
        <v>13</v>
      </c>
      <c r="C60" s="463"/>
      <c r="D60" s="463"/>
      <c r="E60" s="463"/>
      <c r="F60" s="464"/>
      <c r="G60" s="153"/>
      <c r="H60" s="153" t="str">
        <f t="shared" ref="H60:R60" si="38">IF(G54=0,"",(H54/G54)-1)</f>
        <v/>
      </c>
      <c r="I60" s="153" t="str">
        <f t="shared" si="38"/>
        <v/>
      </c>
      <c r="J60" s="153" t="str">
        <f t="shared" si="38"/>
        <v/>
      </c>
      <c r="K60" s="153" t="str">
        <f t="shared" si="38"/>
        <v/>
      </c>
      <c r="L60" s="153" t="str">
        <f t="shared" si="38"/>
        <v/>
      </c>
      <c r="M60" s="153" t="str">
        <f t="shared" si="38"/>
        <v/>
      </c>
      <c r="N60" s="153" t="str">
        <f t="shared" si="38"/>
        <v/>
      </c>
      <c r="O60" s="153" t="str">
        <f t="shared" si="38"/>
        <v/>
      </c>
      <c r="P60" s="153" t="str">
        <f t="shared" si="38"/>
        <v/>
      </c>
      <c r="Q60" s="153" t="str">
        <f t="shared" si="38"/>
        <v/>
      </c>
      <c r="R60" s="153" t="str">
        <f t="shared" si="38"/>
        <v/>
      </c>
    </row>
    <row r="61" spans="2:18" ht="14.4">
      <c r="B61" s="465" t="s">
        <v>207</v>
      </c>
      <c r="C61" s="466"/>
      <c r="D61" s="466"/>
      <c r="E61" s="466"/>
      <c r="F61" s="467"/>
      <c r="G61" s="378">
        <v>2016</v>
      </c>
      <c r="H61" s="378">
        <v>2017</v>
      </c>
      <c r="I61" s="378">
        <v>2018</v>
      </c>
      <c r="J61" s="378">
        <v>2019</v>
      </c>
      <c r="K61" s="378">
        <v>2020</v>
      </c>
      <c r="L61" s="378">
        <v>2021</v>
      </c>
      <c r="M61" s="378">
        <v>2022</v>
      </c>
      <c r="N61" s="378">
        <v>2023</v>
      </c>
      <c r="O61" s="378">
        <v>2024</v>
      </c>
      <c r="P61" s="378">
        <v>2025</v>
      </c>
      <c r="Q61" s="378">
        <v>2026</v>
      </c>
      <c r="R61" s="378">
        <v>2027</v>
      </c>
    </row>
    <row r="62" spans="2:18" ht="14.4">
      <c r="B62" s="468" t="str">
        <f>B50</f>
        <v>HPC &amp; AI Clusters</v>
      </c>
      <c r="C62" s="469"/>
      <c r="D62" s="469"/>
      <c r="E62" s="469"/>
      <c r="F62" s="470"/>
      <c r="G62" s="34"/>
      <c r="H62" s="34"/>
      <c r="I62" s="34"/>
      <c r="J62" s="34"/>
      <c r="K62" s="34"/>
      <c r="L62" s="34"/>
      <c r="M62" s="34" t="e">
        <f t="shared" ref="M62:R62" si="39">M50/M$54</f>
        <v>#DIV/0!</v>
      </c>
      <c r="N62" s="34" t="e">
        <f t="shared" si="39"/>
        <v>#DIV/0!</v>
      </c>
      <c r="O62" s="34" t="e">
        <f t="shared" si="39"/>
        <v>#DIV/0!</v>
      </c>
      <c r="P62" s="34" t="e">
        <f t="shared" si="39"/>
        <v>#DIV/0!</v>
      </c>
      <c r="Q62" s="34" t="e">
        <f t="shared" si="39"/>
        <v>#DIV/0!</v>
      </c>
      <c r="R62" s="34" t="e">
        <f t="shared" si="39"/>
        <v>#DIV/0!</v>
      </c>
    </row>
    <row r="63" spans="2:18" ht="14.4">
      <c r="B63" s="471" t="str">
        <f>B51</f>
        <v>Core Routing</v>
      </c>
      <c r="C63" s="472"/>
      <c r="D63" s="472"/>
      <c r="E63" s="472"/>
      <c r="F63" s="473"/>
      <c r="G63" s="32"/>
      <c r="H63" s="32"/>
      <c r="I63" s="32"/>
      <c r="J63" s="32"/>
      <c r="K63" s="32"/>
      <c r="L63" s="32"/>
      <c r="M63" s="32" t="e">
        <f t="shared" ref="M63:R65" si="40">M51/M$54</f>
        <v>#DIV/0!</v>
      </c>
      <c r="N63" s="32" t="e">
        <f t="shared" si="40"/>
        <v>#DIV/0!</v>
      </c>
      <c r="O63" s="32" t="e">
        <f t="shared" si="40"/>
        <v>#DIV/0!</v>
      </c>
      <c r="P63" s="32" t="e">
        <f t="shared" si="40"/>
        <v>#DIV/0!</v>
      </c>
      <c r="Q63" s="32" t="e">
        <f t="shared" si="40"/>
        <v>#DIV/0!</v>
      </c>
      <c r="R63" s="32" t="e">
        <f t="shared" si="40"/>
        <v>#DIV/0!</v>
      </c>
    </row>
    <row r="64" spans="2:18" ht="14.4">
      <c r="B64" s="471" t="str">
        <f>B52</f>
        <v>DC Compute Nodes</v>
      </c>
      <c r="C64" s="472"/>
      <c r="D64" s="472"/>
      <c r="E64" s="472"/>
      <c r="F64" s="473"/>
      <c r="G64" s="32"/>
      <c r="H64" s="32"/>
      <c r="I64" s="32"/>
      <c r="J64" s="32"/>
      <c r="K64" s="32"/>
      <c r="L64" s="32"/>
      <c r="M64" s="32" t="e">
        <f t="shared" si="40"/>
        <v>#DIV/0!</v>
      </c>
      <c r="N64" s="32" t="e">
        <f t="shared" si="40"/>
        <v>#DIV/0!</v>
      </c>
      <c r="O64" s="32" t="e">
        <f t="shared" si="40"/>
        <v>#DIV/0!</v>
      </c>
      <c r="P64" s="32" t="e">
        <f t="shared" si="40"/>
        <v>#DIV/0!</v>
      </c>
      <c r="Q64" s="32" t="e">
        <f t="shared" si="40"/>
        <v>#DIV/0!</v>
      </c>
      <c r="R64" s="32" t="e">
        <f t="shared" si="40"/>
        <v>#DIV/0!</v>
      </c>
    </row>
    <row r="65" spans="2:19" ht="14.4">
      <c r="B65" s="459" t="str">
        <f>B53</f>
        <v>Other</v>
      </c>
      <c r="C65" s="460"/>
      <c r="D65" s="460"/>
      <c r="E65" s="460"/>
      <c r="F65" s="461"/>
      <c r="G65" s="32"/>
      <c r="H65" s="32"/>
      <c r="I65" s="32"/>
      <c r="J65" s="32"/>
      <c r="K65" s="32"/>
      <c r="L65" s="32"/>
      <c r="M65" s="32" t="e">
        <f t="shared" si="40"/>
        <v>#DIV/0!</v>
      </c>
      <c r="N65" s="32" t="e">
        <f t="shared" si="40"/>
        <v>#DIV/0!</v>
      </c>
      <c r="O65" s="32" t="e">
        <f t="shared" si="40"/>
        <v>#DIV/0!</v>
      </c>
      <c r="P65" s="32" t="e">
        <f t="shared" si="40"/>
        <v>#DIV/0!</v>
      </c>
      <c r="Q65" s="32" t="e">
        <f t="shared" si="40"/>
        <v>#DIV/0!</v>
      </c>
      <c r="R65" s="32" t="e">
        <f t="shared" si="40"/>
        <v>#DIV/0!</v>
      </c>
    </row>
    <row r="66" spans="2:19" ht="14.4">
      <c r="B66" s="462" t="s">
        <v>13</v>
      </c>
      <c r="C66" s="463"/>
      <c r="D66" s="463"/>
      <c r="E66" s="463"/>
      <c r="F66" s="464"/>
      <c r="G66" s="33"/>
      <c r="H66" s="33"/>
      <c r="I66" s="33"/>
      <c r="J66" s="33"/>
      <c r="K66" s="33"/>
      <c r="L66" s="33"/>
      <c r="M66" s="33" t="e">
        <f t="shared" ref="M66:R66" si="41">SUM(M62:M65)</f>
        <v>#DIV/0!</v>
      </c>
      <c r="N66" s="33" t="e">
        <f t="shared" si="41"/>
        <v>#DIV/0!</v>
      </c>
      <c r="O66" s="33" t="e">
        <f t="shared" si="41"/>
        <v>#DIV/0!</v>
      </c>
      <c r="P66" s="33" t="e">
        <f t="shared" si="41"/>
        <v>#DIV/0!</v>
      </c>
      <c r="Q66" s="33" t="e">
        <f t="shared" si="41"/>
        <v>#DIV/0!</v>
      </c>
      <c r="R66" s="33" t="e">
        <f t="shared" si="41"/>
        <v>#DIV/0!</v>
      </c>
    </row>
    <row r="67" spans="2:19" ht="13.8">
      <c r="B67" s="52"/>
      <c r="C67" s="52"/>
      <c r="D67" s="52"/>
      <c r="E67" s="52"/>
      <c r="F67"/>
    </row>
    <row r="68" spans="2:19" ht="14.4">
      <c r="B68" s="52"/>
      <c r="C68" s="52"/>
      <c r="D68" s="52"/>
      <c r="E68" s="52"/>
      <c r="F68" s="410"/>
      <c r="G68" s="185"/>
      <c r="H68" s="185"/>
      <c r="I68" s="185"/>
      <c r="J68" s="185"/>
      <c r="K68" s="185"/>
      <c r="L68" s="185"/>
      <c r="M68" s="185"/>
      <c r="N68" s="185"/>
      <c r="O68" s="185"/>
      <c r="P68" s="185"/>
      <c r="Q68" s="185"/>
      <c r="R68" s="185"/>
    </row>
    <row r="69" spans="2:19" s="8" customFormat="1" ht="14.4">
      <c r="B69" s="465" t="s">
        <v>229</v>
      </c>
      <c r="C69" s="466"/>
      <c r="D69" s="466"/>
      <c r="E69" s="466"/>
      <c r="F69" s="467"/>
      <c r="G69" s="378">
        <v>2016</v>
      </c>
      <c r="H69" s="378">
        <v>2017</v>
      </c>
      <c r="I69" s="378">
        <v>2018</v>
      </c>
      <c r="J69" s="378">
        <v>2019</v>
      </c>
      <c r="K69" s="378">
        <v>2020</v>
      </c>
      <c r="L69" s="378">
        <v>2021</v>
      </c>
      <c r="M69" s="378">
        <v>2022</v>
      </c>
      <c r="N69" s="378">
        <v>2023</v>
      </c>
      <c r="O69" s="378">
        <v>2024</v>
      </c>
      <c r="P69" s="378">
        <v>2025</v>
      </c>
      <c r="Q69" s="378">
        <v>2026</v>
      </c>
      <c r="R69" s="378">
        <v>2027</v>
      </c>
      <c r="S69"/>
    </row>
    <row r="70" spans="2:19" s="8" customFormat="1" ht="14.4">
      <c r="B70" s="468" t="str">
        <f>B10</f>
        <v>HPC &amp; AI Clusters</v>
      </c>
      <c r="C70" s="469"/>
      <c r="D70" s="469"/>
      <c r="E70" s="469"/>
      <c r="F70" s="470"/>
      <c r="G70" s="186">
        <f t="shared" ref="G70:P70" si="42">SUM(G125:G138)</f>
        <v>1519759.933796755</v>
      </c>
      <c r="H70" s="186">
        <f>SUM(H125:H138)</f>
        <v>1582667.3913198547</v>
      </c>
      <c r="I70" s="186">
        <f t="shared" si="42"/>
        <v>0</v>
      </c>
      <c r="J70" s="186">
        <f t="shared" si="42"/>
        <v>0</v>
      </c>
      <c r="K70" s="186">
        <f t="shared" si="42"/>
        <v>0</v>
      </c>
      <c r="L70" s="186">
        <f t="shared" si="42"/>
        <v>0</v>
      </c>
      <c r="M70" s="186">
        <f t="shared" si="42"/>
        <v>0</v>
      </c>
      <c r="N70" s="186">
        <f t="shared" si="42"/>
        <v>0</v>
      </c>
      <c r="O70" s="186">
        <f t="shared" si="42"/>
        <v>0</v>
      </c>
      <c r="P70" s="186">
        <f t="shared" si="42"/>
        <v>0</v>
      </c>
      <c r="Q70" s="186">
        <f>SUM(Q125:Q138)</f>
        <v>0</v>
      </c>
      <c r="R70" s="186">
        <f>SUM(R125:R138)</f>
        <v>0</v>
      </c>
      <c r="S70"/>
    </row>
    <row r="71" spans="2:19" s="8" customFormat="1" ht="14.4">
      <c r="B71" s="471" t="str">
        <f>B11</f>
        <v>Core Routing</v>
      </c>
      <c r="C71" s="472"/>
      <c r="D71" s="472"/>
      <c r="E71" s="472"/>
      <c r="F71" s="473"/>
      <c r="G71" s="42">
        <f t="shared" ref="G71:P71" si="43">SUM(G187:G200)</f>
        <v>2930.6041200000009</v>
      </c>
      <c r="H71" s="42">
        <f>SUM(H187:H200)</f>
        <v>10447.288650000002</v>
      </c>
      <c r="I71" s="42">
        <f t="shared" si="43"/>
        <v>0</v>
      </c>
      <c r="J71" s="42">
        <f t="shared" si="43"/>
        <v>0</v>
      </c>
      <c r="K71" s="42">
        <f t="shared" si="43"/>
        <v>0</v>
      </c>
      <c r="L71" s="42">
        <f t="shared" si="43"/>
        <v>0</v>
      </c>
      <c r="M71" s="42">
        <f t="shared" si="43"/>
        <v>0</v>
      </c>
      <c r="N71" s="42">
        <f t="shared" si="43"/>
        <v>0</v>
      </c>
      <c r="O71" s="42">
        <f t="shared" si="43"/>
        <v>0</v>
      </c>
      <c r="P71" s="42">
        <f t="shared" si="43"/>
        <v>0</v>
      </c>
      <c r="Q71" s="42">
        <f>SUM(Q187:Q200)</f>
        <v>0</v>
      </c>
      <c r="R71" s="42">
        <f>SUM(R187:R200)</f>
        <v>0</v>
      </c>
      <c r="S71"/>
    </row>
    <row r="72" spans="2:19" s="8" customFormat="1" ht="14.4">
      <c r="B72" s="471" t="str">
        <f>B12</f>
        <v>DC Compute Nodes</v>
      </c>
      <c r="C72" s="472"/>
      <c r="D72" s="472"/>
      <c r="E72" s="472"/>
      <c r="F72" s="473"/>
      <c r="G72" s="42">
        <f t="shared" ref="G72:P72" si="44">SUM(G312:G325)</f>
        <v>5638721.0905442871</v>
      </c>
      <c r="H72" s="42">
        <f>SUM(H312:H325)</f>
        <v>5669912.9457250005</v>
      </c>
      <c r="I72" s="42">
        <f t="shared" si="44"/>
        <v>0</v>
      </c>
      <c r="J72" s="42">
        <f t="shared" si="44"/>
        <v>0</v>
      </c>
      <c r="K72" s="42">
        <f t="shared" si="44"/>
        <v>0</v>
      </c>
      <c r="L72" s="42">
        <f t="shared" si="44"/>
        <v>0</v>
      </c>
      <c r="M72" s="42">
        <f t="shared" si="44"/>
        <v>0</v>
      </c>
      <c r="N72" s="42">
        <f t="shared" si="44"/>
        <v>0</v>
      </c>
      <c r="O72" s="42">
        <f t="shared" si="44"/>
        <v>0</v>
      </c>
      <c r="P72" s="42">
        <f t="shared" si="44"/>
        <v>0</v>
      </c>
      <c r="Q72" s="42">
        <f>SUM(Q312:Q325)</f>
        <v>0</v>
      </c>
      <c r="R72" s="42">
        <f>SUM(R312:R325)</f>
        <v>0</v>
      </c>
      <c r="S72"/>
    </row>
    <row r="73" spans="2:19" s="8" customFormat="1" ht="14.4">
      <c r="B73" s="474" t="str">
        <f>B13</f>
        <v>Other</v>
      </c>
      <c r="C73" s="460"/>
      <c r="D73" s="460"/>
      <c r="E73" s="460"/>
      <c r="F73" s="461"/>
      <c r="G73" s="42">
        <f t="shared" ref="G73:P73" si="45">SUM(G249:G262)</f>
        <v>489724.51287999988</v>
      </c>
      <c r="H73" s="42">
        <f>SUM(H249:H262)</f>
        <v>625732.46445000032</v>
      </c>
      <c r="I73" s="42">
        <f t="shared" si="45"/>
        <v>0</v>
      </c>
      <c r="J73" s="42">
        <f t="shared" si="45"/>
        <v>0</v>
      </c>
      <c r="K73" s="42">
        <f t="shared" si="45"/>
        <v>0</v>
      </c>
      <c r="L73" s="42">
        <f t="shared" si="45"/>
        <v>0</v>
      </c>
      <c r="M73" s="42">
        <f t="shared" si="45"/>
        <v>0</v>
      </c>
      <c r="N73" s="42">
        <f t="shared" si="45"/>
        <v>0</v>
      </c>
      <c r="O73" s="42">
        <f t="shared" si="45"/>
        <v>0</v>
      </c>
      <c r="P73" s="42">
        <f t="shared" si="45"/>
        <v>0</v>
      </c>
      <c r="Q73" s="42">
        <f>SUM(Q249:Q262)</f>
        <v>0</v>
      </c>
      <c r="R73" s="42">
        <f>SUM(R249:R262)</f>
        <v>0</v>
      </c>
    </row>
    <row r="74" spans="2:19" s="8" customFormat="1" ht="14.4">
      <c r="B74" s="462" t="s">
        <v>13</v>
      </c>
      <c r="C74" s="463"/>
      <c r="D74" s="463"/>
      <c r="E74" s="463"/>
      <c r="F74" s="464"/>
      <c r="G74" s="36">
        <f t="shared" ref="G74:R74" si="46">SUM(G70:G73)</f>
        <v>7651136.1413410427</v>
      </c>
      <c r="H74" s="36">
        <f t="shared" si="46"/>
        <v>7888760.0901448559</v>
      </c>
      <c r="I74" s="36">
        <f t="shared" si="46"/>
        <v>0</v>
      </c>
      <c r="J74" s="36">
        <f t="shared" si="46"/>
        <v>0</v>
      </c>
      <c r="K74" s="36">
        <f t="shared" si="46"/>
        <v>0</v>
      </c>
      <c r="L74" s="36">
        <f t="shared" si="46"/>
        <v>0</v>
      </c>
      <c r="M74" s="36">
        <f t="shared" si="46"/>
        <v>0</v>
      </c>
      <c r="N74" s="36">
        <f t="shared" si="46"/>
        <v>0</v>
      </c>
      <c r="O74" s="36">
        <f>SUM(O70:O73)</f>
        <v>0</v>
      </c>
      <c r="P74" s="36">
        <f t="shared" si="46"/>
        <v>0</v>
      </c>
      <c r="Q74" s="36">
        <f t="shared" si="46"/>
        <v>0</v>
      </c>
      <c r="R74" s="36">
        <f t="shared" si="46"/>
        <v>0</v>
      </c>
    </row>
    <row r="75" spans="2:19" s="8" customFormat="1" ht="14.4">
      <c r="B75" s="465" t="s">
        <v>230</v>
      </c>
      <c r="C75" s="466"/>
      <c r="D75" s="466"/>
      <c r="E75" s="466"/>
      <c r="F75" s="467"/>
      <c r="G75" s="379">
        <v>2016</v>
      </c>
      <c r="H75" s="379">
        <v>2017</v>
      </c>
      <c r="I75" s="379">
        <v>2018</v>
      </c>
      <c r="J75" s="379">
        <v>2019</v>
      </c>
      <c r="K75" s="379">
        <v>2020</v>
      </c>
      <c r="L75" s="379">
        <v>2021</v>
      </c>
      <c r="M75" s="379">
        <v>2022</v>
      </c>
      <c r="N75" s="379">
        <v>2023</v>
      </c>
      <c r="O75" s="379">
        <v>2024</v>
      </c>
      <c r="P75" s="379">
        <v>2025</v>
      </c>
      <c r="Q75" s="379">
        <v>2026</v>
      </c>
      <c r="R75" s="379">
        <v>2027</v>
      </c>
    </row>
    <row r="76" spans="2:19" s="8" customFormat="1" ht="14.4">
      <c r="B76" s="468" t="str">
        <f>B10</f>
        <v>HPC &amp; AI Clusters</v>
      </c>
      <c r="C76" s="469"/>
      <c r="D76" s="469"/>
      <c r="E76" s="469"/>
      <c r="F76" s="470"/>
      <c r="G76" s="34"/>
      <c r="H76" s="34"/>
      <c r="I76" s="34"/>
      <c r="J76" s="34" t="str">
        <f t="shared" ref="J76:R76" si="47">IF(I70=0,"",(J70/I70)-1)</f>
        <v/>
      </c>
      <c r="K76" s="34" t="str">
        <f t="shared" si="47"/>
        <v/>
      </c>
      <c r="L76" s="34" t="str">
        <f t="shared" si="47"/>
        <v/>
      </c>
      <c r="M76" s="34" t="str">
        <f t="shared" si="47"/>
        <v/>
      </c>
      <c r="N76" s="34" t="str">
        <f t="shared" si="47"/>
        <v/>
      </c>
      <c r="O76" s="34" t="str">
        <f t="shared" si="47"/>
        <v/>
      </c>
      <c r="P76" s="34" t="str">
        <f t="shared" si="47"/>
        <v/>
      </c>
      <c r="Q76" s="34" t="str">
        <f t="shared" si="47"/>
        <v/>
      </c>
      <c r="R76" s="34" t="str">
        <f t="shared" si="47"/>
        <v/>
      </c>
    </row>
    <row r="77" spans="2:19" s="8" customFormat="1" ht="14.4">
      <c r="B77" s="471" t="str">
        <f>B71</f>
        <v>Core Routing</v>
      </c>
      <c r="C77" s="472"/>
      <c r="D77" s="472"/>
      <c r="E77" s="472"/>
      <c r="F77" s="473"/>
      <c r="G77" s="32"/>
      <c r="H77" s="32"/>
      <c r="I77" s="32"/>
      <c r="J77" s="32" t="str">
        <f t="shared" ref="J77:R77" si="48">IF(I71=0,"",(J71/I71)-1)</f>
        <v/>
      </c>
      <c r="K77" s="32" t="str">
        <f t="shared" si="48"/>
        <v/>
      </c>
      <c r="L77" s="32" t="str">
        <f t="shared" si="48"/>
        <v/>
      </c>
      <c r="M77" s="32" t="str">
        <f t="shared" si="48"/>
        <v/>
      </c>
      <c r="N77" s="32" t="str">
        <f t="shared" si="48"/>
        <v/>
      </c>
      <c r="O77" s="32" t="str">
        <f t="shared" si="48"/>
        <v/>
      </c>
      <c r="P77" s="32" t="str">
        <f t="shared" si="48"/>
        <v/>
      </c>
      <c r="Q77" s="32" t="str">
        <f t="shared" si="48"/>
        <v/>
      </c>
      <c r="R77" s="32" t="str">
        <f t="shared" si="48"/>
        <v/>
      </c>
    </row>
    <row r="78" spans="2:19" s="8" customFormat="1" ht="14.4">
      <c r="B78" s="471" t="str">
        <f>B72</f>
        <v>DC Compute Nodes</v>
      </c>
      <c r="C78" s="472"/>
      <c r="D78" s="472"/>
      <c r="E78" s="472"/>
      <c r="F78" s="473"/>
      <c r="G78" s="32"/>
      <c r="H78" s="32"/>
      <c r="I78" s="32"/>
      <c r="J78" s="32" t="str">
        <f t="shared" ref="J78:R78" si="49">IF(I72=0,"",(J72/I72)-1)</f>
        <v/>
      </c>
      <c r="K78" s="32" t="str">
        <f t="shared" si="49"/>
        <v/>
      </c>
      <c r="L78" s="32" t="str">
        <f t="shared" si="49"/>
        <v/>
      </c>
      <c r="M78" s="32" t="str">
        <f t="shared" si="49"/>
        <v/>
      </c>
      <c r="N78" s="32" t="str">
        <f t="shared" si="49"/>
        <v/>
      </c>
      <c r="O78" s="32" t="str">
        <f t="shared" si="49"/>
        <v/>
      </c>
      <c r="P78" s="32" t="str">
        <f t="shared" si="49"/>
        <v/>
      </c>
      <c r="Q78" s="32" t="str">
        <f t="shared" si="49"/>
        <v/>
      </c>
      <c r="R78" s="32" t="str">
        <f t="shared" si="49"/>
        <v/>
      </c>
    </row>
    <row r="79" spans="2:19" s="8" customFormat="1" ht="13.5" customHeight="1">
      <c r="B79" s="459" t="str">
        <f>B73</f>
        <v>Other</v>
      </c>
      <c r="C79" s="460"/>
      <c r="D79" s="460"/>
      <c r="E79" s="460"/>
      <c r="F79" s="461"/>
      <c r="G79" s="32"/>
      <c r="H79" s="32"/>
      <c r="I79" s="32"/>
      <c r="J79" s="32" t="str">
        <f t="shared" ref="J79:R79" si="50">IF(I73=0,"",(J73/I73)-1)</f>
        <v/>
      </c>
      <c r="K79" s="32" t="str">
        <f t="shared" si="50"/>
        <v/>
      </c>
      <c r="L79" s="32" t="str">
        <f t="shared" si="50"/>
        <v/>
      </c>
      <c r="M79" s="32" t="str">
        <f t="shared" si="50"/>
        <v/>
      </c>
      <c r="N79" s="32" t="str">
        <f>IF(M73=0,"",(N73/M73)-1)</f>
        <v/>
      </c>
      <c r="O79" s="32" t="str">
        <f t="shared" si="50"/>
        <v/>
      </c>
      <c r="P79" s="32" t="str">
        <f t="shared" si="50"/>
        <v/>
      </c>
      <c r="Q79" s="32" t="str">
        <f t="shared" si="50"/>
        <v/>
      </c>
      <c r="R79" s="32" t="str">
        <f t="shared" si="50"/>
        <v/>
      </c>
    </row>
    <row r="80" spans="2:19" s="8" customFormat="1" ht="14.4">
      <c r="B80" s="462" t="s">
        <v>13</v>
      </c>
      <c r="C80" s="463"/>
      <c r="D80" s="463"/>
      <c r="E80" s="463"/>
      <c r="F80" s="464"/>
      <c r="G80" s="153"/>
      <c r="H80" s="153"/>
      <c r="I80" s="153"/>
      <c r="J80" s="153" t="str">
        <f t="shared" ref="J80:R80" si="51">IF(I74=0,"",(J74/I74)-1)</f>
        <v/>
      </c>
      <c r="K80" s="153" t="str">
        <f t="shared" si="51"/>
        <v/>
      </c>
      <c r="L80" s="153" t="str">
        <f t="shared" si="51"/>
        <v/>
      </c>
      <c r="M80" s="153" t="str">
        <f t="shared" si="51"/>
        <v/>
      </c>
      <c r="N80" s="153" t="str">
        <f t="shared" si="51"/>
        <v/>
      </c>
      <c r="O80" s="153" t="str">
        <f t="shared" si="51"/>
        <v/>
      </c>
      <c r="P80" s="153" t="str">
        <f t="shared" si="51"/>
        <v/>
      </c>
      <c r="Q80" s="153" t="str">
        <f t="shared" si="51"/>
        <v/>
      </c>
      <c r="R80" s="153" t="str">
        <f t="shared" si="51"/>
        <v/>
      </c>
    </row>
    <row r="81" spans="2:19" ht="14.4">
      <c r="B81" s="465" t="s">
        <v>231</v>
      </c>
      <c r="C81" s="466"/>
      <c r="D81" s="466"/>
      <c r="E81" s="466"/>
      <c r="F81" s="467"/>
      <c r="G81" s="378">
        <v>2016</v>
      </c>
      <c r="H81" s="378">
        <v>2017</v>
      </c>
      <c r="I81" s="378">
        <v>2018</v>
      </c>
      <c r="J81" s="378">
        <v>2019</v>
      </c>
      <c r="K81" s="378">
        <v>2020</v>
      </c>
      <c r="L81" s="378">
        <v>2021</v>
      </c>
      <c r="M81" s="378">
        <v>2022</v>
      </c>
      <c r="N81" s="378">
        <v>2023</v>
      </c>
      <c r="O81" s="378">
        <v>2024</v>
      </c>
      <c r="P81" s="378">
        <v>2025</v>
      </c>
      <c r="Q81" s="378">
        <v>2026</v>
      </c>
      <c r="R81" s="378">
        <v>2027</v>
      </c>
    </row>
    <row r="82" spans="2:19" ht="14.4">
      <c r="B82" s="468" t="str">
        <f>B70</f>
        <v>HPC &amp; AI Clusters</v>
      </c>
      <c r="C82" s="469"/>
      <c r="D82" s="469"/>
      <c r="E82" s="469"/>
      <c r="F82" s="470"/>
      <c r="G82" s="34">
        <f>G70/G$74</f>
        <v>0.19863192939217275</v>
      </c>
      <c r="H82" s="34">
        <f t="shared" ref="H82:R82" si="52">H70/H$74</f>
        <v>0.20062308566044798</v>
      </c>
      <c r="I82" s="34" t="e">
        <f t="shared" si="52"/>
        <v>#DIV/0!</v>
      </c>
      <c r="J82" s="34" t="e">
        <f t="shared" si="52"/>
        <v>#DIV/0!</v>
      </c>
      <c r="K82" s="34" t="e">
        <f t="shared" si="52"/>
        <v>#DIV/0!</v>
      </c>
      <c r="L82" s="34" t="e">
        <f t="shared" si="52"/>
        <v>#DIV/0!</v>
      </c>
      <c r="M82" s="34" t="e">
        <f t="shared" si="52"/>
        <v>#DIV/0!</v>
      </c>
      <c r="N82" s="34" t="e">
        <f t="shared" si="52"/>
        <v>#DIV/0!</v>
      </c>
      <c r="O82" s="34" t="e">
        <f t="shared" si="52"/>
        <v>#DIV/0!</v>
      </c>
      <c r="P82" s="34" t="e">
        <f t="shared" si="52"/>
        <v>#DIV/0!</v>
      </c>
      <c r="Q82" s="34" t="e">
        <f t="shared" si="52"/>
        <v>#DIV/0!</v>
      </c>
      <c r="R82" s="34" t="e">
        <f t="shared" si="52"/>
        <v>#DIV/0!</v>
      </c>
    </row>
    <row r="83" spans="2:19" ht="14.4">
      <c r="B83" s="471" t="str">
        <f>B71</f>
        <v>Core Routing</v>
      </c>
      <c r="C83" s="472"/>
      <c r="D83" s="472"/>
      <c r="E83" s="472"/>
      <c r="F83" s="473"/>
      <c r="G83" s="32">
        <f t="shared" ref="G83:R85" si="53">G71/G$74</f>
        <v>3.8302862030714608E-4</v>
      </c>
      <c r="H83" s="32">
        <f t="shared" si="53"/>
        <v>1.3243258168100997E-3</v>
      </c>
      <c r="I83" s="32" t="e">
        <f t="shared" si="53"/>
        <v>#DIV/0!</v>
      </c>
      <c r="J83" s="32" t="e">
        <f t="shared" si="53"/>
        <v>#DIV/0!</v>
      </c>
      <c r="K83" s="32" t="e">
        <f t="shared" si="53"/>
        <v>#DIV/0!</v>
      </c>
      <c r="L83" s="32" t="e">
        <f t="shared" si="53"/>
        <v>#DIV/0!</v>
      </c>
      <c r="M83" s="32" t="e">
        <f t="shared" si="53"/>
        <v>#DIV/0!</v>
      </c>
      <c r="N83" s="32" t="e">
        <f t="shared" si="53"/>
        <v>#DIV/0!</v>
      </c>
      <c r="O83" s="32" t="e">
        <f t="shared" si="53"/>
        <v>#DIV/0!</v>
      </c>
      <c r="P83" s="32" t="e">
        <f t="shared" si="53"/>
        <v>#DIV/0!</v>
      </c>
      <c r="Q83" s="32" t="e">
        <f t="shared" si="53"/>
        <v>#DIV/0!</v>
      </c>
      <c r="R83" s="32" t="e">
        <f t="shared" si="53"/>
        <v>#DIV/0!</v>
      </c>
    </row>
    <row r="84" spans="2:19" ht="14.4">
      <c r="B84" s="471" t="str">
        <f>B72</f>
        <v>DC Compute Nodes</v>
      </c>
      <c r="C84" s="472"/>
      <c r="D84" s="472"/>
      <c r="E84" s="472"/>
      <c r="F84" s="473"/>
      <c r="G84" s="32">
        <f t="shared" si="53"/>
        <v>0.73697827177284647</v>
      </c>
      <c r="H84" s="32">
        <f t="shared" si="53"/>
        <v>0.7187330937859574</v>
      </c>
      <c r="I84" s="32" t="e">
        <f t="shared" si="53"/>
        <v>#DIV/0!</v>
      </c>
      <c r="J84" s="32" t="e">
        <f t="shared" si="53"/>
        <v>#DIV/0!</v>
      </c>
      <c r="K84" s="32" t="e">
        <f t="shared" si="53"/>
        <v>#DIV/0!</v>
      </c>
      <c r="L84" s="32" t="e">
        <f t="shared" si="53"/>
        <v>#DIV/0!</v>
      </c>
      <c r="M84" s="32" t="e">
        <f t="shared" si="53"/>
        <v>#DIV/0!</v>
      </c>
      <c r="N84" s="32" t="e">
        <f t="shared" si="53"/>
        <v>#DIV/0!</v>
      </c>
      <c r="O84" s="32" t="e">
        <f t="shared" si="53"/>
        <v>#DIV/0!</v>
      </c>
      <c r="P84" s="32" t="e">
        <f t="shared" si="53"/>
        <v>#DIV/0!</v>
      </c>
      <c r="Q84" s="32" t="e">
        <f t="shared" si="53"/>
        <v>#DIV/0!</v>
      </c>
      <c r="R84" s="32" t="e">
        <f t="shared" si="53"/>
        <v>#DIV/0!</v>
      </c>
    </row>
    <row r="85" spans="2:19" ht="14.4">
      <c r="B85" s="459" t="str">
        <f>B73</f>
        <v>Other</v>
      </c>
      <c r="C85" s="460"/>
      <c r="D85" s="460"/>
      <c r="E85" s="460"/>
      <c r="F85" s="461"/>
      <c r="G85" s="32">
        <f t="shared" si="53"/>
        <v>6.4006770214673506E-2</v>
      </c>
      <c r="H85" s="32">
        <f t="shared" si="53"/>
        <v>7.9319494736784471E-2</v>
      </c>
      <c r="I85" s="32" t="e">
        <f t="shared" si="53"/>
        <v>#DIV/0!</v>
      </c>
      <c r="J85" s="32" t="e">
        <f t="shared" si="53"/>
        <v>#DIV/0!</v>
      </c>
      <c r="K85" s="32" t="e">
        <f t="shared" si="53"/>
        <v>#DIV/0!</v>
      </c>
      <c r="L85" s="32" t="e">
        <f t="shared" si="53"/>
        <v>#DIV/0!</v>
      </c>
      <c r="M85" s="32" t="e">
        <f t="shared" si="53"/>
        <v>#DIV/0!</v>
      </c>
      <c r="N85" s="32" t="e">
        <f t="shared" si="53"/>
        <v>#DIV/0!</v>
      </c>
      <c r="O85" s="32" t="e">
        <f t="shared" si="53"/>
        <v>#DIV/0!</v>
      </c>
      <c r="P85" s="32" t="e">
        <f t="shared" si="53"/>
        <v>#DIV/0!</v>
      </c>
      <c r="Q85" s="32" t="e">
        <f t="shared" si="53"/>
        <v>#DIV/0!</v>
      </c>
      <c r="R85" s="32" t="e">
        <f t="shared" si="53"/>
        <v>#DIV/0!</v>
      </c>
    </row>
    <row r="86" spans="2:19" ht="14.4">
      <c r="B86" s="462" t="s">
        <v>13</v>
      </c>
      <c r="C86" s="463"/>
      <c r="D86" s="463"/>
      <c r="E86" s="463"/>
      <c r="F86" s="464"/>
      <c r="G86" s="33">
        <f t="shared" ref="G86:R86" si="54">SUM(G82:G85)</f>
        <v>0.99999999999999989</v>
      </c>
      <c r="H86" s="33">
        <f t="shared" si="54"/>
        <v>0.99999999999999989</v>
      </c>
      <c r="I86" s="33" t="e">
        <f t="shared" si="54"/>
        <v>#DIV/0!</v>
      </c>
      <c r="J86" s="33" t="e">
        <f t="shared" si="54"/>
        <v>#DIV/0!</v>
      </c>
      <c r="K86" s="33" t="e">
        <f t="shared" si="54"/>
        <v>#DIV/0!</v>
      </c>
      <c r="L86" s="33" t="e">
        <f t="shared" si="54"/>
        <v>#DIV/0!</v>
      </c>
      <c r="M86" s="33" t="e">
        <f t="shared" si="54"/>
        <v>#DIV/0!</v>
      </c>
      <c r="N86" s="33" t="e">
        <f t="shared" si="54"/>
        <v>#DIV/0!</v>
      </c>
      <c r="O86" s="33" t="e">
        <f t="shared" si="54"/>
        <v>#DIV/0!</v>
      </c>
      <c r="P86" s="33" t="e">
        <f t="shared" si="54"/>
        <v>#DIV/0!</v>
      </c>
      <c r="Q86" s="33" t="e">
        <f t="shared" si="54"/>
        <v>#DIV/0!</v>
      </c>
      <c r="R86" s="33" t="e">
        <f t="shared" si="54"/>
        <v>#DIV/0!</v>
      </c>
    </row>
    <row r="87" spans="2:19" ht="14.4">
      <c r="B87" s="52"/>
      <c r="C87" s="52"/>
      <c r="D87" s="52"/>
      <c r="E87" s="52"/>
      <c r="F87" s="410"/>
      <c r="G87" s="410"/>
      <c r="H87" s="410"/>
      <c r="I87" s="410"/>
      <c r="J87" s="410"/>
      <c r="K87" s="410"/>
      <c r="L87" s="410"/>
      <c r="M87" s="410"/>
      <c r="N87" s="410"/>
      <c r="O87" s="410"/>
      <c r="P87" s="410"/>
      <c r="Q87" s="410"/>
      <c r="R87" s="410"/>
      <c r="S87" s="410"/>
    </row>
    <row r="88" spans="2:19" ht="21">
      <c r="B88" s="23" t="str">
        <f>B10</f>
        <v>HPC &amp; AI Clusters</v>
      </c>
      <c r="C88" s="23"/>
      <c r="D88" s="23"/>
      <c r="E88" s="23"/>
      <c r="F88" s="279"/>
      <c r="G88" s="17"/>
      <c r="H88" s="151"/>
      <c r="I88" s="8"/>
      <c r="J88" s="22" t="s">
        <v>21</v>
      </c>
      <c r="K88" s="8"/>
      <c r="L88" s="8"/>
      <c r="M88" s="8"/>
      <c r="N88" s="8"/>
      <c r="O88" s="8"/>
      <c r="P88" s="8"/>
      <c r="Q88" s="8"/>
      <c r="R88" s="8"/>
    </row>
    <row r="89" spans="2:19" ht="13.8">
      <c r="B89" s="81" t="str">
        <f>'Combined forecast'!B7</f>
        <v>Type</v>
      </c>
      <c r="C89" s="143" t="str">
        <f>'Combined forecast'!C7</f>
        <v>Agg. Speed</v>
      </c>
      <c r="D89" s="143" t="str">
        <f>'Combined forecast'!D7</f>
        <v>Lane Speed</v>
      </c>
      <c r="E89" s="143" t="str">
        <f>'Combined forecast'!E7</f>
        <v>Lanes</v>
      </c>
      <c r="F89" s="144" t="str">
        <f>'Combined forecast'!F7</f>
        <v>Form Factor</v>
      </c>
      <c r="G89" s="35">
        <v>2016</v>
      </c>
      <c r="H89" s="35">
        <v>2017</v>
      </c>
      <c r="I89" s="35">
        <v>2018</v>
      </c>
      <c r="J89" s="35">
        <v>2019</v>
      </c>
      <c r="K89" s="35">
        <v>2020</v>
      </c>
      <c r="L89" s="35">
        <v>2021</v>
      </c>
      <c r="M89" s="35">
        <v>2022</v>
      </c>
      <c r="N89" s="35">
        <v>2023</v>
      </c>
      <c r="O89" s="35">
        <v>2024</v>
      </c>
      <c r="P89" s="35">
        <v>2025</v>
      </c>
      <c r="Q89" s="35">
        <v>2026</v>
      </c>
      <c r="R89" s="35">
        <v>2027</v>
      </c>
    </row>
    <row r="90" spans="2:19" ht="13.8">
      <c r="B90" s="145" t="str">
        <f>'Combined forecast'!B8</f>
        <v>AOC</v>
      </c>
      <c r="C90" s="146" t="str">
        <f>'Combined forecast'!C8</f>
        <v>10G</v>
      </c>
      <c r="D90" s="146" t="str">
        <f>'Combined forecast'!D8</f>
        <v>≤10G</v>
      </c>
      <c r="E90" s="146">
        <f>'Combined forecast'!E8</f>
        <v>1</v>
      </c>
      <c r="F90" s="147" t="str">
        <f>'Combined forecast'!F8</f>
        <v>SFP+</v>
      </c>
      <c r="G90" s="119">
        <v>0</v>
      </c>
      <c r="H90" s="119">
        <v>0</v>
      </c>
      <c r="I90" s="119"/>
      <c r="J90" s="119"/>
      <c r="K90" s="119"/>
      <c r="L90" s="119"/>
      <c r="M90" s="119"/>
      <c r="N90" s="119"/>
      <c r="O90" s="119"/>
      <c r="P90" s="119"/>
      <c r="Q90" s="119"/>
      <c r="R90" s="119"/>
    </row>
    <row r="91" spans="2:19" ht="13.8">
      <c r="B91" s="130" t="str">
        <f>'Combined forecast'!B9</f>
        <v>AOC</v>
      </c>
      <c r="C91" s="127" t="str">
        <f>'Combined forecast'!C9</f>
        <v>40G</v>
      </c>
      <c r="D91" s="127" t="str">
        <f>'Combined forecast'!D9</f>
        <v>≤10G</v>
      </c>
      <c r="E91" s="127">
        <f>'Combined forecast'!E9</f>
        <v>4</v>
      </c>
      <c r="F91" s="128" t="str">
        <f>'Combined forecast'!F9</f>
        <v>QSFP+</v>
      </c>
      <c r="G91" s="45">
        <v>101698.2</v>
      </c>
      <c r="H91" s="45">
        <v>55600.560000000005</v>
      </c>
      <c r="I91" s="45"/>
      <c r="J91" s="45"/>
      <c r="K91" s="45"/>
      <c r="L91" s="45"/>
      <c r="M91" s="45"/>
      <c r="N91" s="45"/>
      <c r="O91" s="45"/>
      <c r="P91" s="45"/>
      <c r="Q91" s="45"/>
      <c r="R91" s="45"/>
    </row>
    <row r="92" spans="2:19" ht="13.8">
      <c r="B92" s="130" t="str">
        <f>'Combined forecast'!B10</f>
        <v>AOC</v>
      </c>
      <c r="C92" s="127" t="str">
        <f>'Combined forecast'!C10</f>
        <v>40G</v>
      </c>
      <c r="D92" s="127" t="str">
        <f>'Combined forecast'!D10</f>
        <v>≤10G</v>
      </c>
      <c r="E92" s="127" t="str">
        <f>'Combined forecast'!E10</f>
        <v>4:1</v>
      </c>
      <c r="F92" s="128" t="str">
        <f>'Combined forecast'!F10</f>
        <v>QSFP+/SFP+</v>
      </c>
      <c r="G92" s="45">
        <v>0</v>
      </c>
      <c r="H92" s="45">
        <v>0</v>
      </c>
      <c r="I92" s="45"/>
      <c r="J92" s="45"/>
      <c r="K92" s="45"/>
      <c r="L92" s="45"/>
      <c r="M92" s="45"/>
      <c r="N92" s="45"/>
      <c r="O92" s="45"/>
      <c r="P92" s="45"/>
      <c r="Q92" s="45"/>
      <c r="R92" s="45"/>
    </row>
    <row r="93" spans="2:19" ht="13.8">
      <c r="B93" s="130" t="str">
        <f>'Combined forecast'!B11</f>
        <v>AOC</v>
      </c>
      <c r="C93" s="127" t="str">
        <f>'Combined forecast'!C11</f>
        <v>150G</v>
      </c>
      <c r="D93" s="127" t="str">
        <f>'Combined forecast'!D11</f>
        <v>≤12.5G</v>
      </c>
      <c r="E93" s="127">
        <f>'Combined forecast'!E11</f>
        <v>12</v>
      </c>
      <c r="F93" s="128" t="str">
        <f>'Combined forecast'!F11</f>
        <v>CXP</v>
      </c>
      <c r="G93" s="45">
        <v>54463.660714285703</v>
      </c>
      <c r="H93" s="45">
        <v>31581.199999999997</v>
      </c>
      <c r="I93" s="45"/>
      <c r="J93" s="45"/>
      <c r="K93" s="45"/>
      <c r="L93" s="45"/>
      <c r="M93" s="45"/>
      <c r="N93" s="45"/>
      <c r="O93" s="45"/>
      <c r="P93" s="45"/>
      <c r="Q93" s="45"/>
      <c r="R93" s="45"/>
    </row>
    <row r="94" spans="2:19" ht="13.8">
      <c r="B94" s="130" t="str">
        <f>'Combined forecast'!B12</f>
        <v>EOM</v>
      </c>
      <c r="C94" s="127" t="str">
        <f>'Combined forecast'!C12</f>
        <v>150G</v>
      </c>
      <c r="D94" s="127" t="str">
        <f>'Combined forecast'!D12</f>
        <v>≤12.5G</v>
      </c>
      <c r="E94" s="127">
        <f>'Combined forecast'!E12</f>
        <v>12</v>
      </c>
      <c r="F94" s="128" t="str">
        <f>'Combined forecast'!F12</f>
        <v>XCVR - CXP</v>
      </c>
      <c r="G94" s="45">
        <v>5186.5773037860863</v>
      </c>
      <c r="H94" s="45">
        <v>2530.1249951290897</v>
      </c>
      <c r="I94" s="45"/>
      <c r="J94" s="45"/>
      <c r="K94" s="45"/>
      <c r="L94" s="45"/>
      <c r="M94" s="45"/>
      <c r="N94" s="45"/>
      <c r="O94" s="45"/>
      <c r="P94" s="45"/>
      <c r="Q94" s="45"/>
      <c r="R94" s="45"/>
    </row>
    <row r="95" spans="2:19" ht="13.8">
      <c r="B95" s="130" t="str">
        <f>'Combined forecast'!B13</f>
        <v>AOC</v>
      </c>
      <c r="C95" s="127" t="str">
        <f>'Combined forecast'!C13</f>
        <v>56G</v>
      </c>
      <c r="D95" s="127" t="str">
        <f>'Combined forecast'!D13</f>
        <v>12-14G</v>
      </c>
      <c r="E95" s="127">
        <f>'Combined forecast'!E13</f>
        <v>4</v>
      </c>
      <c r="F95" s="128" t="str">
        <f>'Combined forecast'!F13</f>
        <v>QSFP+</v>
      </c>
      <c r="G95" s="45">
        <v>160184</v>
      </c>
      <c r="H95" s="45">
        <v>137205</v>
      </c>
      <c r="I95" s="45"/>
      <c r="J95" s="45"/>
      <c r="K95" s="45"/>
      <c r="L95" s="45"/>
      <c r="M95" s="45"/>
      <c r="N95" s="45"/>
      <c r="O95" s="45"/>
      <c r="P95" s="45"/>
      <c r="Q95" s="45"/>
      <c r="R95" s="45"/>
    </row>
    <row r="96" spans="2:19" ht="13.8">
      <c r="B96" s="130" t="str">
        <f>'Combined forecast'!B14</f>
        <v>AOC</v>
      </c>
      <c r="C96" s="127" t="str">
        <f>'Combined forecast'!C14</f>
        <v>48G</v>
      </c>
      <c r="D96" s="127" t="str">
        <f>'Combined forecast'!D14</f>
        <v>12G</v>
      </c>
      <c r="E96" s="127">
        <f>'Combined forecast'!E14</f>
        <v>4</v>
      </c>
      <c r="F96" s="128" t="str">
        <f>'Combined forecast'!F14</f>
        <v>Mini-SAS HD</v>
      </c>
      <c r="G96" s="45">
        <v>2560</v>
      </c>
      <c r="H96" s="45">
        <v>3650</v>
      </c>
      <c r="I96" s="45"/>
      <c r="J96" s="45"/>
      <c r="K96" s="45"/>
      <c r="L96" s="45"/>
      <c r="M96" s="45"/>
      <c r="N96" s="45"/>
      <c r="O96" s="45"/>
      <c r="P96" s="45"/>
      <c r="Q96" s="45"/>
      <c r="R96" s="45"/>
    </row>
    <row r="97" spans="2:21" ht="13.8">
      <c r="B97" s="130" t="str">
        <f>'Combined forecast'!B15</f>
        <v>AOC</v>
      </c>
      <c r="C97" s="127" t="str">
        <f>'Combined forecast'!C15</f>
        <v>25G</v>
      </c>
      <c r="D97" s="127" t="str">
        <f>'Combined forecast'!D15</f>
        <v>25-28G</v>
      </c>
      <c r="E97" s="127">
        <f>'Combined forecast'!E15</f>
        <v>1</v>
      </c>
      <c r="F97" s="128" t="str">
        <f>'Combined forecast'!F15</f>
        <v>SFP28</v>
      </c>
      <c r="G97" s="45">
        <v>0</v>
      </c>
      <c r="H97" s="45">
        <v>0</v>
      </c>
      <c r="I97" s="45"/>
      <c r="J97" s="45"/>
      <c r="K97" s="45"/>
      <c r="L97" s="45"/>
      <c r="M97" s="45"/>
      <c r="N97" s="45"/>
      <c r="O97" s="45"/>
      <c r="P97" s="45"/>
      <c r="Q97" s="45"/>
      <c r="R97" s="45"/>
    </row>
    <row r="98" spans="2:21" ht="13.8">
      <c r="B98" s="130" t="str">
        <f>'Combined forecast'!B16</f>
        <v>AOC</v>
      </c>
      <c r="C98" s="127" t="str">
        <f>'Combined forecast'!C16</f>
        <v>100G</v>
      </c>
      <c r="D98" s="127" t="str">
        <f>'Combined forecast'!D16</f>
        <v>25-28G, 50G, 100G</v>
      </c>
      <c r="E98" s="127" t="str">
        <f>'Combined forecast'!E16</f>
        <v>1, 2, or 4</v>
      </c>
      <c r="F98" s="128" t="str">
        <f>'Combined forecast'!F16</f>
        <v>QSFP28, SFP-DD, SFP112</v>
      </c>
      <c r="G98" s="45">
        <v>105000</v>
      </c>
      <c r="H98" s="45">
        <v>145564.66</v>
      </c>
      <c r="I98" s="45"/>
      <c r="J98" s="45"/>
      <c r="K98" s="45"/>
      <c r="L98" s="45"/>
      <c r="M98" s="45"/>
      <c r="N98" s="45"/>
      <c r="O98" s="45"/>
      <c r="P98" s="45"/>
      <c r="Q98" s="45"/>
      <c r="R98" s="45"/>
    </row>
    <row r="99" spans="2:21" ht="13.8">
      <c r="B99" s="130" t="str">
        <f>'Combined forecast'!B17</f>
        <v>AOC</v>
      </c>
      <c r="C99" s="127" t="str">
        <f>'Combined forecast'!C17</f>
        <v>100G</v>
      </c>
      <c r="D99" s="127" t="str">
        <f>'Combined forecast'!D17</f>
        <v>25-28G</v>
      </c>
      <c r="E99" s="127" t="str">
        <f>'Combined forecast'!E17</f>
        <v>4:1</v>
      </c>
      <c r="F99" s="128" t="str">
        <f>'Combined forecast'!F17</f>
        <v>QSFP28/SFP28</v>
      </c>
      <c r="G99" s="45">
        <v>0</v>
      </c>
      <c r="H99" s="45">
        <v>0</v>
      </c>
      <c r="I99" s="45"/>
      <c r="J99" s="45"/>
      <c r="K99" s="45"/>
      <c r="L99" s="45"/>
      <c r="M99" s="45"/>
      <c r="N99" s="45"/>
      <c r="O99" s="45"/>
      <c r="P99" s="45"/>
      <c r="Q99" s="45"/>
      <c r="R99" s="45"/>
    </row>
    <row r="100" spans="2:21" ht="13.8">
      <c r="B100" s="130" t="str">
        <f>'Combined forecast'!B18</f>
        <v>AOC</v>
      </c>
      <c r="C100" s="127" t="str">
        <f>'Combined forecast'!C18</f>
        <v>96G</v>
      </c>
      <c r="D100" s="127" t="str">
        <f>'Combined forecast'!D18</f>
        <v>24G</v>
      </c>
      <c r="E100" s="127">
        <f>'Combined forecast'!E18</f>
        <v>4</v>
      </c>
      <c r="F100" s="128" t="str">
        <f>'Combined forecast'!F18</f>
        <v>Mini-SAS HD</v>
      </c>
      <c r="G100" s="45">
        <v>0</v>
      </c>
      <c r="H100" s="45">
        <v>0</v>
      </c>
      <c r="I100" s="45"/>
      <c r="J100" s="45"/>
      <c r="K100" s="45"/>
      <c r="L100" s="45"/>
      <c r="M100" s="45"/>
      <c r="N100" s="45"/>
      <c r="O100" s="45"/>
      <c r="P100" s="45"/>
      <c r="Q100" s="45"/>
      <c r="R100" s="45"/>
    </row>
    <row r="101" spans="2:21" ht="13.5" customHeight="1">
      <c r="B101" s="130" t="str">
        <f>'Combined forecast'!B19</f>
        <v>AOC</v>
      </c>
      <c r="C101" s="127" t="str">
        <f>'Combined forecast'!C19</f>
        <v>300G</v>
      </c>
      <c r="D101" s="127" t="str">
        <f>'Combined forecast'!D19</f>
        <v>25-28G</v>
      </c>
      <c r="E101" s="127">
        <f>'Combined forecast'!E19</f>
        <v>12</v>
      </c>
      <c r="F101" s="128" t="str">
        <f>'Combined forecast'!F19</f>
        <v>CXP28</v>
      </c>
      <c r="G101" s="45">
        <v>0</v>
      </c>
      <c r="H101" s="45">
        <v>0</v>
      </c>
      <c r="I101" s="45"/>
      <c r="J101" s="45"/>
      <c r="K101" s="45"/>
      <c r="L101" s="45"/>
      <c r="M101" s="45"/>
      <c r="N101" s="45"/>
      <c r="O101" s="45"/>
      <c r="P101" s="45"/>
      <c r="Q101" s="45"/>
      <c r="R101" s="45"/>
    </row>
    <row r="102" spans="2:21" ht="13.8">
      <c r="B102" s="130" t="str">
        <f>'Combined forecast'!B20</f>
        <v>EOM</v>
      </c>
      <c r="C102" s="127" t="str">
        <f>'Combined forecast'!C20</f>
        <v>100G-600G</v>
      </c>
      <c r="D102" s="127" t="str">
        <f>'Combined forecast'!D20</f>
        <v>25-28G</v>
      </c>
      <c r="E102" s="127" t="str">
        <f>'Combined forecast'!E20</f>
        <v>4,8,12,16,24</v>
      </c>
      <c r="F102" s="128" t="str">
        <f>'Combined forecast'!F20</f>
        <v>XCVR</v>
      </c>
      <c r="G102" s="45">
        <v>26500</v>
      </c>
      <c r="H102" s="45">
        <v>47236.4</v>
      </c>
      <c r="I102" s="45"/>
      <c r="J102" s="45"/>
      <c r="K102" s="45"/>
      <c r="L102" s="45"/>
      <c r="M102" s="45"/>
      <c r="N102" s="45"/>
      <c r="O102" s="45"/>
      <c r="P102" s="45"/>
      <c r="Q102" s="45"/>
      <c r="R102" s="45"/>
    </row>
    <row r="103" spans="2:21" ht="13.8">
      <c r="B103" s="130" t="str">
        <f>'Combined forecast'!B21</f>
        <v>EOM</v>
      </c>
      <c r="C103" s="127" t="str">
        <f>'Combined forecast'!C21</f>
        <v>300G</v>
      </c>
      <c r="D103" s="127" t="str">
        <f>'Combined forecast'!D21</f>
        <v>25-28G</v>
      </c>
      <c r="E103" s="127">
        <f>'Combined forecast'!E21</f>
        <v>12</v>
      </c>
      <c r="F103" s="128" t="str">
        <f>'Combined forecast'!F21</f>
        <v>XCVR - CXP28</v>
      </c>
      <c r="G103" s="45">
        <v>0</v>
      </c>
      <c r="H103" s="45">
        <v>0</v>
      </c>
      <c r="I103" s="45"/>
      <c r="J103" s="45"/>
      <c r="K103" s="45"/>
      <c r="L103" s="45"/>
      <c r="M103" s="45"/>
      <c r="N103" s="45"/>
      <c r="O103" s="45"/>
      <c r="P103" s="45"/>
      <c r="Q103" s="45"/>
      <c r="R103" s="45"/>
    </row>
    <row r="104" spans="2:21" ht="13.8">
      <c r="B104" s="130" t="str">
        <f>'Combined forecast'!B22</f>
        <v>AOC</v>
      </c>
      <c r="C104" s="127" t="str">
        <f>'Combined forecast'!C22</f>
        <v>50G</v>
      </c>
      <c r="D104" s="127" t="str">
        <f>'Combined forecast'!D22</f>
        <v>50-56G</v>
      </c>
      <c r="E104" s="127">
        <f>'Combined forecast'!E22</f>
        <v>1</v>
      </c>
      <c r="F104" s="128" t="str">
        <f>'Combined forecast'!F22</f>
        <v>SFP56</v>
      </c>
      <c r="G104" s="45">
        <v>0</v>
      </c>
      <c r="H104" s="45">
        <v>0</v>
      </c>
      <c r="I104" s="45"/>
      <c r="J104" s="45"/>
      <c r="K104" s="45"/>
      <c r="L104" s="45"/>
      <c r="M104" s="45"/>
      <c r="N104" s="45"/>
      <c r="O104" s="45"/>
      <c r="P104" s="45"/>
      <c r="Q104" s="45"/>
      <c r="R104" s="45"/>
    </row>
    <row r="105" spans="2:21" ht="13.8">
      <c r="B105" s="130" t="str">
        <f>'Combined forecast'!B23</f>
        <v>AOC</v>
      </c>
      <c r="C105" s="127" t="str">
        <f>'Combined forecast'!C23</f>
        <v>200G</v>
      </c>
      <c r="D105" s="127" t="str">
        <f>'Combined forecast'!D23</f>
        <v>50-56G</v>
      </c>
      <c r="E105" s="127">
        <f>'Combined forecast'!E23</f>
        <v>4</v>
      </c>
      <c r="F105" s="128" t="str">
        <f>'Combined forecast'!F23</f>
        <v>QSFP56</v>
      </c>
      <c r="G105" s="45">
        <v>0</v>
      </c>
      <c r="H105" s="45">
        <v>0</v>
      </c>
      <c r="I105" s="45"/>
      <c r="J105" s="45"/>
      <c r="K105" s="45"/>
      <c r="L105" s="45"/>
      <c r="M105" s="45"/>
      <c r="N105" s="45"/>
      <c r="O105" s="45"/>
      <c r="P105" s="45"/>
      <c r="Q105" s="45"/>
      <c r="R105" s="45"/>
    </row>
    <row r="106" spans="2:21" ht="13.8">
      <c r="B106" s="130" t="str">
        <f>'Combined forecast'!B24</f>
        <v>EOM</v>
      </c>
      <c r="C106" s="127" t="str">
        <f>'Combined forecast'!C24</f>
        <v>200G - 3.2T</v>
      </c>
      <c r="D106" s="127" t="str">
        <f>'Combined forecast'!D24</f>
        <v>50-56G, 100G</v>
      </c>
      <c r="E106" s="127" t="str">
        <f>'Combined forecast'!E24</f>
        <v>8,12,16,24</v>
      </c>
      <c r="F106" s="128" t="str">
        <f>'Combined forecast'!F24</f>
        <v>TBD</v>
      </c>
      <c r="G106" s="45">
        <v>0</v>
      </c>
      <c r="H106" s="45">
        <v>0</v>
      </c>
      <c r="I106" s="45"/>
      <c r="J106" s="45"/>
      <c r="K106" s="45"/>
      <c r="L106" s="45"/>
      <c r="M106" s="45"/>
      <c r="N106" s="45"/>
      <c r="O106" s="45"/>
      <c r="P106" s="45"/>
      <c r="Q106" s="45"/>
      <c r="R106" s="45"/>
    </row>
    <row r="107" spans="2:21" ht="13.8">
      <c r="B107" s="130" t="str">
        <f>'Combined forecast'!B25</f>
        <v>AOC</v>
      </c>
      <c r="C107" s="127" t="str">
        <f>'Combined forecast'!C25</f>
        <v>400G, 2x200G</v>
      </c>
      <c r="D107" s="127" t="str">
        <f>'Combined forecast'!D25</f>
        <v>50-56G, 100G</v>
      </c>
      <c r="E107" s="127" t="str">
        <f>'Combined forecast'!E25</f>
        <v>4 or 8</v>
      </c>
      <c r="F107" s="128" t="str">
        <f>'Combined forecast'!F25</f>
        <v>QSFP-DD, OSFP, QSFP112</v>
      </c>
      <c r="G107" s="45">
        <v>0</v>
      </c>
      <c r="H107" s="45">
        <v>0</v>
      </c>
      <c r="I107" s="45"/>
      <c r="J107" s="45"/>
      <c r="K107" s="45"/>
      <c r="L107" s="45"/>
      <c r="M107" s="45"/>
      <c r="N107" s="45"/>
      <c r="O107" s="45"/>
      <c r="P107" s="45"/>
      <c r="Q107" s="45"/>
      <c r="R107" s="45"/>
    </row>
    <row r="108" spans="2:21" ht="13.8">
      <c r="B108" s="130" t="str">
        <f>'Combined forecast'!B26</f>
        <v>AOC</v>
      </c>
      <c r="C108" s="127" t="str">
        <f>'Combined forecast'!C26</f>
        <v>400G, 2x200G</v>
      </c>
      <c r="D108" s="127" t="str">
        <f>'Combined forecast'!D26</f>
        <v>50-56G, 100G</v>
      </c>
      <c r="E108" s="127" t="str">
        <f>'Combined forecast'!E26</f>
        <v>4:1 or 8:1</v>
      </c>
      <c r="F108" s="128" t="str">
        <f>'Combined forecast'!F26</f>
        <v>QSFP-DD, OSFP, QSFP112</v>
      </c>
      <c r="G108" s="45">
        <v>0</v>
      </c>
      <c r="H108" s="45">
        <v>0</v>
      </c>
      <c r="I108" s="45"/>
      <c r="J108" s="45"/>
      <c r="K108" s="45"/>
      <c r="L108" s="45"/>
      <c r="M108" s="45"/>
      <c r="N108" s="45"/>
      <c r="O108" s="45"/>
      <c r="P108" s="45"/>
      <c r="Q108" s="45"/>
      <c r="R108" s="45"/>
    </row>
    <row r="109" spans="2:21" ht="13.8">
      <c r="B109" s="130" t="str">
        <f>'Combined forecast'!B27</f>
        <v>AOC</v>
      </c>
      <c r="C109" s="127" t="str">
        <f>'Combined forecast'!C27</f>
        <v>800G</v>
      </c>
      <c r="D109" s="127" t="str">
        <f>'Combined forecast'!D27</f>
        <v>100G</v>
      </c>
      <c r="E109" s="127" t="str">
        <f>'Combined forecast'!E27</f>
        <v>8:1</v>
      </c>
      <c r="F109" s="128" t="str">
        <f>'Combined forecast'!F27</f>
        <v xml:space="preserve">QSFP-DD800, OSFP </v>
      </c>
      <c r="G109" s="45">
        <v>0</v>
      </c>
      <c r="H109" s="45">
        <v>0</v>
      </c>
      <c r="I109" s="45"/>
      <c r="J109" s="45"/>
      <c r="K109" s="45"/>
      <c r="L109" s="45"/>
      <c r="M109" s="45"/>
      <c r="N109" s="45"/>
      <c r="O109" s="45"/>
      <c r="P109" s="45"/>
      <c r="Q109" s="45"/>
      <c r="R109" s="45"/>
    </row>
    <row r="110" spans="2:21" ht="13.8">
      <c r="B110" s="130" t="str">
        <f>'Combined forecast'!B28</f>
        <v>AOC</v>
      </c>
      <c r="C110" s="127" t="str">
        <f>'Combined forecast'!C28</f>
        <v>1.6T</v>
      </c>
      <c r="D110" s="127" t="str">
        <f>'Combined forecast'!D28</f>
        <v>100G</v>
      </c>
      <c r="E110" s="127">
        <f>'Combined forecast'!E28</f>
        <v>16</v>
      </c>
      <c r="F110" s="128" t="str">
        <f>'Combined forecast'!F28</f>
        <v>OSFP-XD</v>
      </c>
      <c r="G110" s="310">
        <v>0</v>
      </c>
      <c r="H110" s="310">
        <v>0</v>
      </c>
      <c r="I110" s="310"/>
      <c r="J110" s="310"/>
      <c r="K110" s="310"/>
      <c r="L110" s="310"/>
      <c r="M110" s="310"/>
      <c r="N110" s="310"/>
      <c r="O110" s="310"/>
      <c r="P110" s="310"/>
      <c r="Q110" s="310"/>
      <c r="R110" s="310"/>
      <c r="U110" s="20"/>
    </row>
    <row r="111" spans="2:21" ht="13.8">
      <c r="B111" s="145" t="str">
        <f>Segmentation!B35</f>
        <v>CPO</v>
      </c>
      <c r="C111" s="146" t="str">
        <f>Segmentation!C35</f>
        <v>800 Gbps</v>
      </c>
      <c r="D111" s="146" t="str">
        <f>Segmentation!D35</f>
        <v>100G</v>
      </c>
      <c r="E111" s="146" t="str">
        <f>Segmentation!E35</f>
        <v>30m</v>
      </c>
      <c r="F111" s="147" t="str">
        <f>Segmentation!F35</f>
        <v>TBD</v>
      </c>
      <c r="G111" s="50">
        <v>0</v>
      </c>
      <c r="H111" s="50">
        <v>0</v>
      </c>
      <c r="I111" s="50"/>
      <c r="J111" s="50"/>
      <c r="K111" s="50"/>
      <c r="L111" s="50"/>
      <c r="M111" s="50"/>
      <c r="N111" s="50"/>
      <c r="O111" s="50"/>
      <c r="P111" s="50"/>
      <c r="Q111" s="50"/>
      <c r="R111" s="50"/>
    </row>
    <row r="112" spans="2:21" ht="13.8">
      <c r="B112" s="130" t="str">
        <f>Segmentation!B36</f>
        <v>CPO</v>
      </c>
      <c r="C112" s="127" t="str">
        <f>Segmentation!C36</f>
        <v>800 Gbps</v>
      </c>
      <c r="D112" s="127" t="str">
        <f>Segmentation!D36</f>
        <v>100G</v>
      </c>
      <c r="E112" s="127" t="str">
        <f>Segmentation!E36</f>
        <v>100 m</v>
      </c>
      <c r="F112" s="128" t="str">
        <f>Segmentation!F36</f>
        <v>TBD</v>
      </c>
      <c r="G112" s="45">
        <v>0</v>
      </c>
      <c r="H112" s="45">
        <v>0</v>
      </c>
      <c r="I112" s="45"/>
      <c r="J112" s="45"/>
      <c r="K112" s="45"/>
      <c r="L112" s="45"/>
      <c r="M112" s="45"/>
      <c r="N112" s="45"/>
      <c r="O112" s="45"/>
      <c r="P112" s="45"/>
      <c r="Q112" s="45"/>
      <c r="R112" s="45"/>
    </row>
    <row r="113" spans="2:21" ht="13.8">
      <c r="B113" s="130" t="str">
        <f>Segmentation!B37</f>
        <v>CPO</v>
      </c>
      <c r="C113" s="127" t="str">
        <f>Segmentation!C37</f>
        <v>800 Gbps</v>
      </c>
      <c r="D113" s="127" t="str">
        <f>Segmentation!D37</f>
        <v>100G</v>
      </c>
      <c r="E113" s="127" t="str">
        <f>Segmentation!E37</f>
        <v>500 m</v>
      </c>
      <c r="F113" s="128" t="str">
        <f>Segmentation!F37</f>
        <v>TBD</v>
      </c>
      <c r="G113" s="45">
        <v>0</v>
      </c>
      <c r="H113" s="45">
        <v>0</v>
      </c>
      <c r="I113" s="45"/>
      <c r="J113" s="45"/>
      <c r="K113" s="45"/>
      <c r="L113" s="45"/>
      <c r="M113" s="45"/>
      <c r="N113" s="45"/>
      <c r="O113" s="45"/>
      <c r="P113" s="45"/>
      <c r="Q113" s="45"/>
      <c r="R113" s="45"/>
    </row>
    <row r="114" spans="2:21" ht="13.8">
      <c r="B114" s="130" t="str">
        <f>Segmentation!B38</f>
        <v>CPO</v>
      </c>
      <c r="C114" s="127" t="str">
        <f>Segmentation!C38</f>
        <v>800 Gbps</v>
      </c>
      <c r="D114" s="127" t="str">
        <f>Segmentation!D38</f>
        <v>100G</v>
      </c>
      <c r="E114" s="127" t="str">
        <f>Segmentation!E38</f>
        <v>2 km</v>
      </c>
      <c r="F114" s="128" t="str">
        <f>Segmentation!F38</f>
        <v>TBD</v>
      </c>
      <c r="G114" s="50">
        <v>0</v>
      </c>
      <c r="H114" s="50">
        <v>0</v>
      </c>
      <c r="I114" s="50"/>
      <c r="J114" s="50"/>
      <c r="K114" s="50"/>
      <c r="L114" s="50"/>
      <c r="M114" s="50"/>
      <c r="N114" s="50"/>
      <c r="O114" s="50"/>
      <c r="P114" s="50"/>
      <c r="Q114" s="50"/>
      <c r="R114" s="50"/>
    </row>
    <row r="115" spans="2:21" ht="13.8">
      <c r="B115" s="130" t="str">
        <f>Segmentation!B39</f>
        <v>CPO</v>
      </c>
      <c r="C115" s="127" t="str">
        <f>Segmentation!C39</f>
        <v>800 Gbps</v>
      </c>
      <c r="D115" s="127" t="str">
        <f>Segmentation!D39</f>
        <v>100G</v>
      </c>
      <c r="E115" s="127" t="str">
        <f>Segmentation!E39</f>
        <v>10 km</v>
      </c>
      <c r="F115" s="128" t="str">
        <f>Segmentation!F39</f>
        <v>TBD</v>
      </c>
      <c r="G115" s="45">
        <v>0</v>
      </c>
      <c r="H115" s="45">
        <v>0</v>
      </c>
      <c r="I115" s="45"/>
      <c r="J115" s="45"/>
      <c r="K115" s="45"/>
      <c r="L115" s="45"/>
      <c r="M115" s="45"/>
      <c r="N115" s="45"/>
      <c r="O115" s="45"/>
      <c r="P115" s="45"/>
      <c r="Q115" s="45"/>
      <c r="R115" s="45"/>
    </row>
    <row r="116" spans="2:21" ht="13.8">
      <c r="B116" s="130" t="str">
        <f>Segmentation!B40</f>
        <v>CPO</v>
      </c>
      <c r="C116" s="127" t="str">
        <f>Segmentation!C40</f>
        <v>1.6 Tbps</v>
      </c>
      <c r="D116" s="127" t="str">
        <f>Segmentation!D40</f>
        <v>100G</v>
      </c>
      <c r="E116" s="127" t="str">
        <f>Segmentation!E40</f>
        <v>30m</v>
      </c>
      <c r="F116" s="128" t="str">
        <f>Segmentation!F40</f>
        <v>TBD</v>
      </c>
      <c r="G116" s="45">
        <v>0</v>
      </c>
      <c r="H116" s="45">
        <v>0</v>
      </c>
      <c r="I116" s="45"/>
      <c r="J116" s="45"/>
      <c r="K116" s="45"/>
      <c r="L116" s="45"/>
      <c r="M116" s="45"/>
      <c r="N116" s="45"/>
      <c r="O116" s="45"/>
      <c r="P116" s="45"/>
      <c r="Q116" s="45"/>
      <c r="R116" s="45"/>
    </row>
    <row r="117" spans="2:21" ht="13.8">
      <c r="B117" s="130" t="str">
        <f>Segmentation!B41</f>
        <v>CPO</v>
      </c>
      <c r="C117" s="127" t="str">
        <f>Segmentation!C41</f>
        <v>1.6 Tbps</v>
      </c>
      <c r="D117" s="127" t="str">
        <f>Segmentation!D41</f>
        <v>100G</v>
      </c>
      <c r="E117" s="127" t="str">
        <f>Segmentation!E41</f>
        <v>100 m</v>
      </c>
      <c r="F117" s="128" t="str">
        <f>Segmentation!F41</f>
        <v>TBD</v>
      </c>
      <c r="G117" s="50">
        <v>0</v>
      </c>
      <c r="H117" s="50">
        <v>0</v>
      </c>
      <c r="I117" s="50"/>
      <c r="J117" s="50"/>
      <c r="K117" s="50"/>
      <c r="L117" s="50"/>
      <c r="M117" s="50"/>
      <c r="N117" s="50"/>
      <c r="O117" s="50"/>
      <c r="P117" s="50"/>
      <c r="Q117" s="50"/>
      <c r="R117" s="50"/>
    </row>
    <row r="118" spans="2:21" ht="13.8">
      <c r="B118" s="130" t="str">
        <f>Segmentation!B42</f>
        <v>CPO</v>
      </c>
      <c r="C118" s="127" t="str">
        <f>Segmentation!C42</f>
        <v>1.6 Tbps</v>
      </c>
      <c r="D118" s="127" t="str">
        <f>Segmentation!D42</f>
        <v>100G</v>
      </c>
      <c r="E118" s="127" t="str">
        <f>Segmentation!E42</f>
        <v>500 m</v>
      </c>
      <c r="F118" s="128" t="str">
        <f>Segmentation!F42</f>
        <v>TBD</v>
      </c>
      <c r="G118" s="45">
        <v>0</v>
      </c>
      <c r="H118" s="45">
        <v>0</v>
      </c>
      <c r="I118" s="45"/>
      <c r="J118" s="45"/>
      <c r="K118" s="45"/>
      <c r="L118" s="45"/>
      <c r="M118" s="45"/>
      <c r="N118" s="45"/>
      <c r="O118" s="45"/>
      <c r="P118" s="45"/>
      <c r="Q118" s="45"/>
      <c r="R118" s="45"/>
    </row>
    <row r="119" spans="2:21" ht="13.8">
      <c r="B119" s="130" t="str">
        <f>Segmentation!B43</f>
        <v>CPO</v>
      </c>
      <c r="C119" s="127" t="str">
        <f>Segmentation!C43</f>
        <v>1.6 Tbps</v>
      </c>
      <c r="D119" s="127" t="str">
        <f>Segmentation!D43</f>
        <v>100G</v>
      </c>
      <c r="E119" s="127" t="str">
        <f>Segmentation!E43</f>
        <v>2 km</v>
      </c>
      <c r="F119" s="128" t="str">
        <f>Segmentation!F43</f>
        <v>TBD</v>
      </c>
      <c r="G119" s="45">
        <v>0</v>
      </c>
      <c r="H119" s="45">
        <v>0</v>
      </c>
      <c r="I119" s="45"/>
      <c r="J119" s="45"/>
      <c r="K119" s="45"/>
      <c r="L119" s="45"/>
      <c r="M119" s="45"/>
      <c r="N119" s="45"/>
      <c r="O119" s="45"/>
      <c r="P119" s="45"/>
      <c r="Q119" s="45"/>
      <c r="R119" s="45"/>
    </row>
    <row r="120" spans="2:21" ht="13.8">
      <c r="B120" s="373" t="str">
        <f>Segmentation!B44</f>
        <v>CPO</v>
      </c>
      <c r="C120" s="374" t="str">
        <f>Segmentation!C44</f>
        <v>1.6 Tbps</v>
      </c>
      <c r="D120" s="374" t="str">
        <f>Segmentation!D44</f>
        <v>100G</v>
      </c>
      <c r="E120" s="374" t="str">
        <f>Segmentation!E44</f>
        <v>10 km</v>
      </c>
      <c r="F120" s="375" t="str">
        <f>Segmentation!F44</f>
        <v>TBD</v>
      </c>
      <c r="G120" s="27">
        <v>0</v>
      </c>
      <c r="H120" s="27">
        <v>0</v>
      </c>
      <c r="I120" s="27"/>
      <c r="J120" s="27"/>
      <c r="K120" s="27"/>
      <c r="L120" s="27"/>
      <c r="M120" s="27"/>
      <c r="N120" s="27"/>
      <c r="O120" s="27"/>
      <c r="P120" s="27"/>
      <c r="Q120" s="27"/>
      <c r="R120" s="27"/>
      <c r="U120" s="20"/>
    </row>
    <row r="121" spans="2:21" ht="13.8">
      <c r="B121" s="435" t="str">
        <f>Segmentation!B45</f>
        <v>External laser module (Comb) -LP</v>
      </c>
      <c r="C121" s="127"/>
      <c r="D121" s="127"/>
      <c r="E121" s="127"/>
      <c r="F121" s="128"/>
      <c r="G121" s="45">
        <v>0</v>
      </c>
      <c r="H121" s="45">
        <v>0</v>
      </c>
      <c r="I121" s="45"/>
      <c r="J121" s="45"/>
      <c r="K121" s="45"/>
      <c r="L121" s="45"/>
      <c r="M121" s="45"/>
      <c r="N121" s="45"/>
      <c r="O121" s="45"/>
      <c r="P121" s="45"/>
      <c r="Q121" s="45"/>
      <c r="R121" s="45"/>
    </row>
    <row r="122" spans="2:21" ht="13.8">
      <c r="B122" s="436" t="str">
        <f>Segmentation!B46</f>
        <v>External laser module (Comb) - HP</v>
      </c>
      <c r="C122" s="127"/>
      <c r="D122" s="127"/>
      <c r="E122" s="127"/>
      <c r="F122" s="128"/>
      <c r="G122" s="45">
        <v>0</v>
      </c>
      <c r="H122" s="45">
        <v>0</v>
      </c>
      <c r="I122" s="45"/>
      <c r="J122" s="45"/>
      <c r="K122" s="45"/>
      <c r="L122" s="45"/>
      <c r="M122" s="45"/>
      <c r="N122" s="45"/>
      <c r="O122" s="45"/>
      <c r="P122" s="45"/>
      <c r="Q122" s="45"/>
      <c r="R122" s="45"/>
    </row>
    <row r="123" spans="2:21" ht="13.8">
      <c r="B123" s="436" t="str">
        <f>Segmentation!B47</f>
        <v>External laser module (4xDR4)</v>
      </c>
      <c r="C123" s="127"/>
      <c r="D123" s="127"/>
      <c r="E123" s="127"/>
      <c r="F123" s="128"/>
      <c r="G123" s="45">
        <v>0</v>
      </c>
      <c r="H123" s="45">
        <v>0</v>
      </c>
      <c r="I123" s="45"/>
      <c r="J123" s="45"/>
      <c r="K123" s="45"/>
      <c r="L123" s="45"/>
      <c r="M123" s="45"/>
      <c r="N123" s="45"/>
      <c r="O123" s="45"/>
      <c r="P123" s="45"/>
      <c r="Q123" s="45"/>
      <c r="R123" s="45"/>
    </row>
    <row r="124" spans="2:21" ht="13.8">
      <c r="B124" s="434" t="str">
        <f>Segmentation!B48</f>
        <v>External laser module (4xFR4)</v>
      </c>
      <c r="C124" s="127"/>
      <c r="D124" s="127"/>
      <c r="E124" s="127"/>
      <c r="F124" s="128"/>
      <c r="G124" s="46">
        <v>0</v>
      </c>
      <c r="H124" s="27">
        <v>0</v>
      </c>
      <c r="I124" s="27"/>
      <c r="J124" s="27"/>
      <c r="K124" s="27"/>
      <c r="L124" s="27"/>
      <c r="M124" s="27"/>
      <c r="N124" s="27"/>
      <c r="O124" s="27"/>
      <c r="P124" s="27"/>
      <c r="Q124" s="27"/>
      <c r="R124" s="27"/>
    </row>
    <row r="125" spans="2:21" ht="13.8">
      <c r="B125" s="145" t="str">
        <f>Segmentation!B50</f>
        <v>DAC</v>
      </c>
      <c r="C125" s="146" t="str">
        <f>Segmentation!C50</f>
        <v>10G</v>
      </c>
      <c r="D125" s="146" t="str">
        <f>Segmentation!D50</f>
        <v>TBD</v>
      </c>
      <c r="E125" s="146" t="str">
        <f>Segmentation!E50</f>
        <v>30m</v>
      </c>
      <c r="F125" s="147" t="str">
        <f>Segmentation!F50</f>
        <v>SFP</v>
      </c>
      <c r="G125" s="45">
        <v>0</v>
      </c>
      <c r="H125" s="45">
        <v>0</v>
      </c>
      <c r="I125" s="45"/>
      <c r="J125" s="45"/>
      <c r="K125" s="45"/>
      <c r="L125" s="45"/>
      <c r="M125" s="45"/>
      <c r="N125" s="45"/>
      <c r="O125" s="45"/>
      <c r="P125" s="45"/>
      <c r="Q125" s="45"/>
      <c r="R125" s="45"/>
    </row>
    <row r="126" spans="2:21" ht="13.8">
      <c r="B126" s="130" t="str">
        <f>Segmentation!B51</f>
        <v>DAC</v>
      </c>
      <c r="C126" s="127" t="str">
        <f>Segmentation!C51</f>
        <v>25G</v>
      </c>
      <c r="D126" s="127" t="str">
        <f>Segmentation!D51</f>
        <v>TBD</v>
      </c>
      <c r="E126" s="127" t="str">
        <f>Segmentation!E51</f>
        <v>30m</v>
      </c>
      <c r="F126" s="128" t="str">
        <f>Segmentation!F51</f>
        <v>SFP+</v>
      </c>
      <c r="G126" s="45">
        <v>170583.52500000002</v>
      </c>
      <c r="H126" s="45">
        <v>336669.89850000001</v>
      </c>
      <c r="I126" s="45"/>
      <c r="J126" s="45"/>
      <c r="K126" s="45"/>
      <c r="L126" s="45"/>
      <c r="M126" s="45"/>
      <c r="N126" s="45"/>
      <c r="O126" s="45"/>
      <c r="P126" s="45"/>
      <c r="Q126" s="45"/>
      <c r="R126" s="45"/>
    </row>
    <row r="127" spans="2:21" ht="13.8">
      <c r="B127" s="130" t="str">
        <f>Segmentation!B52</f>
        <v>DAC</v>
      </c>
      <c r="C127" s="127" t="str">
        <f>Segmentation!C52</f>
        <v>40G</v>
      </c>
      <c r="D127" s="127" t="str">
        <f>Segmentation!D52</f>
        <v>10G</v>
      </c>
      <c r="E127" s="127" t="str">
        <f>Segmentation!E52</f>
        <v>30m</v>
      </c>
      <c r="F127" s="128" t="str">
        <f>Segmentation!F52</f>
        <v>QSFP</v>
      </c>
      <c r="G127" s="45">
        <v>836102.85374428728</v>
      </c>
      <c r="H127" s="45">
        <v>574691.97477500001</v>
      </c>
      <c r="I127" s="45"/>
      <c r="J127" s="45"/>
      <c r="K127" s="45"/>
      <c r="L127" s="45"/>
      <c r="M127" s="45"/>
      <c r="N127" s="45"/>
      <c r="O127" s="45"/>
      <c r="P127" s="45"/>
      <c r="Q127" s="45"/>
      <c r="R127" s="45"/>
    </row>
    <row r="128" spans="2:21" ht="13.8">
      <c r="B128" s="130" t="str">
        <f>Segmentation!B53</f>
        <v>DAC</v>
      </c>
      <c r="C128" s="127" t="str">
        <f>Segmentation!C53</f>
        <v>56G</v>
      </c>
      <c r="D128" s="127" t="str">
        <f>Segmentation!D53</f>
        <v>14G</v>
      </c>
      <c r="E128" s="127" t="str">
        <f>Segmentation!E53</f>
        <v>30m</v>
      </c>
      <c r="F128" s="128" t="str">
        <f>Segmentation!F53</f>
        <v>QSFP</v>
      </c>
      <c r="G128" s="45">
        <v>402361.84385246772</v>
      </c>
      <c r="H128" s="45">
        <v>364851.71764485457</v>
      </c>
      <c r="I128" s="45"/>
      <c r="J128" s="45"/>
      <c r="K128" s="45"/>
      <c r="L128" s="45"/>
      <c r="M128" s="45"/>
      <c r="N128" s="45"/>
      <c r="O128" s="45"/>
      <c r="P128" s="45"/>
      <c r="Q128" s="45"/>
      <c r="R128" s="45"/>
    </row>
    <row r="129" spans="2:21" ht="13.8">
      <c r="B129" s="130" t="str">
        <f>Segmentation!B54</f>
        <v>AEC</v>
      </c>
      <c r="C129" s="127" t="str">
        <f>Segmentation!C54</f>
        <v>100G</v>
      </c>
      <c r="D129" s="127" t="str">
        <f>Segmentation!D54</f>
        <v>TBD</v>
      </c>
      <c r="E129" s="127" t="str">
        <f>Segmentation!E54</f>
        <v>30m</v>
      </c>
      <c r="F129" s="128" t="str">
        <f>Segmentation!F54</f>
        <v>QSFP28</v>
      </c>
      <c r="G129" s="45">
        <v>8140.5669999999991</v>
      </c>
      <c r="H129" s="45">
        <v>22287.549119999996</v>
      </c>
      <c r="I129" s="45"/>
      <c r="J129" s="45"/>
      <c r="K129" s="45"/>
      <c r="L129" s="45"/>
      <c r="M129" s="45"/>
      <c r="N129" s="45"/>
      <c r="O129" s="45"/>
      <c r="P129" s="45"/>
      <c r="Q129" s="45"/>
      <c r="R129" s="45"/>
    </row>
    <row r="130" spans="2:21" ht="13.8">
      <c r="B130" s="130" t="str">
        <f>Segmentation!B55</f>
        <v>DAC/ACC</v>
      </c>
      <c r="C130" s="127" t="str">
        <f>Segmentation!C55</f>
        <v>100G</v>
      </c>
      <c r="D130" s="127" t="str">
        <f>Segmentation!D55</f>
        <v>TBD</v>
      </c>
      <c r="E130" s="127" t="str">
        <f>Segmentation!E55</f>
        <v>30m</v>
      </c>
      <c r="F130" s="128" t="str">
        <f>Segmentation!F55</f>
        <v>QSFP28</v>
      </c>
      <c r="G130" s="45">
        <v>102571.14420000002</v>
      </c>
      <c r="H130" s="45">
        <v>284166.25127999997</v>
      </c>
      <c r="I130" s="45"/>
      <c r="J130" s="45"/>
      <c r="K130" s="45"/>
      <c r="L130" s="45"/>
      <c r="M130" s="45"/>
      <c r="N130" s="45"/>
      <c r="O130" s="45"/>
      <c r="P130" s="45"/>
      <c r="Q130" s="45"/>
      <c r="R130" s="45"/>
    </row>
    <row r="131" spans="2:21" ht="13.8">
      <c r="B131" s="130" t="str">
        <f>Segmentation!B56</f>
        <v>AEC</v>
      </c>
      <c r="C131" s="127" t="str">
        <f>Segmentation!C56</f>
        <v>200G</v>
      </c>
      <c r="D131" s="127" t="str">
        <f>Segmentation!D56</f>
        <v>TBD</v>
      </c>
      <c r="E131" s="127" t="str">
        <f>Segmentation!E56</f>
        <v>30m</v>
      </c>
      <c r="F131" s="128" t="str">
        <f>Segmentation!F56</f>
        <v>QSFP56</v>
      </c>
      <c r="G131" s="45">
        <v>0</v>
      </c>
      <c r="H131" s="45">
        <v>0</v>
      </c>
      <c r="I131" s="45"/>
      <c r="J131" s="45"/>
      <c r="K131" s="45"/>
      <c r="L131" s="45"/>
      <c r="M131" s="45"/>
      <c r="N131" s="45"/>
      <c r="O131" s="45"/>
      <c r="P131" s="45"/>
      <c r="Q131" s="45"/>
      <c r="R131" s="45"/>
    </row>
    <row r="132" spans="2:21" ht="13.8">
      <c r="B132" s="130" t="str">
        <f>Segmentation!B57</f>
        <v>DAC/ACC</v>
      </c>
      <c r="C132" s="127" t="str">
        <f>Segmentation!C57</f>
        <v>200G</v>
      </c>
      <c r="D132" s="127" t="str">
        <f>Segmentation!D57</f>
        <v>TBD</v>
      </c>
      <c r="E132" s="127" t="str">
        <f>Segmentation!E57</f>
        <v>30m</v>
      </c>
      <c r="F132" s="128" t="str">
        <f>Segmentation!F57</f>
        <v>QSFP56</v>
      </c>
      <c r="G132" s="45">
        <v>0</v>
      </c>
      <c r="H132" s="45">
        <v>0</v>
      </c>
      <c r="I132" s="45"/>
      <c r="J132" s="45"/>
      <c r="K132" s="45"/>
      <c r="L132" s="45"/>
      <c r="M132" s="45"/>
      <c r="N132" s="45"/>
      <c r="O132" s="45"/>
      <c r="P132" s="45"/>
      <c r="Q132" s="45"/>
      <c r="R132" s="45"/>
    </row>
    <row r="133" spans="2:21" ht="13.8">
      <c r="B133" s="130" t="str">
        <f>Segmentation!B58</f>
        <v>AEC</v>
      </c>
      <c r="C133" s="127" t="str">
        <f>Segmentation!C58</f>
        <v>400G</v>
      </c>
      <c r="D133" s="127" t="str">
        <f>Segmentation!D58</f>
        <v>TBD</v>
      </c>
      <c r="E133" s="127" t="str">
        <f>Segmentation!E58</f>
        <v>30m</v>
      </c>
      <c r="F133" s="128" t="str">
        <f>Segmentation!F58</f>
        <v>TBD</v>
      </c>
      <c r="G133" s="45">
        <v>0</v>
      </c>
      <c r="H133" s="45">
        <v>0</v>
      </c>
      <c r="I133" s="45"/>
      <c r="J133" s="45"/>
      <c r="K133" s="45"/>
      <c r="L133" s="45"/>
      <c r="M133" s="45"/>
      <c r="N133" s="45"/>
      <c r="O133" s="45"/>
      <c r="P133" s="45"/>
      <c r="Q133" s="45"/>
      <c r="R133" s="45"/>
    </row>
    <row r="134" spans="2:21" ht="13.8">
      <c r="B134" s="130" t="str">
        <f>Segmentation!B59</f>
        <v>DAC/ACC</v>
      </c>
      <c r="C134" s="127" t="str">
        <f>Segmentation!C59</f>
        <v>400G</v>
      </c>
      <c r="D134" s="127" t="str">
        <f>Segmentation!D59</f>
        <v>TBD</v>
      </c>
      <c r="E134" s="127" t="str">
        <f>Segmentation!E59</f>
        <v>30m</v>
      </c>
      <c r="F134" s="128" t="str">
        <f>Segmentation!F59</f>
        <v>TBD</v>
      </c>
      <c r="G134" s="45">
        <v>0</v>
      </c>
      <c r="H134" s="45">
        <v>0</v>
      </c>
      <c r="I134" s="45"/>
      <c r="J134" s="45"/>
      <c r="K134" s="45"/>
      <c r="L134" s="45"/>
      <c r="M134" s="45"/>
      <c r="N134" s="45"/>
      <c r="O134" s="45"/>
      <c r="P134" s="45"/>
      <c r="Q134" s="45"/>
      <c r="R134" s="45"/>
    </row>
    <row r="135" spans="2:21" ht="13.8">
      <c r="B135" s="130" t="str">
        <f>Segmentation!B60</f>
        <v>AEC</v>
      </c>
      <c r="C135" s="127" t="str">
        <f>Segmentation!C60</f>
        <v>800G</v>
      </c>
      <c r="D135" s="127" t="str">
        <f>Segmentation!D60</f>
        <v>TBD</v>
      </c>
      <c r="E135" s="127" t="str">
        <f>Segmentation!E60</f>
        <v>30m</v>
      </c>
      <c r="F135" s="128" t="str">
        <f>Segmentation!F60</f>
        <v>TBD</v>
      </c>
      <c r="G135" s="45">
        <v>0</v>
      </c>
      <c r="H135" s="45">
        <v>0</v>
      </c>
      <c r="I135" s="45"/>
      <c r="J135" s="45"/>
      <c r="K135" s="45"/>
      <c r="L135" s="45"/>
      <c r="M135" s="45"/>
      <c r="N135" s="45"/>
      <c r="O135" s="45"/>
      <c r="P135" s="45"/>
      <c r="Q135" s="45"/>
      <c r="R135" s="45"/>
    </row>
    <row r="136" spans="2:21" ht="13.8">
      <c r="B136" s="130" t="str">
        <f>Segmentation!B61</f>
        <v>DAC/ACC</v>
      </c>
      <c r="C136" s="127" t="str">
        <f>Segmentation!C61</f>
        <v>800G</v>
      </c>
      <c r="D136" s="127" t="str">
        <f>Segmentation!D61</f>
        <v>TBD</v>
      </c>
      <c r="E136" s="127" t="str">
        <f>Segmentation!E61</f>
        <v>30m</v>
      </c>
      <c r="F136" s="128" t="str">
        <f>Segmentation!F61</f>
        <v>TBD</v>
      </c>
      <c r="G136" s="45">
        <v>0</v>
      </c>
      <c r="H136" s="45">
        <v>0</v>
      </c>
      <c r="I136" s="45"/>
      <c r="J136" s="45"/>
      <c r="K136" s="45"/>
      <c r="L136" s="45"/>
      <c r="M136" s="45"/>
      <c r="N136" s="45"/>
      <c r="O136" s="45"/>
      <c r="P136" s="45"/>
      <c r="Q136" s="45"/>
      <c r="R136" s="45"/>
    </row>
    <row r="137" spans="2:21" ht="13.8">
      <c r="B137" s="130" t="str">
        <f>Segmentation!B62</f>
        <v>AEC</v>
      </c>
      <c r="C137" s="127" t="str">
        <f>Segmentation!C62</f>
        <v>1.6 Tbps</v>
      </c>
      <c r="D137" s="127" t="str">
        <f>Segmentation!D62</f>
        <v>TBD</v>
      </c>
      <c r="E137" s="127" t="str">
        <f>Segmentation!E62</f>
        <v>30m</v>
      </c>
      <c r="F137" s="128" t="str">
        <f>Segmentation!F62</f>
        <v>TBD</v>
      </c>
      <c r="G137" s="45">
        <v>0</v>
      </c>
      <c r="H137" s="45">
        <v>0</v>
      </c>
      <c r="I137" s="45"/>
      <c r="J137" s="45"/>
      <c r="K137" s="45"/>
      <c r="L137" s="45"/>
      <c r="M137" s="45"/>
      <c r="N137" s="45"/>
      <c r="O137" s="45"/>
      <c r="P137" s="45"/>
      <c r="Q137" s="45"/>
      <c r="R137" s="45"/>
    </row>
    <row r="138" spans="2:21" ht="13.8">
      <c r="B138" s="373" t="str">
        <f>Segmentation!B63</f>
        <v>DAC/ACC</v>
      </c>
      <c r="C138" s="374" t="str">
        <f>Segmentation!C63</f>
        <v>1.6 Tbps</v>
      </c>
      <c r="D138" s="374" t="str">
        <f>Segmentation!D63</f>
        <v>TBD</v>
      </c>
      <c r="E138" s="374" t="str">
        <f>Segmentation!E63</f>
        <v>30m</v>
      </c>
      <c r="F138" s="375" t="str">
        <f>Segmentation!F63</f>
        <v>TBD</v>
      </c>
      <c r="G138" s="45">
        <v>0</v>
      </c>
      <c r="H138" s="45">
        <v>0</v>
      </c>
      <c r="I138" s="45"/>
      <c r="J138" s="45"/>
      <c r="K138" s="45"/>
      <c r="L138" s="45"/>
      <c r="M138" s="45"/>
      <c r="N138" s="45"/>
      <c r="O138" s="45"/>
      <c r="P138" s="45"/>
      <c r="Q138" s="45"/>
      <c r="R138" s="45"/>
      <c r="U138" s="20"/>
    </row>
    <row r="139" spans="2:21" ht="13.8">
      <c r="B139" s="148" t="s">
        <v>25</v>
      </c>
      <c r="C139" s="100" t="s">
        <v>57</v>
      </c>
      <c r="D139" s="100" t="s">
        <v>57</v>
      </c>
      <c r="E139" s="129" t="s">
        <v>57</v>
      </c>
      <c r="F139" s="92" t="s">
        <v>57</v>
      </c>
      <c r="G139" s="136">
        <f t="shared" ref="G139:R139" si="55">SUM(G90:G138)</f>
        <v>1975352.3718148267</v>
      </c>
      <c r="H139" s="136">
        <f t="shared" si="55"/>
        <v>2006035.3363149837</v>
      </c>
      <c r="I139" s="136">
        <f t="shared" si="55"/>
        <v>0</v>
      </c>
      <c r="J139" s="136">
        <f t="shared" si="55"/>
        <v>0</v>
      </c>
      <c r="K139" s="136">
        <f t="shared" si="55"/>
        <v>0</v>
      </c>
      <c r="L139" s="136">
        <f t="shared" si="55"/>
        <v>0</v>
      </c>
      <c r="M139" s="136">
        <f t="shared" si="55"/>
        <v>0</v>
      </c>
      <c r="N139" s="136">
        <f t="shared" si="55"/>
        <v>0</v>
      </c>
      <c r="O139" s="136">
        <f t="shared" si="55"/>
        <v>0</v>
      </c>
      <c r="P139" s="136">
        <f t="shared" si="55"/>
        <v>0</v>
      </c>
      <c r="Q139" s="136">
        <f t="shared" si="55"/>
        <v>0</v>
      </c>
      <c r="R139" s="136">
        <f t="shared" si="55"/>
        <v>0</v>
      </c>
    </row>
    <row r="141" spans="2:21" ht="13.8">
      <c r="B141" s="87" t="str">
        <f>B89</f>
        <v>Type</v>
      </c>
      <c r="C141" s="86" t="str">
        <f>C89</f>
        <v>Agg. Speed</v>
      </c>
      <c r="D141" s="100" t="str">
        <f>D89</f>
        <v>Lane Speed</v>
      </c>
      <c r="E141" s="100" t="str">
        <f>E89</f>
        <v>Lanes</v>
      </c>
      <c r="F141" s="196" t="str">
        <f>F89</f>
        <v>Form Factor</v>
      </c>
      <c r="G141" s="30">
        <f t="shared" ref="G141:R141" si="56">G151</f>
        <v>2016</v>
      </c>
      <c r="H141" s="30">
        <f t="shared" si="56"/>
        <v>2017</v>
      </c>
      <c r="I141" s="30">
        <f t="shared" si="56"/>
        <v>2018</v>
      </c>
      <c r="J141" s="30">
        <f t="shared" si="56"/>
        <v>2019</v>
      </c>
      <c r="K141" s="30">
        <f t="shared" si="56"/>
        <v>2020</v>
      </c>
      <c r="L141" s="30">
        <f t="shared" si="56"/>
        <v>2021</v>
      </c>
      <c r="M141" s="30">
        <f t="shared" si="56"/>
        <v>2022</v>
      </c>
      <c r="N141" s="30">
        <f t="shared" si="56"/>
        <v>2023</v>
      </c>
      <c r="O141" s="30">
        <f t="shared" si="56"/>
        <v>2024</v>
      </c>
      <c r="P141" s="30">
        <f t="shared" si="56"/>
        <v>2025</v>
      </c>
      <c r="Q141" s="30">
        <f t="shared" si="56"/>
        <v>2026</v>
      </c>
      <c r="R141" s="30">
        <f t="shared" si="56"/>
        <v>2027</v>
      </c>
    </row>
    <row r="142" spans="2:21" ht="13.8">
      <c r="B142" s="93" t="str">
        <f>'Combined forecast'!B60</f>
        <v>AOC</v>
      </c>
      <c r="C142" s="82" t="str">
        <f>'Combined forecast'!C60</f>
        <v>All</v>
      </c>
      <c r="D142" s="82" t="str">
        <f>'Combined forecast'!D60</f>
        <v>All</v>
      </c>
      <c r="E142" s="82" t="str">
        <f>'Combined forecast'!E60</f>
        <v>Single</v>
      </c>
      <c r="F142" s="95" t="str">
        <f>'Combined forecast'!F60</f>
        <v>All</v>
      </c>
      <c r="G142" s="83">
        <f t="shared" ref="G142:R142" si="57">G90+G97+G104</f>
        <v>0</v>
      </c>
      <c r="H142" s="25">
        <f t="shared" si="57"/>
        <v>0</v>
      </c>
      <c r="I142" s="25">
        <f t="shared" si="57"/>
        <v>0</v>
      </c>
      <c r="J142" s="25">
        <f t="shared" si="57"/>
        <v>0</v>
      </c>
      <c r="K142" s="25">
        <f t="shared" si="57"/>
        <v>0</v>
      </c>
      <c r="L142" s="25">
        <f t="shared" si="57"/>
        <v>0</v>
      </c>
      <c r="M142" s="25">
        <f t="shared" si="57"/>
        <v>0</v>
      </c>
      <c r="N142" s="25">
        <f t="shared" si="57"/>
        <v>0</v>
      </c>
      <c r="O142" s="25">
        <f t="shared" si="57"/>
        <v>0</v>
      </c>
      <c r="P142" s="25">
        <f t="shared" si="57"/>
        <v>0</v>
      </c>
      <c r="Q142" s="25">
        <f t="shared" si="57"/>
        <v>0</v>
      </c>
      <c r="R142" s="25">
        <f t="shared" si="57"/>
        <v>0</v>
      </c>
    </row>
    <row r="143" spans="2:21" ht="13.8">
      <c r="B143" s="94" t="str">
        <f>'Combined forecast'!B61</f>
        <v>AOC</v>
      </c>
      <c r="C143" s="77" t="str">
        <f>'Combined forecast'!C61</f>
        <v>All</v>
      </c>
      <c r="D143" s="77" t="str">
        <f>'Combined forecast'!D61</f>
        <v>All</v>
      </c>
      <c r="E143" s="77" t="str">
        <f>'Combined forecast'!E61</f>
        <v>Multi-</v>
      </c>
      <c r="F143" s="96" t="str">
        <f>'Combined forecast'!F61</f>
        <v>All</v>
      </c>
      <c r="G143" s="50">
        <f>G91+G93+G95+G96+G98+G100+G101+G103+G105+G92+G99+G107+G109+G108+G110</f>
        <v>423905.86071428569</v>
      </c>
      <c r="H143" s="50">
        <f t="shared" ref="H143:R143" si="58">H91+H93+H95+H96+H98+H100+H101+H103+H105+H92+H99+H107+H109+H108+H110</f>
        <v>373601.42000000004</v>
      </c>
      <c r="I143" s="50">
        <f t="shared" si="58"/>
        <v>0</v>
      </c>
      <c r="J143" s="50">
        <f t="shared" si="58"/>
        <v>0</v>
      </c>
      <c r="K143" s="50">
        <f t="shared" si="58"/>
        <v>0</v>
      </c>
      <c r="L143" s="50">
        <f t="shared" si="58"/>
        <v>0</v>
      </c>
      <c r="M143" s="50">
        <f t="shared" si="58"/>
        <v>0</v>
      </c>
      <c r="N143" s="50">
        <f t="shared" si="58"/>
        <v>0</v>
      </c>
      <c r="O143" s="50">
        <f t="shared" si="58"/>
        <v>0</v>
      </c>
      <c r="P143" s="50">
        <f t="shared" si="58"/>
        <v>0</v>
      </c>
      <c r="Q143" s="50">
        <f t="shared" si="58"/>
        <v>0</v>
      </c>
      <c r="R143" s="50">
        <f t="shared" si="58"/>
        <v>0</v>
      </c>
    </row>
    <row r="144" spans="2:21" ht="13.8">
      <c r="B144" s="94" t="str">
        <f>'Combined forecast'!B62</f>
        <v>EOM</v>
      </c>
      <c r="C144" s="77" t="str">
        <f>'Combined forecast'!C62</f>
        <v>All</v>
      </c>
      <c r="D144" s="77" t="str">
        <f>'Combined forecast'!D62</f>
        <v>All</v>
      </c>
      <c r="E144" s="77" t="str">
        <f>'Combined forecast'!E62</f>
        <v>All</v>
      </c>
      <c r="F144" s="96" t="str">
        <f>'Combined forecast'!F62</f>
        <v>All</v>
      </c>
      <c r="G144" s="50">
        <f>G106+G103+G102+G94</f>
        <v>31686.577303786085</v>
      </c>
      <c r="H144" s="50">
        <f t="shared" ref="H144:R144" si="59">H106+H103+H102+H94</f>
        <v>49766.52499512909</v>
      </c>
      <c r="I144" s="50">
        <f t="shared" si="59"/>
        <v>0</v>
      </c>
      <c r="J144" s="50">
        <f t="shared" si="59"/>
        <v>0</v>
      </c>
      <c r="K144" s="50">
        <f t="shared" si="59"/>
        <v>0</v>
      </c>
      <c r="L144" s="50">
        <f t="shared" si="59"/>
        <v>0</v>
      </c>
      <c r="M144" s="50">
        <f t="shared" si="59"/>
        <v>0</v>
      </c>
      <c r="N144" s="50">
        <f t="shared" si="59"/>
        <v>0</v>
      </c>
      <c r="O144" s="50">
        <f t="shared" si="59"/>
        <v>0</v>
      </c>
      <c r="P144" s="50">
        <f t="shared" si="59"/>
        <v>0</v>
      </c>
      <c r="Q144" s="50">
        <f t="shared" si="59"/>
        <v>0</v>
      </c>
      <c r="R144" s="50">
        <f t="shared" si="59"/>
        <v>0</v>
      </c>
    </row>
    <row r="145" spans="2:18" ht="13.8">
      <c r="B145" s="94" t="str">
        <f>'Combined forecast'!B63</f>
        <v>CPO</v>
      </c>
      <c r="C145" s="77" t="str">
        <f>'Combined forecast'!C63</f>
        <v>All</v>
      </c>
      <c r="D145" s="77" t="str">
        <f>'Combined forecast'!D63</f>
        <v>All</v>
      </c>
      <c r="E145" s="77" t="str">
        <f>'Combined forecast'!E63</f>
        <v>All</v>
      </c>
      <c r="F145" s="96" t="s">
        <v>57</v>
      </c>
      <c r="G145" s="50">
        <f>SUM(G111:G120)</f>
        <v>0</v>
      </c>
      <c r="H145" s="50">
        <f t="shared" ref="H145:R145" si="60">SUM(H111:H120)</f>
        <v>0</v>
      </c>
      <c r="I145" s="50">
        <f t="shared" si="60"/>
        <v>0</v>
      </c>
      <c r="J145" s="50">
        <f t="shared" si="60"/>
        <v>0</v>
      </c>
      <c r="K145" s="50">
        <f t="shared" si="60"/>
        <v>0</v>
      </c>
      <c r="L145" s="50">
        <f t="shared" si="60"/>
        <v>0</v>
      </c>
      <c r="M145" s="50">
        <f t="shared" si="60"/>
        <v>0</v>
      </c>
      <c r="N145" s="50">
        <f t="shared" si="60"/>
        <v>0</v>
      </c>
      <c r="O145" s="50">
        <f t="shared" si="60"/>
        <v>0</v>
      </c>
      <c r="P145" s="50">
        <f t="shared" si="60"/>
        <v>0</v>
      </c>
      <c r="Q145" s="50">
        <f t="shared" si="60"/>
        <v>0</v>
      </c>
      <c r="R145" s="50">
        <f t="shared" si="60"/>
        <v>0</v>
      </c>
    </row>
    <row r="146" spans="2:18" ht="13.8">
      <c r="B146" s="429" t="str">
        <f>'Combined forecast'!B64</f>
        <v>External laser modules</v>
      </c>
      <c r="C146" s="77"/>
      <c r="D146" s="77"/>
      <c r="E146" s="77"/>
      <c r="F146" s="96"/>
      <c r="G146" s="50">
        <f>SUM(G121:G124)</f>
        <v>0</v>
      </c>
      <c r="H146" s="50">
        <f t="shared" ref="H146:R146" si="61">SUM(H121:H124)</f>
        <v>0</v>
      </c>
      <c r="I146" s="50">
        <f t="shared" si="61"/>
        <v>0</v>
      </c>
      <c r="J146" s="50">
        <f t="shared" si="61"/>
        <v>0</v>
      </c>
      <c r="K146" s="50">
        <f t="shared" si="61"/>
        <v>0</v>
      </c>
      <c r="L146" s="50">
        <f t="shared" si="61"/>
        <v>0</v>
      </c>
      <c r="M146" s="50">
        <f>SUM(M121:M124)</f>
        <v>0</v>
      </c>
      <c r="N146" s="50">
        <f t="shared" si="61"/>
        <v>0</v>
      </c>
      <c r="O146" s="50">
        <f t="shared" si="61"/>
        <v>0</v>
      </c>
      <c r="P146" s="50">
        <f t="shared" si="61"/>
        <v>0</v>
      </c>
      <c r="Q146" s="50">
        <f t="shared" si="61"/>
        <v>0</v>
      </c>
      <c r="R146" s="50">
        <f t="shared" si="61"/>
        <v>0</v>
      </c>
    </row>
    <row r="147" spans="2:18" ht="13.8">
      <c r="B147" s="94" t="s">
        <v>94</v>
      </c>
      <c r="C147" s="77" t="str">
        <f>C145</f>
        <v>All</v>
      </c>
      <c r="D147" s="77" t="s">
        <v>57</v>
      </c>
      <c r="E147" s="77" t="str">
        <f>E145</f>
        <v>All</v>
      </c>
      <c r="F147" s="96" t="str">
        <f>'Combined forecast'!F66</f>
        <v>All</v>
      </c>
      <c r="G147" s="50">
        <f>SUM(G125:G138)</f>
        <v>1519759.933796755</v>
      </c>
      <c r="H147" s="50">
        <f t="shared" ref="H147:R147" si="62">SUM(H125:H138)</f>
        <v>1582667.3913198547</v>
      </c>
      <c r="I147" s="50">
        <f t="shared" si="62"/>
        <v>0</v>
      </c>
      <c r="J147" s="50">
        <f t="shared" si="62"/>
        <v>0</v>
      </c>
      <c r="K147" s="211">
        <f t="shared" si="62"/>
        <v>0</v>
      </c>
      <c r="L147" s="211">
        <f t="shared" si="62"/>
        <v>0</v>
      </c>
      <c r="M147" s="211">
        <f t="shared" si="62"/>
        <v>0</v>
      </c>
      <c r="N147" s="211">
        <f t="shared" si="62"/>
        <v>0</v>
      </c>
      <c r="O147" s="211">
        <f t="shared" si="62"/>
        <v>0</v>
      </c>
      <c r="P147" s="211">
        <f t="shared" si="62"/>
        <v>0</v>
      </c>
      <c r="Q147" s="211">
        <f t="shared" si="62"/>
        <v>0</v>
      </c>
      <c r="R147" s="211">
        <f t="shared" si="62"/>
        <v>0</v>
      </c>
    </row>
    <row r="148" spans="2:18" ht="13.8">
      <c r="B148" s="87" t="s">
        <v>13</v>
      </c>
      <c r="C148" s="100" t="s">
        <v>57</v>
      </c>
      <c r="D148" s="100" t="s">
        <v>57</v>
      </c>
      <c r="E148" s="129" t="s">
        <v>57</v>
      </c>
      <c r="F148" s="92" t="s">
        <v>57</v>
      </c>
      <c r="G148" s="84">
        <f t="shared" ref="G148:R148" si="63">SUM(G142:G147)</f>
        <v>1975352.3718148267</v>
      </c>
      <c r="H148" s="36">
        <f t="shared" si="63"/>
        <v>2006035.3363149837</v>
      </c>
      <c r="I148" s="36">
        <f t="shared" si="63"/>
        <v>0</v>
      </c>
      <c r="J148" s="36">
        <f t="shared" si="63"/>
        <v>0</v>
      </c>
      <c r="K148" s="36">
        <f t="shared" si="63"/>
        <v>0</v>
      </c>
      <c r="L148" s="36">
        <f t="shared" si="63"/>
        <v>0</v>
      </c>
      <c r="M148" s="36">
        <f t="shared" si="63"/>
        <v>0</v>
      </c>
      <c r="N148" s="36">
        <f t="shared" si="63"/>
        <v>0</v>
      </c>
      <c r="O148" s="36">
        <f t="shared" si="63"/>
        <v>0</v>
      </c>
      <c r="P148" s="36">
        <f t="shared" si="63"/>
        <v>0</v>
      </c>
      <c r="Q148" s="36">
        <f t="shared" si="63"/>
        <v>0</v>
      </c>
      <c r="R148" s="36">
        <f t="shared" si="63"/>
        <v>0</v>
      </c>
    </row>
    <row r="149" spans="2:18" ht="13.8">
      <c r="B149" s="8"/>
      <c r="C149" s="8"/>
      <c r="D149" s="8"/>
      <c r="E149" s="8"/>
      <c r="F149" s="76"/>
      <c r="G149" s="18"/>
      <c r="H149" s="18"/>
      <c r="I149" s="18"/>
      <c r="J149" s="18"/>
      <c r="K149" s="18"/>
      <c r="L149" s="18"/>
      <c r="M149" s="18"/>
      <c r="N149" s="18"/>
      <c r="O149" s="18"/>
      <c r="P149" s="18"/>
      <c r="Q149" s="18"/>
      <c r="R149" s="18"/>
    </row>
    <row r="150" spans="2:18" ht="21">
      <c r="B150" s="23" t="str">
        <f>B11</f>
        <v>Core Routing</v>
      </c>
      <c r="C150" s="23"/>
      <c r="D150" s="23"/>
      <c r="E150" s="23"/>
      <c r="F150" s="279"/>
      <c r="G150" s="17"/>
      <c r="H150" s="151"/>
      <c r="I150" s="8"/>
      <c r="J150" s="8"/>
      <c r="K150" s="8"/>
      <c r="L150" s="8"/>
      <c r="M150" s="8"/>
      <c r="N150" s="8"/>
      <c r="O150" s="8"/>
      <c r="P150" s="8"/>
      <c r="Q150" s="8"/>
      <c r="R150" s="8"/>
    </row>
    <row r="151" spans="2:18" ht="13.8">
      <c r="B151" s="81" t="str">
        <f t="shared" ref="B151:F160" si="64">B89</f>
        <v>Type</v>
      </c>
      <c r="C151" s="143" t="str">
        <f t="shared" si="64"/>
        <v>Agg. Speed</v>
      </c>
      <c r="D151" s="143" t="str">
        <f t="shared" si="64"/>
        <v>Lane Speed</v>
      </c>
      <c r="E151" s="143" t="str">
        <f t="shared" si="64"/>
        <v>Lanes</v>
      </c>
      <c r="F151" s="144" t="str">
        <f t="shared" si="64"/>
        <v>Form Factor</v>
      </c>
      <c r="G151" s="35">
        <v>2016</v>
      </c>
      <c r="H151" s="35">
        <v>2017</v>
      </c>
      <c r="I151" s="35">
        <v>2018</v>
      </c>
      <c r="J151" s="35">
        <v>2019</v>
      </c>
      <c r="K151" s="35">
        <v>2020</v>
      </c>
      <c r="L151" s="35">
        <v>2021</v>
      </c>
      <c r="M151" s="35">
        <v>2022</v>
      </c>
      <c r="N151" s="35">
        <v>2023</v>
      </c>
      <c r="O151" s="35">
        <v>2024</v>
      </c>
      <c r="P151" s="35">
        <v>2025</v>
      </c>
      <c r="Q151" s="35">
        <v>2026</v>
      </c>
      <c r="R151" s="35">
        <v>2027</v>
      </c>
    </row>
    <row r="152" spans="2:18" ht="13.8">
      <c r="B152" s="145" t="str">
        <f t="shared" si="64"/>
        <v>AOC</v>
      </c>
      <c r="C152" s="146" t="str">
        <f t="shared" si="64"/>
        <v>10G</v>
      </c>
      <c r="D152" s="146" t="str">
        <f t="shared" si="64"/>
        <v>≤10G</v>
      </c>
      <c r="E152" s="146">
        <f t="shared" si="64"/>
        <v>1</v>
      </c>
      <c r="F152" s="147" t="str">
        <f t="shared" si="64"/>
        <v>SFP+</v>
      </c>
      <c r="G152" s="119">
        <v>0</v>
      </c>
      <c r="H152" s="119">
        <v>0</v>
      </c>
      <c r="I152" s="119"/>
      <c r="J152" s="119"/>
      <c r="K152" s="119"/>
      <c r="L152" s="119"/>
      <c r="M152" s="119"/>
      <c r="N152" s="119"/>
      <c r="O152" s="119"/>
      <c r="P152" s="119"/>
      <c r="Q152" s="119"/>
      <c r="R152" s="119"/>
    </row>
    <row r="153" spans="2:18" ht="13.8">
      <c r="B153" s="130" t="str">
        <f t="shared" si="64"/>
        <v>AOC</v>
      </c>
      <c r="C153" s="127" t="str">
        <f t="shared" si="64"/>
        <v>40G</v>
      </c>
      <c r="D153" s="127" t="str">
        <f t="shared" si="64"/>
        <v>≤10G</v>
      </c>
      <c r="E153" s="127">
        <f t="shared" si="64"/>
        <v>4</v>
      </c>
      <c r="F153" s="128" t="str">
        <f t="shared" si="64"/>
        <v>QSFP+</v>
      </c>
      <c r="G153" s="45">
        <v>0</v>
      </c>
      <c r="H153" s="45">
        <v>0</v>
      </c>
      <c r="I153" s="45"/>
      <c r="J153" s="45"/>
      <c r="K153" s="45"/>
      <c r="L153" s="45"/>
      <c r="M153" s="45"/>
      <c r="N153" s="45"/>
      <c r="O153" s="45"/>
      <c r="P153" s="45"/>
      <c r="Q153" s="45"/>
      <c r="R153" s="45"/>
    </row>
    <row r="154" spans="2:18" ht="13.8">
      <c r="B154" s="130" t="str">
        <f t="shared" si="64"/>
        <v>AOC</v>
      </c>
      <c r="C154" s="127" t="str">
        <f t="shared" si="64"/>
        <v>40G</v>
      </c>
      <c r="D154" s="127" t="str">
        <f t="shared" si="64"/>
        <v>≤10G</v>
      </c>
      <c r="E154" s="127" t="str">
        <f t="shared" si="64"/>
        <v>4:1</v>
      </c>
      <c r="F154" s="128" t="str">
        <f t="shared" si="64"/>
        <v>QSFP+/SFP+</v>
      </c>
      <c r="G154" s="45">
        <v>0</v>
      </c>
      <c r="H154" s="45">
        <v>0</v>
      </c>
      <c r="I154" s="45"/>
      <c r="J154" s="45"/>
      <c r="K154" s="45"/>
      <c r="L154" s="45"/>
      <c r="M154" s="45"/>
      <c r="N154" s="45"/>
      <c r="O154" s="45"/>
      <c r="P154" s="45"/>
      <c r="Q154" s="45"/>
      <c r="R154" s="45"/>
    </row>
    <row r="155" spans="2:18" ht="13.8">
      <c r="B155" s="130" t="str">
        <f t="shared" si="64"/>
        <v>AOC</v>
      </c>
      <c r="C155" s="127" t="str">
        <f t="shared" si="64"/>
        <v>150G</v>
      </c>
      <c r="D155" s="127" t="str">
        <f t="shared" si="64"/>
        <v>≤12.5G</v>
      </c>
      <c r="E155" s="127">
        <f t="shared" si="64"/>
        <v>12</v>
      </c>
      <c r="F155" s="128" t="str">
        <f t="shared" si="64"/>
        <v>CXP</v>
      </c>
      <c r="G155" s="45">
        <v>66566.69642857142</v>
      </c>
      <c r="H155" s="45">
        <v>58650.8</v>
      </c>
      <c r="I155" s="45"/>
      <c r="J155" s="45"/>
      <c r="K155" s="45"/>
      <c r="L155" s="45"/>
      <c r="M155" s="45"/>
      <c r="N155" s="45"/>
      <c r="O155" s="45"/>
      <c r="P155" s="45"/>
      <c r="Q155" s="45"/>
      <c r="R155" s="45"/>
    </row>
    <row r="156" spans="2:18" ht="13.8">
      <c r="B156" s="130" t="str">
        <f t="shared" si="64"/>
        <v>EOM</v>
      </c>
      <c r="C156" s="127" t="str">
        <f t="shared" si="64"/>
        <v>150G</v>
      </c>
      <c r="D156" s="127" t="str">
        <f t="shared" si="64"/>
        <v>≤12.5G</v>
      </c>
      <c r="E156" s="127">
        <f t="shared" si="64"/>
        <v>12</v>
      </c>
      <c r="F156" s="128" t="str">
        <f t="shared" si="64"/>
        <v>XCVR - CXP</v>
      </c>
      <c r="G156" s="45">
        <v>19813.422696213915</v>
      </c>
      <c r="H156" s="45">
        <v>13894.875004870912</v>
      </c>
      <c r="I156" s="45"/>
      <c r="J156" s="45"/>
      <c r="K156" s="45"/>
      <c r="L156" s="45"/>
      <c r="M156" s="45"/>
      <c r="N156" s="45"/>
      <c r="O156" s="45"/>
      <c r="P156" s="45"/>
      <c r="Q156" s="45"/>
      <c r="R156" s="45"/>
    </row>
    <row r="157" spans="2:18" ht="13.8">
      <c r="B157" s="130" t="str">
        <f t="shared" si="64"/>
        <v>AOC</v>
      </c>
      <c r="C157" s="127" t="str">
        <f t="shared" si="64"/>
        <v>56G</v>
      </c>
      <c r="D157" s="127" t="str">
        <f t="shared" si="64"/>
        <v>12-14G</v>
      </c>
      <c r="E157" s="127">
        <f t="shared" si="64"/>
        <v>4</v>
      </c>
      <c r="F157" s="128" t="str">
        <f t="shared" si="64"/>
        <v>QSFP+</v>
      </c>
      <c r="G157" s="45">
        <v>0</v>
      </c>
      <c r="H157" s="45">
        <v>0</v>
      </c>
      <c r="I157" s="45"/>
      <c r="J157" s="45"/>
      <c r="K157" s="45"/>
      <c r="L157" s="45"/>
      <c r="M157" s="45"/>
      <c r="N157" s="45"/>
      <c r="O157" s="45"/>
      <c r="P157" s="45"/>
      <c r="Q157" s="45"/>
      <c r="R157" s="45"/>
    </row>
    <row r="158" spans="2:18" ht="13.8">
      <c r="B158" s="130" t="str">
        <f t="shared" si="64"/>
        <v>AOC</v>
      </c>
      <c r="C158" s="127" t="str">
        <f t="shared" si="64"/>
        <v>48G</v>
      </c>
      <c r="D158" s="127" t="str">
        <f t="shared" si="64"/>
        <v>12G</v>
      </c>
      <c r="E158" s="127">
        <f t="shared" si="64"/>
        <v>4</v>
      </c>
      <c r="F158" s="128" t="str">
        <f t="shared" si="64"/>
        <v>Mini-SAS HD</v>
      </c>
      <c r="G158" s="45">
        <v>0</v>
      </c>
      <c r="H158" s="45">
        <v>0</v>
      </c>
      <c r="I158" s="45"/>
      <c r="J158" s="45"/>
      <c r="K158" s="45"/>
      <c r="L158" s="45"/>
      <c r="M158" s="45"/>
      <c r="N158" s="45"/>
      <c r="O158" s="45"/>
      <c r="P158" s="45"/>
      <c r="Q158" s="45"/>
      <c r="R158" s="45"/>
    </row>
    <row r="159" spans="2:18" ht="13.8">
      <c r="B159" s="130" t="str">
        <f t="shared" si="64"/>
        <v>AOC</v>
      </c>
      <c r="C159" s="127" t="str">
        <f t="shared" si="64"/>
        <v>25G</v>
      </c>
      <c r="D159" s="127" t="str">
        <f t="shared" si="64"/>
        <v>25-28G</v>
      </c>
      <c r="E159" s="127">
        <f t="shared" si="64"/>
        <v>1</v>
      </c>
      <c r="F159" s="128" t="str">
        <f t="shared" si="64"/>
        <v>SFP28</v>
      </c>
      <c r="G159" s="45">
        <v>0</v>
      </c>
      <c r="H159" s="45">
        <v>0</v>
      </c>
      <c r="I159" s="45"/>
      <c r="J159" s="45"/>
      <c r="K159" s="45"/>
      <c r="L159" s="45"/>
      <c r="M159" s="45"/>
      <c r="N159" s="45"/>
      <c r="O159" s="45"/>
      <c r="P159" s="45"/>
      <c r="Q159" s="45"/>
      <c r="R159" s="45"/>
    </row>
    <row r="160" spans="2:18" ht="13.8">
      <c r="B160" s="130" t="str">
        <f t="shared" si="64"/>
        <v>AOC</v>
      </c>
      <c r="C160" s="127" t="str">
        <f t="shared" si="64"/>
        <v>100G</v>
      </c>
      <c r="D160" s="127" t="str">
        <f t="shared" si="64"/>
        <v>25-28G, 50G, 100G</v>
      </c>
      <c r="E160" s="127" t="str">
        <f t="shared" si="64"/>
        <v>1, 2, or 4</v>
      </c>
      <c r="F160" s="128" t="str">
        <f t="shared" si="64"/>
        <v>QSFP28, SFP-DD, SFP112</v>
      </c>
      <c r="G160" s="45">
        <v>7000</v>
      </c>
      <c r="H160" s="45">
        <v>9835.4500000000007</v>
      </c>
      <c r="I160" s="45"/>
      <c r="J160" s="45"/>
      <c r="K160" s="45"/>
      <c r="L160" s="45"/>
      <c r="M160" s="45"/>
      <c r="N160" s="45"/>
      <c r="O160" s="45"/>
      <c r="P160" s="45"/>
      <c r="Q160" s="45"/>
      <c r="R160" s="45"/>
    </row>
    <row r="161" spans="2:18" ht="13.8">
      <c r="B161" s="130" t="str">
        <f t="shared" ref="B161:F170" si="65">B99</f>
        <v>AOC</v>
      </c>
      <c r="C161" s="127" t="str">
        <f t="shared" si="65"/>
        <v>100G</v>
      </c>
      <c r="D161" s="127" t="str">
        <f t="shared" si="65"/>
        <v>25-28G</v>
      </c>
      <c r="E161" s="127" t="str">
        <f t="shared" si="65"/>
        <v>4:1</v>
      </c>
      <c r="F161" s="128" t="str">
        <f t="shared" si="65"/>
        <v>QSFP28/SFP28</v>
      </c>
      <c r="G161" s="45">
        <v>0</v>
      </c>
      <c r="H161" s="45">
        <v>0</v>
      </c>
      <c r="I161" s="45"/>
      <c r="J161" s="45"/>
      <c r="K161" s="45"/>
      <c r="L161" s="45"/>
      <c r="M161" s="45"/>
      <c r="N161" s="45"/>
      <c r="O161" s="45"/>
      <c r="P161" s="45"/>
      <c r="Q161" s="45"/>
      <c r="R161" s="45"/>
    </row>
    <row r="162" spans="2:18" ht="13.8">
      <c r="B162" s="130" t="str">
        <f t="shared" si="65"/>
        <v>AOC</v>
      </c>
      <c r="C162" s="127" t="str">
        <f t="shared" si="65"/>
        <v>96G</v>
      </c>
      <c r="D162" s="127" t="str">
        <f t="shared" si="65"/>
        <v>24G</v>
      </c>
      <c r="E162" s="127">
        <f t="shared" si="65"/>
        <v>4</v>
      </c>
      <c r="F162" s="128" t="str">
        <f t="shared" si="65"/>
        <v>Mini-SAS HD</v>
      </c>
      <c r="G162" s="45">
        <v>0</v>
      </c>
      <c r="H162" s="45">
        <v>0</v>
      </c>
      <c r="I162" s="45"/>
      <c r="J162" s="45"/>
      <c r="K162" s="45"/>
      <c r="L162" s="45"/>
      <c r="M162" s="45"/>
      <c r="N162" s="45"/>
      <c r="O162" s="45"/>
      <c r="P162" s="45"/>
      <c r="Q162" s="45"/>
      <c r="R162" s="45"/>
    </row>
    <row r="163" spans="2:18" ht="13.8">
      <c r="B163" s="130" t="str">
        <f t="shared" si="65"/>
        <v>AOC</v>
      </c>
      <c r="C163" s="127" t="str">
        <f t="shared" si="65"/>
        <v>300G</v>
      </c>
      <c r="D163" s="127" t="str">
        <f t="shared" si="65"/>
        <v>25-28G</v>
      </c>
      <c r="E163" s="127">
        <f t="shared" si="65"/>
        <v>12</v>
      </c>
      <c r="F163" s="128" t="str">
        <f t="shared" si="65"/>
        <v>CXP28</v>
      </c>
      <c r="G163" s="45">
        <v>0</v>
      </c>
      <c r="H163" s="45">
        <v>0</v>
      </c>
      <c r="I163" s="45"/>
      <c r="J163" s="45"/>
      <c r="K163" s="45"/>
      <c r="L163" s="45"/>
      <c r="M163" s="45"/>
      <c r="N163" s="45"/>
      <c r="O163" s="45"/>
      <c r="P163" s="45"/>
      <c r="Q163" s="45"/>
      <c r="R163" s="45"/>
    </row>
    <row r="164" spans="2:18" ht="13.8">
      <c r="B164" s="130" t="str">
        <f t="shared" si="65"/>
        <v>EOM</v>
      </c>
      <c r="C164" s="127" t="str">
        <f t="shared" si="65"/>
        <v>100G-600G</v>
      </c>
      <c r="D164" s="127" t="str">
        <f t="shared" si="65"/>
        <v>25-28G</v>
      </c>
      <c r="E164" s="127" t="str">
        <f t="shared" si="65"/>
        <v>4,8,12,16,24</v>
      </c>
      <c r="F164" s="128" t="str">
        <f t="shared" si="65"/>
        <v>XCVR</v>
      </c>
      <c r="G164" s="45">
        <v>5300</v>
      </c>
      <c r="H164" s="45">
        <v>9447.2800000000097</v>
      </c>
      <c r="I164" s="45"/>
      <c r="J164" s="45"/>
      <c r="K164" s="45"/>
      <c r="L164" s="45"/>
      <c r="M164" s="45"/>
      <c r="N164" s="45"/>
      <c r="O164" s="45"/>
      <c r="P164" s="45"/>
      <c r="Q164" s="45"/>
      <c r="R164" s="45"/>
    </row>
    <row r="165" spans="2:18" ht="13.8">
      <c r="B165" s="130" t="str">
        <f t="shared" si="65"/>
        <v>EOM</v>
      </c>
      <c r="C165" s="127" t="str">
        <f t="shared" si="65"/>
        <v>300G</v>
      </c>
      <c r="D165" s="127" t="str">
        <f t="shared" si="65"/>
        <v>25-28G</v>
      </c>
      <c r="E165" s="127">
        <f t="shared" si="65"/>
        <v>12</v>
      </c>
      <c r="F165" s="128" t="str">
        <f t="shared" si="65"/>
        <v>XCVR - CXP28</v>
      </c>
      <c r="G165" s="45">
        <v>0</v>
      </c>
      <c r="H165" s="45">
        <v>0</v>
      </c>
      <c r="I165" s="45"/>
      <c r="J165" s="45"/>
      <c r="K165" s="45"/>
      <c r="L165" s="45"/>
      <c r="M165" s="45"/>
      <c r="N165" s="45"/>
      <c r="O165" s="45"/>
      <c r="P165" s="45"/>
      <c r="Q165" s="45"/>
      <c r="R165" s="45"/>
    </row>
    <row r="166" spans="2:18" ht="13.8">
      <c r="B166" s="130" t="str">
        <f t="shared" si="65"/>
        <v>AOC</v>
      </c>
      <c r="C166" s="127" t="str">
        <f t="shared" si="65"/>
        <v>50G</v>
      </c>
      <c r="D166" s="127" t="str">
        <f t="shared" si="65"/>
        <v>50-56G</v>
      </c>
      <c r="E166" s="127">
        <f t="shared" si="65"/>
        <v>1</v>
      </c>
      <c r="F166" s="128" t="str">
        <f t="shared" si="65"/>
        <v>SFP56</v>
      </c>
      <c r="G166" s="45">
        <v>0</v>
      </c>
      <c r="H166" s="45">
        <v>0</v>
      </c>
      <c r="I166" s="45"/>
      <c r="J166" s="45"/>
      <c r="K166" s="45"/>
      <c r="L166" s="45"/>
      <c r="M166" s="45"/>
      <c r="N166" s="45"/>
      <c r="O166" s="45"/>
      <c r="P166" s="45"/>
      <c r="Q166" s="45"/>
      <c r="R166" s="45"/>
    </row>
    <row r="167" spans="2:18" ht="13.8">
      <c r="B167" s="130" t="str">
        <f t="shared" si="65"/>
        <v>AOC</v>
      </c>
      <c r="C167" s="127" t="str">
        <f t="shared" si="65"/>
        <v>200G</v>
      </c>
      <c r="D167" s="127" t="str">
        <f t="shared" si="65"/>
        <v>50-56G</v>
      </c>
      <c r="E167" s="127">
        <f t="shared" si="65"/>
        <v>4</v>
      </c>
      <c r="F167" s="128" t="str">
        <f t="shared" si="65"/>
        <v>QSFP56</v>
      </c>
      <c r="G167" s="45">
        <v>0</v>
      </c>
      <c r="H167" s="45">
        <v>0</v>
      </c>
      <c r="I167" s="45"/>
      <c r="J167" s="45"/>
      <c r="K167" s="45"/>
      <c r="L167" s="45"/>
      <c r="M167" s="45"/>
      <c r="N167" s="45"/>
      <c r="O167" s="45"/>
      <c r="P167" s="45"/>
      <c r="Q167" s="45"/>
      <c r="R167" s="45"/>
    </row>
    <row r="168" spans="2:18" ht="13.8">
      <c r="B168" s="130" t="str">
        <f t="shared" si="65"/>
        <v>EOM</v>
      </c>
      <c r="C168" s="127" t="str">
        <f t="shared" si="65"/>
        <v>200G - 3.2T</v>
      </c>
      <c r="D168" s="127" t="str">
        <f t="shared" si="65"/>
        <v>50-56G, 100G</v>
      </c>
      <c r="E168" s="127" t="str">
        <f t="shared" si="65"/>
        <v>8,12,16,24</v>
      </c>
      <c r="F168" s="128" t="str">
        <f t="shared" si="65"/>
        <v>TBD</v>
      </c>
      <c r="G168" s="45">
        <v>0</v>
      </c>
      <c r="H168" s="45">
        <v>0</v>
      </c>
      <c r="I168" s="45"/>
      <c r="J168" s="45"/>
      <c r="K168" s="45"/>
      <c r="L168" s="45"/>
      <c r="M168" s="45"/>
      <c r="N168" s="45"/>
      <c r="O168" s="45"/>
      <c r="P168" s="45"/>
      <c r="Q168" s="45"/>
      <c r="R168" s="45"/>
    </row>
    <row r="169" spans="2:18" ht="13.8">
      <c r="B169" s="130" t="str">
        <f t="shared" si="65"/>
        <v>AOC</v>
      </c>
      <c r="C169" s="127" t="str">
        <f t="shared" si="65"/>
        <v>400G, 2x200G</v>
      </c>
      <c r="D169" s="127" t="str">
        <f t="shared" si="65"/>
        <v>50-56G, 100G</v>
      </c>
      <c r="E169" s="127" t="str">
        <f t="shared" si="65"/>
        <v>4 or 8</v>
      </c>
      <c r="F169" s="128" t="str">
        <f t="shared" si="65"/>
        <v>QSFP-DD, OSFP, QSFP112</v>
      </c>
      <c r="G169" s="45">
        <v>0</v>
      </c>
      <c r="H169" s="45">
        <v>0</v>
      </c>
      <c r="I169" s="45"/>
      <c r="J169" s="45"/>
      <c r="K169" s="45"/>
      <c r="L169" s="45"/>
      <c r="M169" s="45"/>
      <c r="N169" s="45"/>
      <c r="O169" s="45"/>
      <c r="P169" s="45"/>
      <c r="Q169" s="45"/>
      <c r="R169" s="45"/>
    </row>
    <row r="170" spans="2:18" ht="13.8">
      <c r="B170" s="130" t="str">
        <f t="shared" si="65"/>
        <v>AOC</v>
      </c>
      <c r="C170" s="127" t="str">
        <f t="shared" si="65"/>
        <v>400G, 2x200G</v>
      </c>
      <c r="D170" s="127" t="str">
        <f t="shared" si="65"/>
        <v>50-56G, 100G</v>
      </c>
      <c r="E170" s="127" t="str">
        <f t="shared" si="65"/>
        <v>4:1 or 8:1</v>
      </c>
      <c r="F170" s="128" t="str">
        <f t="shared" si="65"/>
        <v>QSFP-DD, OSFP, QSFP112</v>
      </c>
      <c r="G170" s="45">
        <v>0</v>
      </c>
      <c r="H170" s="45">
        <v>0</v>
      </c>
      <c r="I170" s="45"/>
      <c r="J170" s="45"/>
      <c r="K170" s="45"/>
      <c r="L170" s="45"/>
      <c r="M170" s="45"/>
      <c r="N170" s="45"/>
      <c r="O170" s="45"/>
      <c r="P170" s="45"/>
      <c r="Q170" s="45"/>
      <c r="R170" s="45"/>
    </row>
    <row r="171" spans="2:18" ht="13.8">
      <c r="B171" s="130" t="str">
        <f t="shared" ref="B171:F180" si="66">B109</f>
        <v>AOC</v>
      </c>
      <c r="C171" s="127" t="str">
        <f t="shared" si="66"/>
        <v>800G</v>
      </c>
      <c r="D171" s="127" t="str">
        <f t="shared" si="66"/>
        <v>100G</v>
      </c>
      <c r="E171" s="127" t="str">
        <f t="shared" si="66"/>
        <v>8:1</v>
      </c>
      <c r="F171" s="128" t="str">
        <f t="shared" si="66"/>
        <v xml:space="preserve">QSFP-DD800, OSFP </v>
      </c>
      <c r="G171" s="45">
        <v>0</v>
      </c>
      <c r="H171" s="45">
        <v>0</v>
      </c>
      <c r="I171" s="45"/>
      <c r="J171" s="45"/>
      <c r="K171" s="45"/>
      <c r="L171" s="45"/>
      <c r="M171" s="45"/>
      <c r="N171" s="45"/>
      <c r="O171" s="45"/>
      <c r="P171" s="45"/>
      <c r="Q171" s="45"/>
      <c r="R171" s="45"/>
    </row>
    <row r="172" spans="2:18" ht="13.8">
      <c r="B172" s="373" t="str">
        <f t="shared" si="66"/>
        <v>AOC</v>
      </c>
      <c r="C172" s="374" t="str">
        <f t="shared" si="66"/>
        <v>1.6T</v>
      </c>
      <c r="D172" s="374" t="str">
        <f t="shared" si="66"/>
        <v>100G</v>
      </c>
      <c r="E172" s="374">
        <f t="shared" si="66"/>
        <v>16</v>
      </c>
      <c r="F172" s="375" t="str">
        <f t="shared" si="66"/>
        <v>OSFP-XD</v>
      </c>
      <c r="G172" s="27">
        <v>0</v>
      </c>
      <c r="H172" s="27">
        <v>0</v>
      </c>
      <c r="I172" s="27"/>
      <c r="J172" s="27"/>
      <c r="K172" s="27"/>
      <c r="L172" s="27"/>
      <c r="M172" s="27"/>
      <c r="N172" s="27"/>
      <c r="O172" s="27"/>
      <c r="P172" s="27"/>
      <c r="Q172" s="27"/>
      <c r="R172" s="27"/>
    </row>
    <row r="173" spans="2:18" ht="13.8">
      <c r="B173" s="130" t="str">
        <f t="shared" si="66"/>
        <v>CPO</v>
      </c>
      <c r="C173" s="127" t="str">
        <f t="shared" si="66"/>
        <v>800 Gbps</v>
      </c>
      <c r="D173" s="127" t="str">
        <f t="shared" si="66"/>
        <v>100G</v>
      </c>
      <c r="E173" s="127" t="str">
        <f t="shared" si="66"/>
        <v>30m</v>
      </c>
      <c r="F173" s="128" t="str">
        <f t="shared" si="66"/>
        <v>TBD</v>
      </c>
      <c r="G173" s="50">
        <v>0</v>
      </c>
      <c r="H173" s="50">
        <v>0</v>
      </c>
      <c r="I173" s="50"/>
      <c r="J173" s="50"/>
      <c r="K173" s="50"/>
      <c r="L173" s="50"/>
      <c r="M173" s="50"/>
      <c r="N173" s="50"/>
      <c r="O173" s="50"/>
      <c r="P173" s="50"/>
      <c r="Q173" s="50"/>
      <c r="R173" s="50"/>
    </row>
    <row r="174" spans="2:18" ht="13.8">
      <c r="B174" s="130" t="str">
        <f t="shared" si="66"/>
        <v>CPO</v>
      </c>
      <c r="C174" s="127" t="str">
        <f t="shared" si="66"/>
        <v>800 Gbps</v>
      </c>
      <c r="D174" s="127" t="str">
        <f t="shared" si="66"/>
        <v>100G</v>
      </c>
      <c r="E174" s="127" t="str">
        <f t="shared" si="66"/>
        <v>100 m</v>
      </c>
      <c r="F174" s="128" t="str">
        <f t="shared" si="66"/>
        <v>TBD</v>
      </c>
      <c r="G174" s="50">
        <v>0</v>
      </c>
      <c r="H174" s="50">
        <v>0</v>
      </c>
      <c r="I174" s="50"/>
      <c r="J174" s="50"/>
      <c r="K174" s="50"/>
      <c r="L174" s="50"/>
      <c r="M174" s="50"/>
      <c r="N174" s="50"/>
      <c r="O174" s="50"/>
      <c r="P174" s="50"/>
      <c r="Q174" s="50"/>
      <c r="R174" s="50"/>
    </row>
    <row r="175" spans="2:18" ht="13.8">
      <c r="B175" s="130" t="str">
        <f t="shared" si="66"/>
        <v>CPO</v>
      </c>
      <c r="C175" s="127" t="str">
        <f t="shared" si="66"/>
        <v>800 Gbps</v>
      </c>
      <c r="D175" s="127" t="str">
        <f t="shared" si="66"/>
        <v>100G</v>
      </c>
      <c r="E175" s="127" t="str">
        <f t="shared" si="66"/>
        <v>500 m</v>
      </c>
      <c r="F175" s="128" t="str">
        <f t="shared" si="66"/>
        <v>TBD</v>
      </c>
      <c r="G175" s="50">
        <v>0</v>
      </c>
      <c r="H175" s="50">
        <v>0</v>
      </c>
      <c r="I175" s="50"/>
      <c r="J175" s="50"/>
      <c r="K175" s="50"/>
      <c r="L175" s="50"/>
      <c r="M175" s="50"/>
      <c r="N175" s="50"/>
      <c r="O175" s="50"/>
      <c r="P175" s="50"/>
      <c r="Q175" s="50"/>
      <c r="R175" s="50"/>
    </row>
    <row r="176" spans="2:18" ht="13.8">
      <c r="B176" s="130" t="str">
        <f t="shared" si="66"/>
        <v>CPO</v>
      </c>
      <c r="C176" s="127" t="str">
        <f t="shared" si="66"/>
        <v>800 Gbps</v>
      </c>
      <c r="D176" s="127" t="str">
        <f t="shared" si="66"/>
        <v>100G</v>
      </c>
      <c r="E176" s="127" t="str">
        <f t="shared" si="66"/>
        <v>2 km</v>
      </c>
      <c r="F176" s="128" t="str">
        <f t="shared" si="66"/>
        <v>TBD</v>
      </c>
      <c r="G176" s="50">
        <v>0</v>
      </c>
      <c r="H176" s="50">
        <v>0</v>
      </c>
      <c r="I176" s="50"/>
      <c r="J176" s="50"/>
      <c r="K176" s="50"/>
      <c r="L176" s="50"/>
      <c r="M176" s="50"/>
      <c r="N176" s="50"/>
      <c r="O176" s="50"/>
      <c r="P176" s="50"/>
      <c r="Q176" s="50"/>
      <c r="R176" s="50"/>
    </row>
    <row r="177" spans="2:18" ht="13.8">
      <c r="B177" s="130" t="str">
        <f t="shared" si="66"/>
        <v>CPO</v>
      </c>
      <c r="C177" s="127" t="str">
        <f t="shared" si="66"/>
        <v>800 Gbps</v>
      </c>
      <c r="D177" s="127" t="str">
        <f t="shared" si="66"/>
        <v>100G</v>
      </c>
      <c r="E177" s="127" t="str">
        <f t="shared" si="66"/>
        <v>10 km</v>
      </c>
      <c r="F177" s="128" t="str">
        <f t="shared" si="66"/>
        <v>TBD</v>
      </c>
      <c r="G177" s="50">
        <v>0</v>
      </c>
      <c r="H177" s="50">
        <v>0</v>
      </c>
      <c r="I177" s="50"/>
      <c r="J177" s="50"/>
      <c r="K177" s="50"/>
      <c r="L177" s="50"/>
      <c r="M177" s="50"/>
      <c r="N177" s="50"/>
      <c r="O177" s="50"/>
      <c r="P177" s="50"/>
      <c r="Q177" s="50"/>
      <c r="R177" s="50"/>
    </row>
    <row r="178" spans="2:18" ht="13.8">
      <c r="B178" s="130" t="str">
        <f t="shared" si="66"/>
        <v>CPO</v>
      </c>
      <c r="C178" s="127" t="str">
        <f t="shared" si="66"/>
        <v>1.6 Tbps</v>
      </c>
      <c r="D178" s="127" t="str">
        <f t="shared" si="66"/>
        <v>100G</v>
      </c>
      <c r="E178" s="127" t="str">
        <f t="shared" si="66"/>
        <v>30m</v>
      </c>
      <c r="F178" s="128" t="str">
        <f t="shared" si="66"/>
        <v>TBD</v>
      </c>
      <c r="G178" s="50">
        <v>0</v>
      </c>
      <c r="H178" s="50">
        <v>0</v>
      </c>
      <c r="I178" s="50"/>
      <c r="J178" s="50"/>
      <c r="K178" s="50"/>
      <c r="L178" s="50"/>
      <c r="M178" s="50"/>
      <c r="N178" s="50"/>
      <c r="O178" s="50"/>
      <c r="P178" s="50"/>
      <c r="Q178" s="50"/>
      <c r="R178" s="50"/>
    </row>
    <row r="179" spans="2:18" ht="13.8">
      <c r="B179" s="130" t="str">
        <f t="shared" si="66"/>
        <v>CPO</v>
      </c>
      <c r="C179" s="127" t="str">
        <f t="shared" si="66"/>
        <v>1.6 Tbps</v>
      </c>
      <c r="D179" s="127" t="str">
        <f t="shared" si="66"/>
        <v>100G</v>
      </c>
      <c r="E179" s="127" t="str">
        <f t="shared" si="66"/>
        <v>100 m</v>
      </c>
      <c r="F179" s="128" t="str">
        <f t="shared" si="66"/>
        <v>TBD</v>
      </c>
      <c r="G179" s="50">
        <v>0</v>
      </c>
      <c r="H179" s="50">
        <v>0</v>
      </c>
      <c r="I179" s="50"/>
      <c r="J179" s="50"/>
      <c r="K179" s="50"/>
      <c r="L179" s="50"/>
      <c r="M179" s="50"/>
      <c r="N179" s="50"/>
      <c r="O179" s="50"/>
      <c r="P179" s="50"/>
      <c r="Q179" s="50"/>
      <c r="R179" s="50"/>
    </row>
    <row r="180" spans="2:18" ht="13.8">
      <c r="B180" s="130" t="str">
        <f t="shared" si="66"/>
        <v>CPO</v>
      </c>
      <c r="C180" s="127" t="str">
        <f t="shared" si="66"/>
        <v>1.6 Tbps</v>
      </c>
      <c r="D180" s="127" t="str">
        <f t="shared" si="66"/>
        <v>100G</v>
      </c>
      <c r="E180" s="127" t="str">
        <f t="shared" si="66"/>
        <v>500 m</v>
      </c>
      <c r="F180" s="128" t="str">
        <f t="shared" si="66"/>
        <v>TBD</v>
      </c>
      <c r="G180" s="45">
        <v>0</v>
      </c>
      <c r="H180" s="45">
        <v>0</v>
      </c>
      <c r="I180" s="45"/>
      <c r="J180" s="45"/>
      <c r="K180" s="45"/>
      <c r="L180" s="45"/>
      <c r="M180" s="45"/>
      <c r="N180" s="45"/>
      <c r="O180" s="45"/>
      <c r="P180" s="45"/>
      <c r="Q180" s="45"/>
      <c r="R180" s="45"/>
    </row>
    <row r="181" spans="2:18" ht="13.8">
      <c r="B181" s="130" t="str">
        <f t="shared" ref="B181:F182" si="67">B119</f>
        <v>CPO</v>
      </c>
      <c r="C181" s="127" t="str">
        <f t="shared" si="67"/>
        <v>1.6 Tbps</v>
      </c>
      <c r="D181" s="127" t="str">
        <f t="shared" si="67"/>
        <v>100G</v>
      </c>
      <c r="E181" s="127" t="str">
        <f t="shared" si="67"/>
        <v>2 km</v>
      </c>
      <c r="F181" s="128" t="str">
        <f t="shared" si="67"/>
        <v>TBD</v>
      </c>
      <c r="G181" s="45">
        <v>0</v>
      </c>
      <c r="H181" s="45">
        <v>0</v>
      </c>
      <c r="I181" s="45"/>
      <c r="J181" s="45"/>
      <c r="K181" s="45"/>
      <c r="L181" s="45"/>
      <c r="M181" s="45"/>
      <c r="N181" s="45"/>
      <c r="O181" s="45"/>
      <c r="P181" s="45"/>
      <c r="Q181" s="45"/>
      <c r="R181" s="45"/>
    </row>
    <row r="182" spans="2:18" ht="13.8">
      <c r="B182" s="373" t="str">
        <f t="shared" si="67"/>
        <v>CPO</v>
      </c>
      <c r="C182" s="374" t="str">
        <f t="shared" si="67"/>
        <v>1.6 Tbps</v>
      </c>
      <c r="D182" s="374" t="str">
        <f t="shared" si="67"/>
        <v>100G</v>
      </c>
      <c r="E182" s="374" t="str">
        <f t="shared" si="67"/>
        <v>10 km</v>
      </c>
      <c r="F182" s="375" t="str">
        <f t="shared" si="67"/>
        <v>TBD</v>
      </c>
      <c r="G182" s="27">
        <v>0</v>
      </c>
      <c r="H182" s="27">
        <v>0</v>
      </c>
      <c r="I182" s="27"/>
      <c r="J182" s="27"/>
      <c r="K182" s="27"/>
      <c r="L182" s="27"/>
      <c r="M182" s="27"/>
      <c r="N182" s="27"/>
      <c r="O182" s="27"/>
      <c r="P182" s="27"/>
      <c r="Q182" s="27"/>
      <c r="R182" s="27"/>
    </row>
    <row r="183" spans="2:18" ht="13.8">
      <c r="B183" s="436" t="str">
        <f t="shared" ref="B183" si="68">B121</f>
        <v>External laser module (Comb) -LP</v>
      </c>
      <c r="C183" s="127"/>
      <c r="D183" s="127"/>
      <c r="E183" s="127"/>
      <c r="F183" s="128"/>
      <c r="G183" s="45">
        <v>0</v>
      </c>
      <c r="H183" s="45">
        <v>0</v>
      </c>
      <c r="I183" s="45"/>
      <c r="J183" s="45"/>
      <c r="K183" s="45"/>
      <c r="L183" s="45"/>
      <c r="M183" s="45"/>
      <c r="N183" s="45"/>
      <c r="O183" s="45"/>
      <c r="P183" s="45"/>
      <c r="Q183" s="45"/>
      <c r="R183" s="45"/>
    </row>
    <row r="184" spans="2:18" ht="13.8">
      <c r="B184" s="436" t="str">
        <f t="shared" ref="B184" si="69">B122</f>
        <v>External laser module (Comb) - HP</v>
      </c>
      <c r="C184" s="127"/>
      <c r="D184" s="127"/>
      <c r="E184" s="127"/>
      <c r="F184" s="128"/>
      <c r="G184" s="45">
        <v>0</v>
      </c>
      <c r="H184" s="45">
        <v>0</v>
      </c>
      <c r="I184" s="45"/>
      <c r="J184" s="45"/>
      <c r="K184" s="45"/>
      <c r="L184" s="45"/>
      <c r="M184" s="45"/>
      <c r="N184" s="45"/>
      <c r="O184" s="45"/>
      <c r="P184" s="45"/>
      <c r="Q184" s="45"/>
      <c r="R184" s="45"/>
    </row>
    <row r="185" spans="2:18" ht="13.8">
      <c r="B185" s="436" t="str">
        <f t="shared" ref="B185" si="70">B123</f>
        <v>External laser module (4xDR4)</v>
      </c>
      <c r="C185" s="127"/>
      <c r="D185" s="127"/>
      <c r="E185" s="127"/>
      <c r="F185" s="128"/>
      <c r="G185" s="45">
        <v>0</v>
      </c>
      <c r="H185" s="45">
        <v>0</v>
      </c>
      <c r="I185" s="45"/>
      <c r="J185" s="45"/>
      <c r="K185" s="45"/>
      <c r="L185" s="45"/>
      <c r="M185" s="45"/>
      <c r="N185" s="45"/>
      <c r="O185" s="45"/>
      <c r="P185" s="45"/>
      <c r="Q185" s="45"/>
      <c r="R185" s="45"/>
    </row>
    <row r="186" spans="2:18" ht="13.8">
      <c r="B186" s="434" t="str">
        <f t="shared" ref="B186" si="71">B124</f>
        <v>External laser module (4xFR4)</v>
      </c>
      <c r="C186" s="374"/>
      <c r="D186" s="374"/>
      <c r="E186" s="374"/>
      <c r="F186" s="375"/>
      <c r="G186" s="27">
        <v>0</v>
      </c>
      <c r="H186" s="27">
        <v>0</v>
      </c>
      <c r="I186" s="27"/>
      <c r="J186" s="27"/>
      <c r="K186" s="27"/>
      <c r="L186" s="27"/>
      <c r="M186" s="27"/>
      <c r="N186" s="27"/>
      <c r="O186" s="27"/>
      <c r="P186" s="27"/>
      <c r="Q186" s="27"/>
      <c r="R186" s="27"/>
    </row>
    <row r="187" spans="2:18" ht="13.8">
      <c r="B187" s="130" t="str">
        <f t="shared" ref="B187:F200" si="72">B125</f>
        <v>DAC</v>
      </c>
      <c r="C187" s="127" t="str">
        <f t="shared" si="72"/>
        <v>10G</v>
      </c>
      <c r="D187" s="127" t="str">
        <f t="shared" si="72"/>
        <v>TBD</v>
      </c>
      <c r="E187" s="127" t="str">
        <f t="shared" si="72"/>
        <v>30m</v>
      </c>
      <c r="F187" s="128" t="str">
        <f t="shared" si="72"/>
        <v>SFP</v>
      </c>
      <c r="G187" s="45">
        <v>0</v>
      </c>
      <c r="H187" s="45">
        <v>0</v>
      </c>
      <c r="I187" s="45"/>
      <c r="J187" s="45"/>
      <c r="K187" s="45"/>
      <c r="L187" s="45"/>
      <c r="M187" s="45"/>
      <c r="N187" s="45"/>
      <c r="O187" s="45"/>
      <c r="P187" s="45"/>
      <c r="Q187" s="45"/>
      <c r="R187" s="45"/>
    </row>
    <row r="188" spans="2:18" ht="13.8">
      <c r="B188" s="130" t="str">
        <f t="shared" si="72"/>
        <v>DAC</v>
      </c>
      <c r="C188" s="127" t="str">
        <f t="shared" si="72"/>
        <v>25G</v>
      </c>
      <c r="D188" s="127" t="str">
        <f t="shared" si="72"/>
        <v>TBD</v>
      </c>
      <c r="E188" s="127" t="str">
        <f t="shared" si="72"/>
        <v>30m</v>
      </c>
      <c r="F188" s="128" t="str">
        <f t="shared" si="72"/>
        <v>SFP+</v>
      </c>
      <c r="G188" s="45">
        <v>0</v>
      </c>
      <c r="H188" s="45">
        <v>0</v>
      </c>
      <c r="I188" s="45"/>
      <c r="J188" s="45"/>
      <c r="K188" s="45"/>
      <c r="L188" s="45"/>
      <c r="M188" s="45"/>
      <c r="N188" s="45"/>
      <c r="O188" s="45"/>
      <c r="P188" s="45"/>
      <c r="Q188" s="45"/>
      <c r="R188" s="45"/>
    </row>
    <row r="189" spans="2:18" ht="13.8">
      <c r="B189" s="130" t="str">
        <f t="shared" si="72"/>
        <v>DAC</v>
      </c>
      <c r="C189" s="127" t="str">
        <f t="shared" si="72"/>
        <v>40G</v>
      </c>
      <c r="D189" s="127" t="str">
        <f t="shared" si="72"/>
        <v>10G</v>
      </c>
      <c r="E189" s="127" t="str">
        <f t="shared" si="72"/>
        <v>30m</v>
      </c>
      <c r="F189" s="128" t="str">
        <f t="shared" si="72"/>
        <v>QSFP</v>
      </c>
      <c r="G189" s="45">
        <v>0</v>
      </c>
      <c r="H189" s="45">
        <v>0</v>
      </c>
      <c r="I189" s="45"/>
      <c r="J189" s="45"/>
      <c r="K189" s="45"/>
      <c r="L189" s="45"/>
      <c r="M189" s="45"/>
      <c r="N189" s="45"/>
      <c r="O189" s="45"/>
      <c r="P189" s="45"/>
      <c r="Q189" s="45"/>
      <c r="R189" s="45"/>
    </row>
    <row r="190" spans="2:18" ht="13.8">
      <c r="B190" s="130" t="str">
        <f t="shared" si="72"/>
        <v>DAC</v>
      </c>
      <c r="C190" s="127" t="str">
        <f t="shared" si="72"/>
        <v>56G</v>
      </c>
      <c r="D190" s="127" t="str">
        <f t="shared" si="72"/>
        <v>14G</v>
      </c>
      <c r="E190" s="127" t="str">
        <f t="shared" si="72"/>
        <v>30m</v>
      </c>
      <c r="F190" s="128" t="str">
        <f t="shared" si="72"/>
        <v>QSFP</v>
      </c>
      <c r="G190" s="45">
        <v>0</v>
      </c>
      <c r="H190" s="45">
        <v>0</v>
      </c>
      <c r="I190" s="45"/>
      <c r="J190" s="45"/>
      <c r="K190" s="45"/>
      <c r="L190" s="45"/>
      <c r="M190" s="45"/>
      <c r="N190" s="45"/>
      <c r="O190" s="45"/>
      <c r="P190" s="45"/>
      <c r="Q190" s="45"/>
      <c r="R190" s="45"/>
    </row>
    <row r="191" spans="2:18" ht="13.8">
      <c r="B191" s="130" t="str">
        <f t="shared" si="72"/>
        <v>AEC</v>
      </c>
      <c r="C191" s="127" t="str">
        <f t="shared" si="72"/>
        <v>100G</v>
      </c>
      <c r="D191" s="127" t="str">
        <f t="shared" si="72"/>
        <v>TBD</v>
      </c>
      <c r="E191" s="127" t="str">
        <f t="shared" si="72"/>
        <v>30m</v>
      </c>
      <c r="F191" s="128" t="str">
        <f t="shared" si="72"/>
        <v>QSFP28</v>
      </c>
      <c r="G191" s="45">
        <v>0</v>
      </c>
      <c r="H191" s="45">
        <v>0</v>
      </c>
      <c r="I191" s="45"/>
      <c r="J191" s="45"/>
      <c r="K191" s="45"/>
      <c r="L191" s="45"/>
      <c r="M191" s="45"/>
      <c r="N191" s="45"/>
      <c r="O191" s="45"/>
      <c r="P191" s="45"/>
      <c r="Q191" s="45"/>
      <c r="R191" s="45"/>
    </row>
    <row r="192" spans="2:18" ht="13.8">
      <c r="B192" s="130" t="str">
        <f t="shared" si="72"/>
        <v>DAC/ACC</v>
      </c>
      <c r="C192" s="127" t="str">
        <f t="shared" si="72"/>
        <v>100G</v>
      </c>
      <c r="D192" s="127" t="str">
        <f t="shared" si="72"/>
        <v>TBD</v>
      </c>
      <c r="E192" s="127" t="str">
        <f t="shared" si="72"/>
        <v>30m</v>
      </c>
      <c r="F192" s="128" t="str">
        <f t="shared" si="72"/>
        <v>QSFP28</v>
      </c>
      <c r="G192" s="45">
        <v>2930.6041200000009</v>
      </c>
      <c r="H192" s="45">
        <v>10447.288650000002</v>
      </c>
      <c r="I192" s="45"/>
      <c r="J192" s="45"/>
      <c r="K192" s="45"/>
      <c r="L192" s="45"/>
      <c r="M192" s="45"/>
      <c r="N192" s="45"/>
      <c r="O192" s="45"/>
      <c r="P192" s="45"/>
      <c r="Q192" s="45"/>
      <c r="R192" s="45"/>
    </row>
    <row r="193" spans="2:18" ht="13.8">
      <c r="B193" s="130" t="str">
        <f t="shared" si="72"/>
        <v>AEC</v>
      </c>
      <c r="C193" s="127" t="str">
        <f t="shared" si="72"/>
        <v>200G</v>
      </c>
      <c r="D193" s="127" t="str">
        <f t="shared" si="72"/>
        <v>TBD</v>
      </c>
      <c r="E193" s="127" t="str">
        <f t="shared" si="72"/>
        <v>30m</v>
      </c>
      <c r="F193" s="128" t="str">
        <f t="shared" si="72"/>
        <v>QSFP56</v>
      </c>
      <c r="G193" s="45">
        <v>0</v>
      </c>
      <c r="H193" s="45">
        <v>0</v>
      </c>
      <c r="I193" s="45"/>
      <c r="J193" s="45"/>
      <c r="K193" s="45"/>
      <c r="L193" s="45"/>
      <c r="M193" s="45"/>
      <c r="N193" s="45"/>
      <c r="O193" s="45"/>
      <c r="P193" s="45"/>
      <c r="Q193" s="45"/>
      <c r="R193" s="45"/>
    </row>
    <row r="194" spans="2:18" ht="13.8">
      <c r="B194" s="130" t="str">
        <f t="shared" si="72"/>
        <v>DAC/ACC</v>
      </c>
      <c r="C194" s="127" t="str">
        <f t="shared" si="72"/>
        <v>200G</v>
      </c>
      <c r="D194" s="127" t="str">
        <f t="shared" si="72"/>
        <v>TBD</v>
      </c>
      <c r="E194" s="127" t="str">
        <f t="shared" si="72"/>
        <v>30m</v>
      </c>
      <c r="F194" s="128" t="str">
        <f t="shared" si="72"/>
        <v>QSFP56</v>
      </c>
      <c r="G194" s="45">
        <v>0</v>
      </c>
      <c r="H194" s="45">
        <v>0</v>
      </c>
      <c r="I194" s="45"/>
      <c r="J194" s="45"/>
      <c r="K194" s="45"/>
      <c r="L194" s="45"/>
      <c r="M194" s="45"/>
      <c r="N194" s="45"/>
      <c r="O194" s="45"/>
      <c r="P194" s="45"/>
      <c r="Q194" s="45"/>
      <c r="R194" s="45"/>
    </row>
    <row r="195" spans="2:18" ht="13.8">
      <c r="B195" s="130" t="str">
        <f t="shared" si="72"/>
        <v>AEC</v>
      </c>
      <c r="C195" s="127" t="str">
        <f t="shared" si="72"/>
        <v>400G</v>
      </c>
      <c r="D195" s="127" t="str">
        <f t="shared" si="72"/>
        <v>TBD</v>
      </c>
      <c r="E195" s="127" t="str">
        <f t="shared" si="72"/>
        <v>30m</v>
      </c>
      <c r="F195" s="128" t="str">
        <f t="shared" si="72"/>
        <v>TBD</v>
      </c>
      <c r="G195" s="45">
        <v>0</v>
      </c>
      <c r="H195" s="45">
        <v>0</v>
      </c>
      <c r="I195" s="45"/>
      <c r="J195" s="45"/>
      <c r="K195" s="45"/>
      <c r="L195" s="45"/>
      <c r="M195" s="45"/>
      <c r="N195" s="45"/>
      <c r="O195" s="45"/>
      <c r="P195" s="45"/>
      <c r="Q195" s="45"/>
      <c r="R195" s="45"/>
    </row>
    <row r="196" spans="2:18" ht="13.8">
      <c r="B196" s="130" t="str">
        <f t="shared" si="72"/>
        <v>DAC/ACC</v>
      </c>
      <c r="C196" s="127" t="str">
        <f t="shared" si="72"/>
        <v>400G</v>
      </c>
      <c r="D196" s="127" t="str">
        <f t="shared" si="72"/>
        <v>TBD</v>
      </c>
      <c r="E196" s="127" t="str">
        <f t="shared" si="72"/>
        <v>30m</v>
      </c>
      <c r="F196" s="128" t="str">
        <f t="shared" si="72"/>
        <v>TBD</v>
      </c>
      <c r="G196" s="45">
        <v>0</v>
      </c>
      <c r="H196" s="45">
        <v>0</v>
      </c>
      <c r="I196" s="45"/>
      <c r="J196" s="45"/>
      <c r="K196" s="45"/>
      <c r="L196" s="45"/>
      <c r="M196" s="45"/>
      <c r="N196" s="45"/>
      <c r="O196" s="45"/>
      <c r="P196" s="45"/>
      <c r="Q196" s="45"/>
      <c r="R196" s="45"/>
    </row>
    <row r="197" spans="2:18" ht="13.8">
      <c r="B197" s="130" t="str">
        <f t="shared" si="72"/>
        <v>AEC</v>
      </c>
      <c r="C197" s="127" t="str">
        <f t="shared" si="72"/>
        <v>800G</v>
      </c>
      <c r="D197" s="127" t="str">
        <f t="shared" si="72"/>
        <v>TBD</v>
      </c>
      <c r="E197" s="127" t="str">
        <f t="shared" si="72"/>
        <v>30m</v>
      </c>
      <c r="F197" s="128" t="str">
        <f t="shared" si="72"/>
        <v>TBD</v>
      </c>
      <c r="G197" s="45">
        <v>0</v>
      </c>
      <c r="H197" s="45">
        <v>0</v>
      </c>
      <c r="I197" s="45"/>
      <c r="J197" s="45"/>
      <c r="K197" s="45"/>
      <c r="L197" s="45"/>
      <c r="M197" s="45"/>
      <c r="N197" s="45"/>
      <c r="O197" s="45"/>
      <c r="P197" s="45"/>
      <c r="Q197" s="45"/>
      <c r="R197" s="45"/>
    </row>
    <row r="198" spans="2:18" ht="13.8">
      <c r="B198" s="130" t="str">
        <f t="shared" si="72"/>
        <v>DAC/ACC</v>
      </c>
      <c r="C198" s="127" t="str">
        <f t="shared" si="72"/>
        <v>800G</v>
      </c>
      <c r="D198" s="127" t="str">
        <f t="shared" si="72"/>
        <v>TBD</v>
      </c>
      <c r="E198" s="127" t="str">
        <f t="shared" si="72"/>
        <v>30m</v>
      </c>
      <c r="F198" s="128" t="str">
        <f t="shared" si="72"/>
        <v>TBD</v>
      </c>
      <c r="G198" s="45">
        <v>0</v>
      </c>
      <c r="H198" s="45">
        <v>0</v>
      </c>
      <c r="I198" s="45"/>
      <c r="J198" s="45"/>
      <c r="K198" s="45"/>
      <c r="L198" s="45"/>
      <c r="M198" s="45"/>
      <c r="N198" s="45"/>
      <c r="O198" s="45"/>
      <c r="P198" s="45"/>
      <c r="Q198" s="45"/>
      <c r="R198" s="45"/>
    </row>
    <row r="199" spans="2:18" ht="13.8">
      <c r="B199" s="130" t="str">
        <f t="shared" si="72"/>
        <v>AEC</v>
      </c>
      <c r="C199" s="127" t="str">
        <f t="shared" si="72"/>
        <v>1.6 Tbps</v>
      </c>
      <c r="D199" s="127" t="str">
        <f t="shared" si="72"/>
        <v>TBD</v>
      </c>
      <c r="E199" s="127" t="str">
        <f t="shared" si="72"/>
        <v>30m</v>
      </c>
      <c r="F199" s="128" t="str">
        <f t="shared" si="72"/>
        <v>TBD</v>
      </c>
      <c r="G199" s="45">
        <v>0</v>
      </c>
      <c r="H199" s="45">
        <v>0</v>
      </c>
      <c r="I199" s="45"/>
      <c r="J199" s="45"/>
      <c r="K199" s="45"/>
      <c r="L199" s="45"/>
      <c r="M199" s="45"/>
      <c r="N199" s="45"/>
      <c r="O199" s="45"/>
      <c r="P199" s="45"/>
      <c r="Q199" s="45"/>
      <c r="R199" s="45"/>
    </row>
    <row r="200" spans="2:18" ht="13.8">
      <c r="B200" s="130" t="str">
        <f t="shared" si="72"/>
        <v>DAC/ACC</v>
      </c>
      <c r="C200" s="374" t="str">
        <f t="shared" si="72"/>
        <v>1.6 Tbps</v>
      </c>
      <c r="D200" s="127" t="str">
        <f t="shared" si="72"/>
        <v>TBD</v>
      </c>
      <c r="E200" s="127" t="str">
        <f t="shared" si="72"/>
        <v>30m</v>
      </c>
      <c r="F200" s="128" t="str">
        <f t="shared" si="72"/>
        <v>TBD</v>
      </c>
      <c r="G200" s="45">
        <v>0</v>
      </c>
      <c r="H200" s="45">
        <v>0</v>
      </c>
      <c r="I200" s="45"/>
      <c r="J200" s="45"/>
      <c r="K200" s="45"/>
      <c r="L200" s="45"/>
      <c r="M200" s="45"/>
      <c r="N200" s="45"/>
      <c r="O200" s="45"/>
      <c r="P200" s="45"/>
      <c r="Q200" s="45"/>
      <c r="R200" s="45"/>
    </row>
    <row r="201" spans="2:18" ht="13.8">
      <c r="B201" s="148" t="s">
        <v>25</v>
      </c>
      <c r="C201" s="260" t="str">
        <f>C139</f>
        <v>All</v>
      </c>
      <c r="D201" s="260" t="str">
        <f>D139</f>
        <v>All</v>
      </c>
      <c r="E201" s="260" t="str">
        <f>E139</f>
        <v>All</v>
      </c>
      <c r="F201" s="261" t="str">
        <f>F139</f>
        <v>All</v>
      </c>
      <c r="G201" s="136">
        <f t="shared" ref="G201:R201" si="73">SUM(G152:G200)</f>
        <v>101610.72324478533</v>
      </c>
      <c r="H201" s="136">
        <f t="shared" si="73"/>
        <v>102275.69365487093</v>
      </c>
      <c r="I201" s="136">
        <f t="shared" si="73"/>
        <v>0</v>
      </c>
      <c r="J201" s="136">
        <f t="shared" si="73"/>
        <v>0</v>
      </c>
      <c r="K201" s="136">
        <f t="shared" si="73"/>
        <v>0</v>
      </c>
      <c r="L201" s="136">
        <f t="shared" si="73"/>
        <v>0</v>
      </c>
      <c r="M201" s="136">
        <f t="shared" si="73"/>
        <v>0</v>
      </c>
      <c r="N201" s="136">
        <f t="shared" si="73"/>
        <v>0</v>
      </c>
      <c r="O201" s="136">
        <f t="shared" si="73"/>
        <v>0</v>
      </c>
      <c r="P201" s="136">
        <f t="shared" si="73"/>
        <v>0</v>
      </c>
      <c r="Q201" s="136">
        <f t="shared" si="73"/>
        <v>0</v>
      </c>
      <c r="R201" s="136">
        <f t="shared" si="73"/>
        <v>0</v>
      </c>
    </row>
    <row r="203" spans="2:18" ht="13.8">
      <c r="B203" s="85" t="str">
        <f>B151</f>
        <v>Type</v>
      </c>
      <c r="C203" s="100" t="str">
        <f>C151</f>
        <v>Agg. Speed</v>
      </c>
      <c r="D203" s="100" t="str">
        <f>D151</f>
        <v>Lane Speed</v>
      </c>
      <c r="E203" s="100" t="str">
        <f>E151</f>
        <v>Lanes</v>
      </c>
      <c r="F203" s="196" t="str">
        <f>F151</f>
        <v>Form Factor</v>
      </c>
      <c r="G203" s="30">
        <v>2016</v>
      </c>
      <c r="H203" s="30">
        <v>2017</v>
      </c>
      <c r="I203" s="30">
        <v>2018</v>
      </c>
      <c r="J203" s="30">
        <v>2019</v>
      </c>
      <c r="K203" s="30">
        <v>2020</v>
      </c>
      <c r="L203" s="30">
        <v>2021</v>
      </c>
      <c r="M203" s="30">
        <v>2022</v>
      </c>
      <c r="N203" s="30">
        <v>2023</v>
      </c>
      <c r="O203" s="30">
        <v>2024</v>
      </c>
      <c r="P203" s="30">
        <v>2025</v>
      </c>
      <c r="Q203" s="30">
        <v>2026</v>
      </c>
      <c r="R203" s="30">
        <v>2027</v>
      </c>
    </row>
    <row r="204" spans="2:18" ht="13.8">
      <c r="B204" s="93" t="str">
        <f t="shared" ref="B204:F207" si="74">B142</f>
        <v>AOC</v>
      </c>
      <c r="C204" s="82" t="str">
        <f t="shared" si="74"/>
        <v>All</v>
      </c>
      <c r="D204" s="82" t="str">
        <f t="shared" si="74"/>
        <v>All</v>
      </c>
      <c r="E204" s="82" t="str">
        <f t="shared" si="74"/>
        <v>Single</v>
      </c>
      <c r="F204" s="95" t="str">
        <f t="shared" si="74"/>
        <v>All</v>
      </c>
      <c r="G204" s="83">
        <f t="shared" ref="G204:R204" si="75">G152+G159+G166</f>
        <v>0</v>
      </c>
      <c r="H204" s="25">
        <f t="shared" si="75"/>
        <v>0</v>
      </c>
      <c r="I204" s="25">
        <f t="shared" si="75"/>
        <v>0</v>
      </c>
      <c r="J204" s="25">
        <f t="shared" si="75"/>
        <v>0</v>
      </c>
      <c r="K204" s="25">
        <f t="shared" si="75"/>
        <v>0</v>
      </c>
      <c r="L204" s="25">
        <f t="shared" si="75"/>
        <v>0</v>
      </c>
      <c r="M204" s="25">
        <f t="shared" si="75"/>
        <v>0</v>
      </c>
      <c r="N204" s="25">
        <f t="shared" si="75"/>
        <v>0</v>
      </c>
      <c r="O204" s="25">
        <f t="shared" si="75"/>
        <v>0</v>
      </c>
      <c r="P204" s="25">
        <f t="shared" si="75"/>
        <v>0</v>
      </c>
      <c r="Q204" s="25">
        <f t="shared" si="75"/>
        <v>0</v>
      </c>
      <c r="R204" s="25">
        <f t="shared" si="75"/>
        <v>0</v>
      </c>
    </row>
    <row r="205" spans="2:18" ht="13.8">
      <c r="B205" s="94" t="str">
        <f t="shared" si="74"/>
        <v>AOC</v>
      </c>
      <c r="C205" s="77" t="str">
        <f t="shared" si="74"/>
        <v>All</v>
      </c>
      <c r="D205" s="77" t="str">
        <f t="shared" si="74"/>
        <v>All</v>
      </c>
      <c r="E205" s="77" t="str">
        <f t="shared" si="74"/>
        <v>Multi-</v>
      </c>
      <c r="F205" s="96" t="str">
        <f t="shared" si="74"/>
        <v>All</v>
      </c>
      <c r="G205" s="98">
        <f>G153+G155+G157+G158+G160+G162+G163+G167+G154+G161+G169+G171+G170+G172</f>
        <v>73566.69642857142</v>
      </c>
      <c r="H205" s="50">
        <f t="shared" ref="H205:R205" si="76">H153+H155+H157+H158+H160+H162+H163+H167+H154+H161+H169+H171+H170+H172</f>
        <v>68486.25</v>
      </c>
      <c r="I205" s="50">
        <f t="shared" si="76"/>
        <v>0</v>
      </c>
      <c r="J205" s="50">
        <f t="shared" si="76"/>
        <v>0</v>
      </c>
      <c r="K205" s="50">
        <f t="shared" si="76"/>
        <v>0</v>
      </c>
      <c r="L205" s="50">
        <f t="shared" si="76"/>
        <v>0</v>
      </c>
      <c r="M205" s="50">
        <f t="shared" si="76"/>
        <v>0</v>
      </c>
      <c r="N205" s="50">
        <f t="shared" si="76"/>
        <v>0</v>
      </c>
      <c r="O205" s="50">
        <f t="shared" si="76"/>
        <v>0</v>
      </c>
      <c r="P205" s="50">
        <f t="shared" si="76"/>
        <v>0</v>
      </c>
      <c r="Q205" s="50">
        <f t="shared" si="76"/>
        <v>0</v>
      </c>
      <c r="R205" s="50">
        <f t="shared" si="76"/>
        <v>0</v>
      </c>
    </row>
    <row r="206" spans="2:18" ht="13.8">
      <c r="B206" s="94" t="str">
        <f t="shared" si="74"/>
        <v>EOM</v>
      </c>
      <c r="C206" s="77" t="str">
        <f t="shared" si="74"/>
        <v>All</v>
      </c>
      <c r="D206" s="77" t="str">
        <f t="shared" si="74"/>
        <v>All</v>
      </c>
      <c r="E206" s="77" t="str">
        <f t="shared" si="74"/>
        <v>All</v>
      </c>
      <c r="F206" s="96" t="str">
        <f t="shared" si="74"/>
        <v>All</v>
      </c>
      <c r="G206" s="98">
        <f>G168+G165+G164+G156</f>
        <v>25113.422696213915</v>
      </c>
      <c r="H206" s="50">
        <f t="shared" ref="H206:R206" si="77">H168+H165+H164+H156</f>
        <v>23342.155004870921</v>
      </c>
      <c r="I206" s="50">
        <f t="shared" si="77"/>
        <v>0</v>
      </c>
      <c r="J206" s="50">
        <f t="shared" si="77"/>
        <v>0</v>
      </c>
      <c r="K206" s="50">
        <f t="shared" si="77"/>
        <v>0</v>
      </c>
      <c r="L206" s="50">
        <f t="shared" si="77"/>
        <v>0</v>
      </c>
      <c r="M206" s="50">
        <f t="shared" si="77"/>
        <v>0</v>
      </c>
      <c r="N206" s="50">
        <f t="shared" si="77"/>
        <v>0</v>
      </c>
      <c r="O206" s="50">
        <f t="shared" si="77"/>
        <v>0</v>
      </c>
      <c r="P206" s="50">
        <f t="shared" si="77"/>
        <v>0</v>
      </c>
      <c r="Q206" s="50">
        <f t="shared" si="77"/>
        <v>0</v>
      </c>
      <c r="R206" s="50">
        <f t="shared" si="77"/>
        <v>0</v>
      </c>
    </row>
    <row r="207" spans="2:18" ht="13.8">
      <c r="B207" s="94" t="str">
        <f t="shared" si="74"/>
        <v>CPO</v>
      </c>
      <c r="C207" s="77" t="str">
        <f t="shared" si="74"/>
        <v>All</v>
      </c>
      <c r="D207" s="77" t="str">
        <f t="shared" si="74"/>
        <v>All</v>
      </c>
      <c r="E207" s="77" t="str">
        <f t="shared" si="74"/>
        <v>All</v>
      </c>
      <c r="F207" s="96" t="str">
        <f t="shared" si="74"/>
        <v>All</v>
      </c>
      <c r="G207" s="98">
        <f>SUM(G173:G182)</f>
        <v>0</v>
      </c>
      <c r="H207" s="50">
        <f t="shared" ref="H207:R207" si="78">SUM(H173:H182)</f>
        <v>0</v>
      </c>
      <c r="I207" s="50">
        <f t="shared" si="78"/>
        <v>0</v>
      </c>
      <c r="J207" s="50">
        <f t="shared" si="78"/>
        <v>0</v>
      </c>
      <c r="K207" s="50">
        <f t="shared" si="78"/>
        <v>0</v>
      </c>
      <c r="L207" s="50">
        <f t="shared" si="78"/>
        <v>0</v>
      </c>
      <c r="M207" s="50">
        <f t="shared" si="78"/>
        <v>0</v>
      </c>
      <c r="N207" s="50">
        <f t="shared" si="78"/>
        <v>0</v>
      </c>
      <c r="O207" s="50">
        <f t="shared" si="78"/>
        <v>0</v>
      </c>
      <c r="P207" s="50">
        <f t="shared" si="78"/>
        <v>0</v>
      </c>
      <c r="Q207" s="50">
        <f t="shared" si="78"/>
        <v>0</v>
      </c>
      <c r="R207" s="50">
        <f t="shared" si="78"/>
        <v>0</v>
      </c>
    </row>
    <row r="208" spans="2:18" ht="13.8">
      <c r="B208" s="429" t="str">
        <f>B146</f>
        <v>External laser modules</v>
      </c>
      <c r="C208" s="77"/>
      <c r="D208" s="77"/>
      <c r="E208" s="77"/>
      <c r="F208" s="96"/>
      <c r="G208" s="98">
        <f>SUM(G183:G186)</f>
        <v>0</v>
      </c>
      <c r="H208" s="50">
        <f t="shared" ref="H208:R208" si="79">SUM(H183:H186)</f>
        <v>0</v>
      </c>
      <c r="I208" s="50">
        <f t="shared" si="79"/>
        <v>0</v>
      </c>
      <c r="J208" s="50">
        <f t="shared" si="79"/>
        <v>0</v>
      </c>
      <c r="K208" s="50">
        <f t="shared" si="79"/>
        <v>0</v>
      </c>
      <c r="L208" s="50">
        <f t="shared" si="79"/>
        <v>0</v>
      </c>
      <c r="M208" s="50">
        <f t="shared" si="79"/>
        <v>0</v>
      </c>
      <c r="N208" s="50">
        <f t="shared" si="79"/>
        <v>0</v>
      </c>
      <c r="O208" s="50">
        <f t="shared" si="79"/>
        <v>0</v>
      </c>
      <c r="P208" s="50">
        <f t="shared" si="79"/>
        <v>0</v>
      </c>
      <c r="Q208" s="50">
        <f t="shared" si="79"/>
        <v>0</v>
      </c>
      <c r="R208" s="50">
        <f t="shared" si="79"/>
        <v>0</v>
      </c>
    </row>
    <row r="209" spans="1:20" ht="13.8">
      <c r="B209" s="94" t="str">
        <f t="shared" ref="B209:E209" si="80">B147</f>
        <v>Copper</v>
      </c>
      <c r="C209" s="77" t="str">
        <f t="shared" si="80"/>
        <v>All</v>
      </c>
      <c r="D209" s="77" t="str">
        <f t="shared" si="80"/>
        <v>All</v>
      </c>
      <c r="E209" s="77" t="str">
        <f t="shared" si="80"/>
        <v>All</v>
      </c>
      <c r="F209" s="96" t="s">
        <v>57</v>
      </c>
      <c r="G209" s="362">
        <f>SUM(G187:G200)</f>
        <v>2930.6041200000009</v>
      </c>
      <c r="H209" s="211">
        <f t="shared" ref="H209:R209" si="81">SUM(H187:H200)</f>
        <v>10447.288650000002</v>
      </c>
      <c r="I209" s="211">
        <f t="shared" si="81"/>
        <v>0</v>
      </c>
      <c r="J209" s="211">
        <f t="shared" si="81"/>
        <v>0</v>
      </c>
      <c r="K209" s="211">
        <f t="shared" si="81"/>
        <v>0</v>
      </c>
      <c r="L209" s="211">
        <f t="shared" si="81"/>
        <v>0</v>
      </c>
      <c r="M209" s="211">
        <f t="shared" si="81"/>
        <v>0</v>
      </c>
      <c r="N209" s="211">
        <f t="shared" si="81"/>
        <v>0</v>
      </c>
      <c r="O209" s="211">
        <f t="shared" si="81"/>
        <v>0</v>
      </c>
      <c r="P209" s="211">
        <f t="shared" si="81"/>
        <v>0</v>
      </c>
      <c r="Q209" s="211">
        <f t="shared" si="81"/>
        <v>0</v>
      </c>
      <c r="R209" s="211">
        <f t="shared" si="81"/>
        <v>0</v>
      </c>
    </row>
    <row r="210" spans="1:20" ht="13.8">
      <c r="B210" s="87" t="s">
        <v>13</v>
      </c>
      <c r="C210" s="100" t="str">
        <f>C201</f>
        <v>All</v>
      </c>
      <c r="D210" s="100" t="str">
        <f>D201</f>
        <v>All</v>
      </c>
      <c r="E210" s="129" t="str">
        <f>E201</f>
        <v>All</v>
      </c>
      <c r="F210" s="92" t="str">
        <f>F201</f>
        <v>All</v>
      </c>
      <c r="G210" s="84">
        <f t="shared" ref="G210:R210" si="82">SUM(G204:G209)</f>
        <v>101610.72324478533</v>
      </c>
      <c r="H210" s="36">
        <f t="shared" si="82"/>
        <v>102275.69365487092</v>
      </c>
      <c r="I210" s="36">
        <f t="shared" si="82"/>
        <v>0</v>
      </c>
      <c r="J210" s="36">
        <f t="shared" si="82"/>
        <v>0</v>
      </c>
      <c r="K210" s="36">
        <f t="shared" si="82"/>
        <v>0</v>
      </c>
      <c r="L210" s="36">
        <f t="shared" si="82"/>
        <v>0</v>
      </c>
      <c r="M210" s="36">
        <f t="shared" si="82"/>
        <v>0</v>
      </c>
      <c r="N210" s="36">
        <f t="shared" si="82"/>
        <v>0</v>
      </c>
      <c r="O210" s="36">
        <f t="shared" si="82"/>
        <v>0</v>
      </c>
      <c r="P210" s="36">
        <f t="shared" si="82"/>
        <v>0</v>
      </c>
      <c r="Q210" s="36">
        <f t="shared" si="82"/>
        <v>0</v>
      </c>
      <c r="R210" s="36">
        <f t="shared" si="82"/>
        <v>0</v>
      </c>
    </row>
    <row r="211" spans="1:20" ht="13.8">
      <c r="B211" s="8"/>
      <c r="C211" s="8"/>
      <c r="D211" s="8"/>
      <c r="E211" s="8"/>
      <c r="F211" s="76"/>
      <c r="G211" s="18"/>
      <c r="H211" s="18"/>
      <c r="I211" s="18"/>
      <c r="J211" s="18"/>
      <c r="K211" s="18"/>
      <c r="L211" s="18"/>
      <c r="M211" s="18"/>
      <c r="N211" s="18"/>
      <c r="O211" s="18"/>
      <c r="P211" s="18"/>
      <c r="Q211" s="18"/>
      <c r="R211" s="18"/>
    </row>
    <row r="212" spans="1:20" s="8" customFormat="1" ht="21">
      <c r="B212" s="23" t="str">
        <f>B13</f>
        <v>Other</v>
      </c>
      <c r="C212" s="23" t="s">
        <v>175</v>
      </c>
      <c r="D212" s="23"/>
      <c r="E212" s="23"/>
      <c r="F212" s="279"/>
      <c r="G212" s="17"/>
      <c r="H212" s="151"/>
      <c r="L212" s="13"/>
      <c r="T212"/>
    </row>
    <row r="213" spans="1:20" s="8" customFormat="1" ht="13.8">
      <c r="A213"/>
      <c r="B213" s="81" t="str">
        <f t="shared" ref="B213:F222" si="83">B89</f>
        <v>Type</v>
      </c>
      <c r="C213" s="143" t="str">
        <f t="shared" si="83"/>
        <v>Agg. Speed</v>
      </c>
      <c r="D213" s="143" t="str">
        <f t="shared" si="83"/>
        <v>Lane Speed</v>
      </c>
      <c r="E213" s="143" t="str">
        <f t="shared" si="83"/>
        <v>Lanes</v>
      </c>
      <c r="F213" s="144" t="str">
        <f t="shared" si="83"/>
        <v>Form Factor</v>
      </c>
      <c r="G213" s="35">
        <v>2016</v>
      </c>
      <c r="H213" s="35">
        <v>2017</v>
      </c>
      <c r="I213" s="35">
        <v>2018</v>
      </c>
      <c r="J213" s="35">
        <v>2019</v>
      </c>
      <c r="K213" s="35">
        <v>2020</v>
      </c>
      <c r="L213" s="35">
        <v>2021</v>
      </c>
      <c r="M213" s="35">
        <v>2022</v>
      </c>
      <c r="N213" s="35">
        <v>2023</v>
      </c>
      <c r="O213" s="35">
        <v>2024</v>
      </c>
      <c r="P213" s="35">
        <v>2025</v>
      </c>
      <c r="Q213" s="35">
        <v>2026</v>
      </c>
      <c r="R213" s="35">
        <v>2027</v>
      </c>
      <c r="T213"/>
    </row>
    <row r="214" spans="1:20" s="8" customFormat="1" ht="13.8">
      <c r="A214"/>
      <c r="B214" s="145" t="str">
        <f t="shared" si="83"/>
        <v>AOC</v>
      </c>
      <c r="C214" s="146" t="str">
        <f t="shared" si="83"/>
        <v>10G</v>
      </c>
      <c r="D214" s="146" t="str">
        <f t="shared" si="83"/>
        <v>≤10G</v>
      </c>
      <c r="E214" s="146">
        <f t="shared" si="83"/>
        <v>1</v>
      </c>
      <c r="F214" s="147" t="str">
        <f t="shared" si="83"/>
        <v>SFP+</v>
      </c>
      <c r="G214" s="119">
        <v>0</v>
      </c>
      <c r="H214" s="119">
        <v>0</v>
      </c>
      <c r="I214" s="119"/>
      <c r="J214" s="119"/>
      <c r="K214" s="119"/>
      <c r="L214" s="119"/>
      <c r="M214" s="119"/>
      <c r="N214" s="119"/>
      <c r="O214" s="119"/>
      <c r="P214" s="119"/>
      <c r="Q214" s="119"/>
      <c r="R214" s="119"/>
      <c r="T214"/>
    </row>
    <row r="215" spans="1:20" s="8" customFormat="1" ht="13.8">
      <c r="A215"/>
      <c r="B215" s="130" t="str">
        <f t="shared" si="83"/>
        <v>AOC</v>
      </c>
      <c r="C215" s="127" t="str">
        <f t="shared" si="83"/>
        <v>40G</v>
      </c>
      <c r="D215" s="127" t="str">
        <f t="shared" si="83"/>
        <v>≤10G</v>
      </c>
      <c r="E215" s="127">
        <f t="shared" si="83"/>
        <v>4</v>
      </c>
      <c r="F215" s="128" t="str">
        <f t="shared" si="83"/>
        <v>QSFP+</v>
      </c>
      <c r="G215" s="45">
        <v>23729.579999999987</v>
      </c>
      <c r="H215" s="45">
        <v>14414.959999999992</v>
      </c>
      <c r="I215" s="45"/>
      <c r="J215" s="45"/>
      <c r="K215" s="45"/>
      <c r="L215" s="45"/>
      <c r="M215" s="45"/>
      <c r="N215" s="45"/>
      <c r="O215" s="45"/>
      <c r="P215" s="45"/>
      <c r="Q215" s="45"/>
      <c r="R215" s="45"/>
      <c r="T215"/>
    </row>
    <row r="216" spans="1:20" s="8" customFormat="1" ht="13.8">
      <c r="A216"/>
      <c r="B216" s="130" t="str">
        <f t="shared" si="83"/>
        <v>AOC</v>
      </c>
      <c r="C216" s="127" t="str">
        <f t="shared" si="83"/>
        <v>40G</v>
      </c>
      <c r="D216" s="127" t="str">
        <f t="shared" si="83"/>
        <v>≤10G</v>
      </c>
      <c r="E216" s="127" t="str">
        <f t="shared" si="83"/>
        <v>4:1</v>
      </c>
      <c r="F216" s="128" t="str">
        <f t="shared" si="83"/>
        <v>QSFP+/SFP+</v>
      </c>
      <c r="G216" s="45">
        <v>0</v>
      </c>
      <c r="H216" s="45">
        <v>0</v>
      </c>
      <c r="I216" s="45"/>
      <c r="J216" s="45"/>
      <c r="K216" s="45"/>
      <c r="L216" s="45"/>
      <c r="M216" s="45"/>
      <c r="N216" s="45"/>
      <c r="O216" s="45"/>
      <c r="P216" s="45"/>
      <c r="Q216" s="45"/>
      <c r="R216" s="45"/>
      <c r="T216"/>
    </row>
    <row r="217" spans="1:20" s="8" customFormat="1" ht="13.8">
      <c r="A217"/>
      <c r="B217" s="130" t="str">
        <f t="shared" si="83"/>
        <v>AOC</v>
      </c>
      <c r="C217" s="127" t="str">
        <f t="shared" si="83"/>
        <v>150G</v>
      </c>
      <c r="D217" s="127" t="str">
        <f t="shared" si="83"/>
        <v>≤12.5G</v>
      </c>
      <c r="E217" s="127">
        <f t="shared" si="83"/>
        <v>12</v>
      </c>
      <c r="F217" s="128" t="str">
        <f t="shared" si="83"/>
        <v>CXP</v>
      </c>
      <c r="G217" s="45">
        <v>0</v>
      </c>
      <c r="H217" s="45">
        <v>0</v>
      </c>
      <c r="I217" s="45"/>
      <c r="J217" s="45"/>
      <c r="K217" s="45"/>
      <c r="L217" s="45"/>
      <c r="M217" s="45"/>
      <c r="N217" s="45"/>
      <c r="O217" s="45"/>
      <c r="P217" s="45"/>
      <c r="Q217" s="45"/>
      <c r="R217" s="45"/>
      <c r="T217"/>
    </row>
    <row r="218" spans="1:20" s="8" customFormat="1" ht="13.8">
      <c r="A218"/>
      <c r="B218" s="130" t="str">
        <f t="shared" si="83"/>
        <v>EOM</v>
      </c>
      <c r="C218" s="127" t="str">
        <f t="shared" si="83"/>
        <v>150G</v>
      </c>
      <c r="D218" s="127" t="str">
        <f t="shared" si="83"/>
        <v>≤12.5G</v>
      </c>
      <c r="E218" s="127">
        <f t="shared" si="83"/>
        <v>12</v>
      </c>
      <c r="F218" s="128" t="str">
        <f t="shared" si="83"/>
        <v>XCVR - CXP</v>
      </c>
      <c r="G218" s="45">
        <v>0</v>
      </c>
      <c r="H218" s="45">
        <v>-1.8189894035458565E-12</v>
      </c>
      <c r="I218" s="45"/>
      <c r="J218" s="45"/>
      <c r="K218" s="45"/>
      <c r="L218" s="45"/>
      <c r="M218" s="45"/>
      <c r="N218" s="45"/>
      <c r="O218" s="45"/>
      <c r="P218" s="45"/>
      <c r="Q218" s="45"/>
      <c r="R218" s="45"/>
      <c r="T218"/>
    </row>
    <row r="219" spans="1:20" s="8" customFormat="1" ht="13.8">
      <c r="A219"/>
      <c r="B219" s="130" t="str">
        <f t="shared" si="83"/>
        <v>AOC</v>
      </c>
      <c r="C219" s="127" t="str">
        <f t="shared" si="83"/>
        <v>56G</v>
      </c>
      <c r="D219" s="127" t="str">
        <f t="shared" si="83"/>
        <v>12-14G</v>
      </c>
      <c r="E219" s="127">
        <f t="shared" si="83"/>
        <v>4</v>
      </c>
      <c r="F219" s="128" t="str">
        <f t="shared" si="83"/>
        <v>QSFP+</v>
      </c>
      <c r="G219" s="45">
        <v>0</v>
      </c>
      <c r="H219" s="45">
        <v>0</v>
      </c>
      <c r="I219" s="45"/>
      <c r="J219" s="45"/>
      <c r="K219" s="45"/>
      <c r="L219" s="45"/>
      <c r="M219" s="45"/>
      <c r="N219" s="45"/>
      <c r="O219" s="45"/>
      <c r="P219" s="45"/>
      <c r="Q219" s="45"/>
      <c r="R219" s="45"/>
      <c r="T219"/>
    </row>
    <row r="220" spans="1:20" s="8" customFormat="1" ht="13.8">
      <c r="A220"/>
      <c r="B220" s="130" t="str">
        <f t="shared" si="83"/>
        <v>AOC</v>
      </c>
      <c r="C220" s="127" t="str">
        <f t="shared" si="83"/>
        <v>48G</v>
      </c>
      <c r="D220" s="127" t="str">
        <f t="shared" si="83"/>
        <v>12G</v>
      </c>
      <c r="E220" s="127">
        <f t="shared" si="83"/>
        <v>4</v>
      </c>
      <c r="F220" s="128" t="str">
        <f t="shared" si="83"/>
        <v>Mini-SAS HD</v>
      </c>
      <c r="G220" s="45">
        <v>0</v>
      </c>
      <c r="H220" s="45">
        <v>0</v>
      </c>
      <c r="I220" s="45"/>
      <c r="J220" s="45"/>
      <c r="K220" s="45"/>
      <c r="L220" s="45"/>
      <c r="M220" s="45"/>
      <c r="N220" s="45"/>
      <c r="O220" s="45"/>
      <c r="P220" s="45"/>
      <c r="Q220" s="45"/>
      <c r="R220" s="45"/>
      <c r="T220"/>
    </row>
    <row r="221" spans="1:20" s="8" customFormat="1" ht="13.8">
      <c r="A221"/>
      <c r="B221" s="130" t="str">
        <f t="shared" si="83"/>
        <v>AOC</v>
      </c>
      <c r="C221" s="127" t="str">
        <f t="shared" si="83"/>
        <v>25G</v>
      </c>
      <c r="D221" s="127" t="str">
        <f t="shared" si="83"/>
        <v>25-28G</v>
      </c>
      <c r="E221" s="127">
        <f t="shared" si="83"/>
        <v>1</v>
      </c>
      <c r="F221" s="128" t="str">
        <f t="shared" si="83"/>
        <v>SFP28</v>
      </c>
      <c r="G221" s="45">
        <v>0</v>
      </c>
      <c r="H221" s="45">
        <v>0</v>
      </c>
      <c r="I221" s="45"/>
      <c r="J221" s="45"/>
      <c r="K221" s="45"/>
      <c r="L221" s="45"/>
      <c r="M221" s="45"/>
      <c r="N221" s="45"/>
      <c r="O221" s="45"/>
      <c r="P221" s="45"/>
      <c r="Q221" s="45"/>
      <c r="R221" s="45"/>
      <c r="T221"/>
    </row>
    <row r="222" spans="1:20" s="8" customFormat="1" ht="13.8">
      <c r="A222"/>
      <c r="B222" s="130" t="str">
        <f t="shared" si="83"/>
        <v>AOC</v>
      </c>
      <c r="C222" s="127" t="str">
        <f t="shared" si="83"/>
        <v>100G</v>
      </c>
      <c r="D222" s="127" t="str">
        <f t="shared" si="83"/>
        <v>25-28G, 50G, 100G</v>
      </c>
      <c r="E222" s="127" t="str">
        <f t="shared" si="83"/>
        <v>1, 2, or 4</v>
      </c>
      <c r="F222" s="128" t="str">
        <f t="shared" si="83"/>
        <v>QSFP28, SFP-DD, SFP112</v>
      </c>
      <c r="G222" s="45">
        <v>7000</v>
      </c>
      <c r="H222" s="45">
        <v>9835.4499999999971</v>
      </c>
      <c r="I222" s="45"/>
      <c r="J222" s="45"/>
      <c r="K222" s="45"/>
      <c r="L222" s="45"/>
      <c r="M222" s="45"/>
      <c r="N222" s="45"/>
      <c r="O222" s="45"/>
      <c r="P222" s="45"/>
      <c r="Q222" s="45"/>
      <c r="R222" s="45"/>
      <c r="T222"/>
    </row>
    <row r="223" spans="1:20" s="8" customFormat="1" ht="13.8">
      <c r="A223"/>
      <c r="B223" s="130" t="str">
        <f t="shared" ref="B223:F232" si="84">B99</f>
        <v>AOC</v>
      </c>
      <c r="C223" s="127" t="str">
        <f t="shared" si="84"/>
        <v>100G</v>
      </c>
      <c r="D223" s="127" t="str">
        <f t="shared" si="84"/>
        <v>25-28G</v>
      </c>
      <c r="E223" s="127" t="str">
        <f t="shared" si="84"/>
        <v>4:1</v>
      </c>
      <c r="F223" s="128" t="str">
        <f t="shared" si="84"/>
        <v>QSFP28/SFP28</v>
      </c>
      <c r="G223" s="45">
        <v>0</v>
      </c>
      <c r="H223" s="45">
        <v>0</v>
      </c>
      <c r="I223" s="45"/>
      <c r="J223" s="45"/>
      <c r="K223" s="45"/>
      <c r="L223" s="45"/>
      <c r="M223" s="45"/>
      <c r="N223" s="45"/>
      <c r="O223" s="45"/>
      <c r="P223" s="45"/>
      <c r="Q223" s="45"/>
      <c r="R223" s="45"/>
      <c r="T223"/>
    </row>
    <row r="224" spans="1:20" s="8" customFormat="1" ht="13.8">
      <c r="A224"/>
      <c r="B224" s="130" t="str">
        <f t="shared" si="84"/>
        <v>AOC</v>
      </c>
      <c r="C224" s="127" t="str">
        <f t="shared" si="84"/>
        <v>96G</v>
      </c>
      <c r="D224" s="127" t="str">
        <f t="shared" si="84"/>
        <v>24G</v>
      </c>
      <c r="E224" s="127">
        <f t="shared" si="84"/>
        <v>4</v>
      </c>
      <c r="F224" s="128" t="str">
        <f t="shared" si="84"/>
        <v>Mini-SAS HD</v>
      </c>
      <c r="G224" s="45">
        <v>0</v>
      </c>
      <c r="H224" s="45">
        <v>0</v>
      </c>
      <c r="I224" s="45"/>
      <c r="J224" s="45"/>
      <c r="K224" s="45"/>
      <c r="L224" s="45"/>
      <c r="M224" s="45"/>
      <c r="N224" s="45"/>
      <c r="O224" s="45"/>
      <c r="P224" s="45"/>
      <c r="Q224" s="45"/>
      <c r="R224" s="45"/>
      <c r="T224"/>
    </row>
    <row r="225" spans="1:20" s="8" customFormat="1" ht="13.8">
      <c r="A225"/>
      <c r="B225" s="130" t="str">
        <f t="shared" si="84"/>
        <v>AOC</v>
      </c>
      <c r="C225" s="127" t="str">
        <f t="shared" si="84"/>
        <v>300G</v>
      </c>
      <c r="D225" s="127" t="str">
        <f t="shared" si="84"/>
        <v>25-28G</v>
      </c>
      <c r="E225" s="127">
        <f t="shared" si="84"/>
        <v>12</v>
      </c>
      <c r="F225" s="128" t="str">
        <f t="shared" si="84"/>
        <v>CXP28</v>
      </c>
      <c r="G225" s="45">
        <v>0</v>
      </c>
      <c r="H225" s="45">
        <v>0</v>
      </c>
      <c r="I225" s="45"/>
      <c r="J225" s="45"/>
      <c r="K225" s="45"/>
      <c r="L225" s="45"/>
      <c r="M225" s="45"/>
      <c r="N225" s="45"/>
      <c r="O225" s="45"/>
      <c r="P225" s="45"/>
      <c r="Q225" s="45"/>
      <c r="R225" s="45"/>
      <c r="T225"/>
    </row>
    <row r="226" spans="1:20" ht="13.8">
      <c r="B226" s="130" t="str">
        <f t="shared" si="84"/>
        <v>EOM</v>
      </c>
      <c r="C226" s="127" t="str">
        <f t="shared" si="84"/>
        <v>100G-600G</v>
      </c>
      <c r="D226" s="127" t="str">
        <f t="shared" si="84"/>
        <v>25-28G</v>
      </c>
      <c r="E226" s="127" t="str">
        <f t="shared" si="84"/>
        <v>4,8,12,16,24</v>
      </c>
      <c r="F226" s="128" t="str">
        <f t="shared" si="84"/>
        <v>XCVR</v>
      </c>
      <c r="G226" s="45">
        <v>0</v>
      </c>
      <c r="H226" s="45">
        <v>2361.820000000007</v>
      </c>
      <c r="I226" s="45"/>
      <c r="J226" s="45"/>
      <c r="K226" s="45"/>
      <c r="L226" s="45"/>
      <c r="M226" s="45"/>
      <c r="N226" s="45"/>
      <c r="O226" s="45"/>
      <c r="P226" s="45"/>
      <c r="Q226" s="45"/>
      <c r="R226" s="45"/>
    </row>
    <row r="227" spans="1:20" ht="13.8">
      <c r="B227" s="130" t="str">
        <f t="shared" si="84"/>
        <v>EOM</v>
      </c>
      <c r="C227" s="127" t="str">
        <f t="shared" si="84"/>
        <v>300G</v>
      </c>
      <c r="D227" s="127" t="str">
        <f t="shared" si="84"/>
        <v>25-28G</v>
      </c>
      <c r="E227" s="127">
        <f t="shared" si="84"/>
        <v>12</v>
      </c>
      <c r="F227" s="128" t="str">
        <f t="shared" si="84"/>
        <v>XCVR - CXP28</v>
      </c>
      <c r="G227" s="45">
        <v>0</v>
      </c>
      <c r="H227" s="45">
        <v>0</v>
      </c>
      <c r="I227" s="45"/>
      <c r="J227" s="45"/>
      <c r="K227" s="45"/>
      <c r="L227" s="45"/>
      <c r="M227" s="45"/>
      <c r="N227" s="45"/>
      <c r="O227" s="45"/>
      <c r="P227" s="45"/>
      <c r="Q227" s="45"/>
      <c r="R227" s="45"/>
    </row>
    <row r="228" spans="1:20" ht="13.8">
      <c r="B228" s="130" t="str">
        <f t="shared" si="84"/>
        <v>AOC</v>
      </c>
      <c r="C228" s="127" t="str">
        <f t="shared" si="84"/>
        <v>50G</v>
      </c>
      <c r="D228" s="127" t="str">
        <f t="shared" si="84"/>
        <v>50-56G</v>
      </c>
      <c r="E228" s="127">
        <f t="shared" si="84"/>
        <v>1</v>
      </c>
      <c r="F228" s="128" t="str">
        <f t="shared" si="84"/>
        <v>SFP56</v>
      </c>
      <c r="G228" s="45">
        <v>0</v>
      </c>
      <c r="H228" s="45">
        <v>0</v>
      </c>
      <c r="I228" s="45"/>
      <c r="J228" s="45"/>
      <c r="K228" s="45"/>
      <c r="L228" s="45"/>
      <c r="M228" s="45"/>
      <c r="N228" s="45"/>
      <c r="O228" s="45"/>
      <c r="P228" s="45"/>
      <c r="Q228" s="45"/>
      <c r="R228" s="45"/>
    </row>
    <row r="229" spans="1:20" ht="13.8">
      <c r="B229" s="130" t="str">
        <f t="shared" si="84"/>
        <v>AOC</v>
      </c>
      <c r="C229" s="127" t="str">
        <f t="shared" si="84"/>
        <v>200G</v>
      </c>
      <c r="D229" s="127" t="str">
        <f t="shared" si="84"/>
        <v>50-56G</v>
      </c>
      <c r="E229" s="127">
        <f t="shared" si="84"/>
        <v>4</v>
      </c>
      <c r="F229" s="128" t="str">
        <f t="shared" si="84"/>
        <v>QSFP56</v>
      </c>
      <c r="G229" s="45">
        <v>0</v>
      </c>
      <c r="H229" s="45">
        <v>0</v>
      </c>
      <c r="I229" s="45"/>
      <c r="J229" s="45"/>
      <c r="K229" s="45"/>
      <c r="L229" s="45"/>
      <c r="M229" s="45"/>
      <c r="N229" s="45"/>
      <c r="O229" s="45"/>
      <c r="P229" s="45"/>
      <c r="Q229" s="45"/>
      <c r="R229" s="45"/>
    </row>
    <row r="230" spans="1:20" ht="13.8">
      <c r="B230" s="130" t="str">
        <f t="shared" si="84"/>
        <v>EOM</v>
      </c>
      <c r="C230" s="127" t="str">
        <f t="shared" si="84"/>
        <v>200G - 3.2T</v>
      </c>
      <c r="D230" s="127" t="str">
        <f t="shared" si="84"/>
        <v>50-56G, 100G</v>
      </c>
      <c r="E230" s="127" t="str">
        <f t="shared" si="84"/>
        <v>8,12,16,24</v>
      </c>
      <c r="F230" s="128" t="str">
        <f t="shared" si="84"/>
        <v>TBD</v>
      </c>
      <c r="G230" s="45">
        <v>0</v>
      </c>
      <c r="H230" s="45">
        <v>0</v>
      </c>
      <c r="I230" s="45"/>
      <c r="J230" s="45"/>
      <c r="K230" s="45"/>
      <c r="L230" s="45"/>
      <c r="M230" s="45"/>
      <c r="N230" s="45"/>
      <c r="O230" s="45"/>
      <c r="P230" s="45"/>
      <c r="Q230" s="45"/>
      <c r="R230" s="45"/>
    </row>
    <row r="231" spans="1:20" ht="13.8">
      <c r="B231" s="130" t="str">
        <f t="shared" si="84"/>
        <v>AOC</v>
      </c>
      <c r="C231" s="127" t="str">
        <f t="shared" si="84"/>
        <v>400G, 2x200G</v>
      </c>
      <c r="D231" s="127" t="str">
        <f t="shared" si="84"/>
        <v>50-56G, 100G</v>
      </c>
      <c r="E231" s="127" t="str">
        <f t="shared" si="84"/>
        <v>4 or 8</v>
      </c>
      <c r="F231" s="128" t="str">
        <f t="shared" si="84"/>
        <v>QSFP-DD, OSFP, QSFP112</v>
      </c>
      <c r="G231" s="45">
        <v>0</v>
      </c>
      <c r="H231" s="45">
        <v>0</v>
      </c>
      <c r="I231" s="45"/>
      <c r="J231" s="45"/>
      <c r="K231" s="45"/>
      <c r="L231" s="45"/>
      <c r="M231" s="45"/>
      <c r="N231" s="45"/>
      <c r="O231" s="45"/>
      <c r="P231" s="45"/>
      <c r="Q231" s="45"/>
      <c r="R231" s="45"/>
    </row>
    <row r="232" spans="1:20" ht="13.8">
      <c r="B232" s="130" t="str">
        <f t="shared" si="84"/>
        <v>AOC</v>
      </c>
      <c r="C232" s="127" t="str">
        <f t="shared" si="84"/>
        <v>400G, 2x200G</v>
      </c>
      <c r="D232" s="127" t="str">
        <f t="shared" si="84"/>
        <v>50-56G, 100G</v>
      </c>
      <c r="E232" s="127" t="str">
        <f t="shared" si="84"/>
        <v>4:1 or 8:1</v>
      </c>
      <c r="F232" s="128" t="str">
        <f t="shared" si="84"/>
        <v>QSFP-DD, OSFP, QSFP112</v>
      </c>
      <c r="G232" s="45">
        <v>0</v>
      </c>
      <c r="H232" s="45">
        <v>0</v>
      </c>
      <c r="I232" s="45"/>
      <c r="J232" s="45"/>
      <c r="K232" s="45"/>
      <c r="L232" s="45"/>
      <c r="M232" s="45"/>
      <c r="N232" s="45"/>
      <c r="O232" s="45"/>
      <c r="P232" s="45"/>
      <c r="Q232" s="45"/>
      <c r="R232" s="45"/>
    </row>
    <row r="233" spans="1:20" ht="13.8">
      <c r="B233" s="130" t="str">
        <f t="shared" ref="B233:F242" si="85">B109</f>
        <v>AOC</v>
      </c>
      <c r="C233" s="127" t="str">
        <f t="shared" si="85"/>
        <v>800G</v>
      </c>
      <c r="D233" s="127" t="str">
        <f t="shared" si="85"/>
        <v>100G</v>
      </c>
      <c r="E233" s="127" t="str">
        <f t="shared" si="85"/>
        <v>8:1</v>
      </c>
      <c r="F233" s="128" t="str">
        <f t="shared" si="85"/>
        <v xml:space="preserve">QSFP-DD800, OSFP </v>
      </c>
      <c r="G233" s="45">
        <v>0</v>
      </c>
      <c r="H233" s="45">
        <v>0</v>
      </c>
      <c r="I233" s="45"/>
      <c r="J233" s="45"/>
      <c r="K233" s="45"/>
      <c r="L233" s="45"/>
      <c r="M233" s="45"/>
      <c r="N233" s="45"/>
      <c r="O233" s="45"/>
      <c r="P233" s="45"/>
      <c r="Q233" s="45"/>
      <c r="R233" s="45"/>
    </row>
    <row r="234" spans="1:20" ht="13.8">
      <c r="B234" s="307" t="str">
        <f t="shared" si="85"/>
        <v>AOC</v>
      </c>
      <c r="C234" s="308" t="str">
        <f t="shared" si="85"/>
        <v>1.6T</v>
      </c>
      <c r="D234" s="308" t="str">
        <f t="shared" si="85"/>
        <v>100G</v>
      </c>
      <c r="E234" s="308">
        <f t="shared" si="85"/>
        <v>16</v>
      </c>
      <c r="F234" s="309" t="str">
        <f t="shared" si="85"/>
        <v>OSFP-XD</v>
      </c>
      <c r="G234" s="310">
        <v>0</v>
      </c>
      <c r="H234" s="310">
        <v>0</v>
      </c>
      <c r="I234" s="310"/>
      <c r="J234" s="310"/>
      <c r="K234" s="310"/>
      <c r="L234" s="310"/>
      <c r="M234" s="310"/>
      <c r="N234" s="310"/>
      <c r="O234" s="310"/>
      <c r="P234" s="310"/>
      <c r="Q234" s="310"/>
      <c r="R234" s="310"/>
    </row>
    <row r="235" spans="1:20" ht="13.8">
      <c r="B235" s="130" t="str">
        <f t="shared" si="85"/>
        <v>CPO</v>
      </c>
      <c r="C235" s="127" t="str">
        <f t="shared" si="85"/>
        <v>800 Gbps</v>
      </c>
      <c r="D235" s="127" t="str">
        <f t="shared" si="85"/>
        <v>100G</v>
      </c>
      <c r="E235" s="127" t="str">
        <f t="shared" si="85"/>
        <v>30m</v>
      </c>
      <c r="F235" s="128" t="str">
        <f t="shared" si="85"/>
        <v>TBD</v>
      </c>
      <c r="G235" s="50">
        <v>0</v>
      </c>
      <c r="H235" s="50">
        <v>0</v>
      </c>
      <c r="I235" s="50"/>
      <c r="J235" s="50"/>
      <c r="K235" s="50"/>
      <c r="L235" s="50"/>
      <c r="M235" s="50"/>
      <c r="N235" s="50"/>
      <c r="O235" s="50"/>
      <c r="P235" s="50"/>
      <c r="Q235" s="50"/>
      <c r="R235" s="50"/>
    </row>
    <row r="236" spans="1:20" ht="13.8">
      <c r="B236" s="130" t="str">
        <f t="shared" si="85"/>
        <v>CPO</v>
      </c>
      <c r="C236" s="127" t="str">
        <f t="shared" si="85"/>
        <v>800 Gbps</v>
      </c>
      <c r="D236" s="127" t="str">
        <f t="shared" si="85"/>
        <v>100G</v>
      </c>
      <c r="E236" s="127" t="str">
        <f t="shared" si="85"/>
        <v>100 m</v>
      </c>
      <c r="F236" s="128" t="str">
        <f t="shared" si="85"/>
        <v>TBD</v>
      </c>
      <c r="G236" s="50">
        <v>0</v>
      </c>
      <c r="H236" s="50">
        <v>0</v>
      </c>
      <c r="I236" s="50"/>
      <c r="J236" s="50"/>
      <c r="K236" s="50"/>
      <c r="L236" s="50"/>
      <c r="M236" s="50"/>
      <c r="N236" s="50"/>
      <c r="O236" s="50"/>
      <c r="P236" s="50"/>
      <c r="Q236" s="50"/>
      <c r="R236" s="50"/>
    </row>
    <row r="237" spans="1:20" ht="13.8">
      <c r="B237" s="130" t="str">
        <f t="shared" si="85"/>
        <v>CPO</v>
      </c>
      <c r="C237" s="127" t="str">
        <f t="shared" si="85"/>
        <v>800 Gbps</v>
      </c>
      <c r="D237" s="127" t="str">
        <f t="shared" si="85"/>
        <v>100G</v>
      </c>
      <c r="E237" s="127" t="str">
        <f t="shared" si="85"/>
        <v>500 m</v>
      </c>
      <c r="F237" s="128" t="str">
        <f t="shared" si="85"/>
        <v>TBD</v>
      </c>
      <c r="G237" s="50">
        <v>0</v>
      </c>
      <c r="H237" s="50">
        <v>0</v>
      </c>
      <c r="I237" s="50"/>
      <c r="J237" s="50"/>
      <c r="K237" s="50"/>
      <c r="L237" s="50"/>
      <c r="M237" s="50"/>
      <c r="N237" s="50"/>
      <c r="O237" s="50"/>
      <c r="P237" s="50"/>
      <c r="Q237" s="50"/>
      <c r="R237" s="50"/>
    </row>
    <row r="238" spans="1:20" ht="13.8">
      <c r="B238" s="130" t="str">
        <f t="shared" si="85"/>
        <v>CPO</v>
      </c>
      <c r="C238" s="127" t="str">
        <f t="shared" si="85"/>
        <v>800 Gbps</v>
      </c>
      <c r="D238" s="127" t="str">
        <f t="shared" si="85"/>
        <v>100G</v>
      </c>
      <c r="E238" s="127" t="str">
        <f t="shared" si="85"/>
        <v>2 km</v>
      </c>
      <c r="F238" s="128" t="str">
        <f t="shared" si="85"/>
        <v>TBD</v>
      </c>
      <c r="G238" s="50">
        <v>0</v>
      </c>
      <c r="H238" s="50">
        <v>0</v>
      </c>
      <c r="I238" s="50"/>
      <c r="J238" s="50"/>
      <c r="K238" s="50"/>
      <c r="L238" s="50"/>
      <c r="M238" s="50"/>
      <c r="N238" s="50"/>
      <c r="O238" s="50"/>
      <c r="P238" s="50"/>
      <c r="Q238" s="50"/>
      <c r="R238" s="50"/>
    </row>
    <row r="239" spans="1:20" ht="13.8">
      <c r="B239" s="130" t="str">
        <f t="shared" si="85"/>
        <v>CPO</v>
      </c>
      <c r="C239" s="127" t="str">
        <f t="shared" si="85"/>
        <v>800 Gbps</v>
      </c>
      <c r="D239" s="127" t="str">
        <f t="shared" si="85"/>
        <v>100G</v>
      </c>
      <c r="E239" s="127" t="str">
        <f t="shared" si="85"/>
        <v>10 km</v>
      </c>
      <c r="F239" s="128" t="str">
        <f t="shared" si="85"/>
        <v>TBD</v>
      </c>
      <c r="G239" s="50">
        <v>0</v>
      </c>
      <c r="H239" s="50">
        <v>0</v>
      </c>
      <c r="I239" s="50"/>
      <c r="J239" s="50"/>
      <c r="K239" s="50"/>
      <c r="L239" s="50"/>
      <c r="M239" s="50"/>
      <c r="N239" s="50"/>
      <c r="O239" s="50"/>
      <c r="P239" s="50"/>
      <c r="Q239" s="50"/>
      <c r="R239" s="50"/>
    </row>
    <row r="240" spans="1:20" ht="13.8">
      <c r="B240" s="130" t="str">
        <f t="shared" si="85"/>
        <v>CPO</v>
      </c>
      <c r="C240" s="127" t="str">
        <f t="shared" si="85"/>
        <v>1.6 Tbps</v>
      </c>
      <c r="D240" s="127" t="str">
        <f t="shared" si="85"/>
        <v>100G</v>
      </c>
      <c r="E240" s="127" t="str">
        <f t="shared" si="85"/>
        <v>30m</v>
      </c>
      <c r="F240" s="128" t="str">
        <f t="shared" si="85"/>
        <v>TBD</v>
      </c>
      <c r="G240" s="50">
        <v>0</v>
      </c>
      <c r="H240" s="50">
        <v>0</v>
      </c>
      <c r="I240" s="50"/>
      <c r="J240" s="50"/>
      <c r="K240" s="50"/>
      <c r="L240" s="50"/>
      <c r="M240" s="50"/>
      <c r="N240" s="50"/>
      <c r="O240" s="50"/>
      <c r="P240" s="50"/>
      <c r="Q240" s="50"/>
      <c r="R240" s="50"/>
    </row>
    <row r="241" spans="2:18" ht="13.8">
      <c r="B241" s="130" t="str">
        <f t="shared" si="85"/>
        <v>CPO</v>
      </c>
      <c r="C241" s="127" t="str">
        <f t="shared" si="85"/>
        <v>1.6 Tbps</v>
      </c>
      <c r="D241" s="127" t="str">
        <f t="shared" si="85"/>
        <v>100G</v>
      </c>
      <c r="E241" s="127" t="str">
        <f t="shared" si="85"/>
        <v>100 m</v>
      </c>
      <c r="F241" s="128" t="str">
        <f t="shared" si="85"/>
        <v>TBD</v>
      </c>
      <c r="G241" s="50">
        <v>0</v>
      </c>
      <c r="H241" s="50">
        <v>0</v>
      </c>
      <c r="I241" s="50"/>
      <c r="J241" s="50"/>
      <c r="K241" s="50"/>
      <c r="L241" s="50"/>
      <c r="M241" s="50"/>
      <c r="N241" s="50"/>
      <c r="O241" s="50"/>
      <c r="P241" s="50"/>
      <c r="Q241" s="50"/>
      <c r="R241" s="50"/>
    </row>
    <row r="242" spans="2:18" ht="13.8">
      <c r="B242" s="130" t="str">
        <f t="shared" si="85"/>
        <v>CPO</v>
      </c>
      <c r="C242" s="127" t="str">
        <f t="shared" si="85"/>
        <v>1.6 Tbps</v>
      </c>
      <c r="D242" s="127" t="str">
        <f t="shared" si="85"/>
        <v>100G</v>
      </c>
      <c r="E242" s="127" t="str">
        <f t="shared" si="85"/>
        <v>500 m</v>
      </c>
      <c r="F242" s="128" t="str">
        <f t="shared" si="85"/>
        <v>TBD</v>
      </c>
      <c r="G242" s="45">
        <v>0</v>
      </c>
      <c r="H242" s="45">
        <v>0</v>
      </c>
      <c r="I242" s="45"/>
      <c r="J242" s="45"/>
      <c r="K242" s="45"/>
      <c r="L242" s="45"/>
      <c r="M242" s="45"/>
      <c r="N242" s="45"/>
      <c r="O242" s="45"/>
      <c r="P242" s="45"/>
      <c r="Q242" s="45"/>
      <c r="R242" s="45"/>
    </row>
    <row r="243" spans="2:18" ht="13.8">
      <c r="B243" s="130" t="str">
        <f t="shared" ref="B243:F244" si="86">B119</f>
        <v>CPO</v>
      </c>
      <c r="C243" s="127" t="str">
        <f t="shared" si="86"/>
        <v>1.6 Tbps</v>
      </c>
      <c r="D243" s="127" t="str">
        <f t="shared" si="86"/>
        <v>100G</v>
      </c>
      <c r="E243" s="127" t="str">
        <f t="shared" si="86"/>
        <v>2 km</v>
      </c>
      <c r="F243" s="128" t="str">
        <f t="shared" si="86"/>
        <v>TBD</v>
      </c>
      <c r="G243" s="45">
        <v>0</v>
      </c>
      <c r="H243" s="45">
        <v>0</v>
      </c>
      <c r="I243" s="45"/>
      <c r="J243" s="45"/>
      <c r="K243" s="45"/>
      <c r="L243" s="45"/>
      <c r="M243" s="45"/>
      <c r="N243" s="45"/>
      <c r="O243" s="45"/>
      <c r="P243" s="45"/>
      <c r="Q243" s="45"/>
      <c r="R243" s="45"/>
    </row>
    <row r="244" spans="2:18" ht="13.8">
      <c r="B244" s="373" t="str">
        <f t="shared" si="86"/>
        <v>CPO</v>
      </c>
      <c r="C244" s="374" t="str">
        <f t="shared" si="86"/>
        <v>1.6 Tbps</v>
      </c>
      <c r="D244" s="374" t="str">
        <f t="shared" si="86"/>
        <v>100G</v>
      </c>
      <c r="E244" s="374" t="str">
        <f t="shared" si="86"/>
        <v>10 km</v>
      </c>
      <c r="F244" s="375" t="str">
        <f t="shared" si="86"/>
        <v>TBD</v>
      </c>
      <c r="G244" s="27">
        <v>0</v>
      </c>
      <c r="H244" s="27">
        <v>0</v>
      </c>
      <c r="I244" s="27"/>
      <c r="J244" s="27"/>
      <c r="K244" s="27"/>
      <c r="L244" s="27"/>
      <c r="M244" s="27"/>
      <c r="N244" s="27"/>
      <c r="O244" s="27"/>
      <c r="P244" s="27"/>
      <c r="Q244" s="27"/>
      <c r="R244" s="27"/>
    </row>
    <row r="245" spans="2:18" ht="13.8">
      <c r="B245" s="436" t="str">
        <f t="shared" ref="B245:B248" si="87">B121</f>
        <v>External laser module (Comb) -LP</v>
      </c>
      <c r="C245" s="127"/>
      <c r="D245" s="127"/>
      <c r="E245" s="127"/>
      <c r="F245" s="128"/>
      <c r="G245" s="45">
        <v>0</v>
      </c>
      <c r="H245" s="45">
        <v>0</v>
      </c>
      <c r="I245" s="45"/>
      <c r="J245" s="45"/>
      <c r="K245" s="45"/>
      <c r="L245" s="45"/>
      <c r="M245" s="45"/>
      <c r="N245" s="45"/>
      <c r="O245" s="45"/>
      <c r="P245" s="45"/>
      <c r="Q245" s="45"/>
      <c r="R245" s="45"/>
    </row>
    <row r="246" spans="2:18" ht="13.8">
      <c r="B246" s="436" t="str">
        <f t="shared" si="87"/>
        <v>External laser module (Comb) - HP</v>
      </c>
      <c r="C246" s="127"/>
      <c r="D246" s="127"/>
      <c r="E246" s="127"/>
      <c r="F246" s="128"/>
      <c r="G246" s="45">
        <v>0</v>
      </c>
      <c r="H246" s="45">
        <v>0</v>
      </c>
      <c r="I246" s="45"/>
      <c r="J246" s="45"/>
      <c r="K246" s="45"/>
      <c r="L246" s="45"/>
      <c r="M246" s="45"/>
      <c r="N246" s="45"/>
      <c r="O246" s="45"/>
      <c r="P246" s="45"/>
      <c r="Q246" s="45"/>
      <c r="R246" s="45"/>
    </row>
    <row r="247" spans="2:18" ht="13.8">
      <c r="B247" s="436" t="str">
        <f t="shared" si="87"/>
        <v>External laser module (4xDR4)</v>
      </c>
      <c r="C247" s="127"/>
      <c r="D247" s="127"/>
      <c r="E247" s="127"/>
      <c r="F247" s="128"/>
      <c r="G247" s="45">
        <v>0</v>
      </c>
      <c r="H247" s="45">
        <v>0</v>
      </c>
      <c r="I247" s="45"/>
      <c r="J247" s="45"/>
      <c r="K247" s="45"/>
      <c r="L247" s="45"/>
      <c r="M247" s="45"/>
      <c r="N247" s="45"/>
      <c r="O247" s="45"/>
      <c r="P247" s="45"/>
      <c r="Q247" s="45"/>
      <c r="R247" s="45"/>
    </row>
    <row r="248" spans="2:18" ht="13.8">
      <c r="B248" s="434" t="str">
        <f t="shared" si="87"/>
        <v>External laser module (4xFR4)</v>
      </c>
      <c r="C248" s="374"/>
      <c r="D248" s="374"/>
      <c r="E248" s="374"/>
      <c r="F248" s="375"/>
      <c r="G248" s="27">
        <v>0</v>
      </c>
      <c r="H248" s="27">
        <v>0</v>
      </c>
      <c r="I248" s="27"/>
      <c r="J248" s="27"/>
      <c r="K248" s="27"/>
      <c r="L248" s="27"/>
      <c r="M248" s="27"/>
      <c r="N248" s="27"/>
      <c r="O248" s="27"/>
      <c r="P248" s="27"/>
      <c r="Q248" s="27"/>
      <c r="R248" s="27"/>
    </row>
    <row r="249" spans="2:18" ht="13.8">
      <c r="B249" s="145" t="str">
        <f t="shared" ref="B249:F262" si="88">B125</f>
        <v>DAC</v>
      </c>
      <c r="C249" s="146" t="str">
        <f t="shared" si="88"/>
        <v>10G</v>
      </c>
      <c r="D249" s="146" t="str">
        <f t="shared" si="88"/>
        <v>TBD</v>
      </c>
      <c r="E249" s="146" t="str">
        <f t="shared" si="88"/>
        <v>30m</v>
      </c>
      <c r="F249" s="147" t="str">
        <f t="shared" si="88"/>
        <v>SFP</v>
      </c>
      <c r="G249" s="45">
        <v>484514.54999999981</v>
      </c>
      <c r="H249" s="45">
        <v>504890.10000000009</v>
      </c>
      <c r="I249" s="45"/>
      <c r="J249" s="45"/>
      <c r="K249" s="45"/>
      <c r="L249" s="45"/>
      <c r="M249" s="45"/>
      <c r="N249" s="45"/>
      <c r="O249" s="45"/>
      <c r="P249" s="45"/>
      <c r="Q249" s="45"/>
      <c r="R249" s="45"/>
    </row>
    <row r="250" spans="2:18" ht="13.8">
      <c r="B250" s="130" t="str">
        <f t="shared" si="88"/>
        <v>DAC</v>
      </c>
      <c r="C250" s="127" t="str">
        <f t="shared" si="88"/>
        <v>25G</v>
      </c>
      <c r="D250" s="127" t="str">
        <f t="shared" si="88"/>
        <v>TBD</v>
      </c>
      <c r="E250" s="127" t="str">
        <f t="shared" si="88"/>
        <v>30m</v>
      </c>
      <c r="F250" s="128" t="str">
        <f t="shared" si="88"/>
        <v>SFP+</v>
      </c>
      <c r="G250" s="45">
        <v>5.8207660913467407E-11</v>
      </c>
      <c r="H250" s="45">
        <v>49877.022000000114</v>
      </c>
      <c r="I250" s="45"/>
      <c r="J250" s="45"/>
      <c r="K250" s="45"/>
      <c r="L250" s="45"/>
      <c r="M250" s="45"/>
      <c r="N250" s="45"/>
      <c r="O250" s="45"/>
      <c r="P250" s="45"/>
      <c r="Q250" s="45"/>
      <c r="R250" s="45"/>
    </row>
    <row r="251" spans="2:18" ht="13.8">
      <c r="B251" s="130" t="str">
        <f t="shared" si="88"/>
        <v>DAC</v>
      </c>
      <c r="C251" s="127" t="str">
        <f t="shared" si="88"/>
        <v>40G</v>
      </c>
      <c r="D251" s="127" t="str">
        <f t="shared" si="88"/>
        <v>10G</v>
      </c>
      <c r="E251" s="127" t="str">
        <f t="shared" si="88"/>
        <v>30m</v>
      </c>
      <c r="F251" s="128" t="str">
        <f t="shared" si="88"/>
        <v>QSFP</v>
      </c>
      <c r="G251" s="45">
        <v>0</v>
      </c>
      <c r="H251" s="45">
        <v>48909.955300000031</v>
      </c>
      <c r="I251" s="45"/>
      <c r="J251" s="45"/>
      <c r="K251" s="45"/>
      <c r="L251" s="45"/>
      <c r="M251" s="45"/>
      <c r="N251" s="45"/>
      <c r="O251" s="45"/>
      <c r="P251" s="45"/>
      <c r="Q251" s="45"/>
      <c r="R251" s="45"/>
    </row>
    <row r="252" spans="2:18" ht="13.8">
      <c r="B252" s="130" t="str">
        <f t="shared" si="88"/>
        <v>DAC</v>
      </c>
      <c r="C252" s="127" t="str">
        <f t="shared" si="88"/>
        <v>56G</v>
      </c>
      <c r="D252" s="127" t="str">
        <f t="shared" si="88"/>
        <v>14G</v>
      </c>
      <c r="E252" s="127" t="str">
        <f t="shared" si="88"/>
        <v>30m</v>
      </c>
      <c r="F252" s="128" t="str">
        <f t="shared" si="88"/>
        <v>QSFP</v>
      </c>
      <c r="G252" s="45">
        <v>0</v>
      </c>
      <c r="H252" s="45">
        <v>0</v>
      </c>
      <c r="I252" s="45"/>
      <c r="J252" s="45"/>
      <c r="K252" s="45"/>
      <c r="L252" s="45"/>
      <c r="M252" s="45"/>
      <c r="N252" s="45"/>
      <c r="O252" s="45"/>
      <c r="P252" s="45"/>
      <c r="Q252" s="45"/>
      <c r="R252" s="45"/>
    </row>
    <row r="253" spans="2:18" ht="13.8">
      <c r="B253" s="130" t="str">
        <f t="shared" si="88"/>
        <v>AEC</v>
      </c>
      <c r="C253" s="127" t="str">
        <f t="shared" si="88"/>
        <v>100G</v>
      </c>
      <c r="D253" s="127" t="str">
        <f t="shared" si="88"/>
        <v>TBD</v>
      </c>
      <c r="E253" s="127" t="str">
        <f t="shared" si="88"/>
        <v>30m</v>
      </c>
      <c r="F253" s="128" t="str">
        <f t="shared" si="88"/>
        <v>QSFP28</v>
      </c>
      <c r="G253" s="45">
        <v>814.05670000000009</v>
      </c>
      <c r="H253" s="45">
        <v>3250.2675799999997</v>
      </c>
      <c r="I253" s="45"/>
      <c r="J253" s="45"/>
      <c r="K253" s="45"/>
      <c r="L253" s="45"/>
      <c r="M253" s="45"/>
      <c r="N253" s="45"/>
      <c r="O253" s="45"/>
      <c r="P253" s="45"/>
      <c r="Q253" s="45"/>
      <c r="R253" s="45"/>
    </row>
    <row r="254" spans="2:18" ht="13.8">
      <c r="B254" s="130" t="str">
        <f t="shared" si="88"/>
        <v>DAC/ACC</v>
      </c>
      <c r="C254" s="127" t="str">
        <f t="shared" si="88"/>
        <v>100G</v>
      </c>
      <c r="D254" s="127" t="str">
        <f t="shared" si="88"/>
        <v>TBD</v>
      </c>
      <c r="E254" s="127" t="str">
        <f t="shared" si="88"/>
        <v>30m</v>
      </c>
      <c r="F254" s="128" t="str">
        <f t="shared" si="88"/>
        <v>QSFP28</v>
      </c>
      <c r="G254" s="45">
        <v>4395.9061799999981</v>
      </c>
      <c r="H254" s="45">
        <v>18805.119570000053</v>
      </c>
      <c r="I254" s="45"/>
      <c r="J254" s="45"/>
      <c r="K254" s="45"/>
      <c r="L254" s="45"/>
      <c r="M254" s="45"/>
      <c r="N254" s="45"/>
      <c r="O254" s="45"/>
      <c r="P254" s="45"/>
      <c r="Q254" s="45"/>
      <c r="R254" s="45"/>
    </row>
    <row r="255" spans="2:18" ht="13.8">
      <c r="B255" s="130" t="str">
        <f t="shared" si="88"/>
        <v>AEC</v>
      </c>
      <c r="C255" s="127" t="str">
        <f t="shared" si="88"/>
        <v>200G</v>
      </c>
      <c r="D255" s="127" t="str">
        <f t="shared" si="88"/>
        <v>TBD</v>
      </c>
      <c r="E255" s="127" t="str">
        <f t="shared" si="88"/>
        <v>30m</v>
      </c>
      <c r="F255" s="128" t="str">
        <f t="shared" si="88"/>
        <v>QSFP56</v>
      </c>
      <c r="G255" s="45">
        <v>0</v>
      </c>
      <c r="H255" s="45">
        <v>0</v>
      </c>
      <c r="I255" s="45"/>
      <c r="J255" s="45"/>
      <c r="K255" s="45"/>
      <c r="L255" s="45"/>
      <c r="M255" s="45"/>
      <c r="N255" s="45"/>
      <c r="O255" s="45"/>
      <c r="P255" s="45"/>
      <c r="Q255" s="45"/>
      <c r="R255" s="45"/>
    </row>
    <row r="256" spans="2:18" ht="13.8">
      <c r="B256" s="130" t="str">
        <f t="shared" si="88"/>
        <v>DAC/ACC</v>
      </c>
      <c r="C256" s="127" t="str">
        <f t="shared" si="88"/>
        <v>200G</v>
      </c>
      <c r="D256" s="127" t="str">
        <f t="shared" si="88"/>
        <v>TBD</v>
      </c>
      <c r="E256" s="127" t="str">
        <f t="shared" si="88"/>
        <v>30m</v>
      </c>
      <c r="F256" s="128" t="str">
        <f t="shared" si="88"/>
        <v>QSFP56</v>
      </c>
      <c r="G256" s="45">
        <v>0</v>
      </c>
      <c r="H256" s="45">
        <v>0</v>
      </c>
      <c r="I256" s="45"/>
      <c r="J256" s="45"/>
      <c r="K256" s="45"/>
      <c r="L256" s="45"/>
      <c r="M256" s="45"/>
      <c r="N256" s="45"/>
      <c r="O256" s="45"/>
      <c r="P256" s="45"/>
      <c r="Q256" s="45"/>
      <c r="R256" s="45"/>
    </row>
    <row r="257" spans="2:18" ht="13.8">
      <c r="B257" s="130" t="str">
        <f t="shared" si="88"/>
        <v>AEC</v>
      </c>
      <c r="C257" s="127" t="str">
        <f t="shared" si="88"/>
        <v>400G</v>
      </c>
      <c r="D257" s="127" t="str">
        <f t="shared" si="88"/>
        <v>TBD</v>
      </c>
      <c r="E257" s="127" t="str">
        <f t="shared" si="88"/>
        <v>30m</v>
      </c>
      <c r="F257" s="128" t="str">
        <f t="shared" si="88"/>
        <v>TBD</v>
      </c>
      <c r="G257" s="45">
        <v>0</v>
      </c>
      <c r="H257" s="45">
        <v>0</v>
      </c>
      <c r="I257" s="45"/>
      <c r="J257" s="45"/>
      <c r="K257" s="45"/>
      <c r="L257" s="45"/>
      <c r="M257" s="45"/>
      <c r="N257" s="45"/>
      <c r="O257" s="45"/>
      <c r="P257" s="45"/>
      <c r="Q257" s="45"/>
      <c r="R257" s="45"/>
    </row>
    <row r="258" spans="2:18" ht="13.8">
      <c r="B258" s="130" t="str">
        <f t="shared" si="88"/>
        <v>DAC/ACC</v>
      </c>
      <c r="C258" s="127" t="str">
        <f t="shared" si="88"/>
        <v>400G</v>
      </c>
      <c r="D258" s="127" t="str">
        <f t="shared" si="88"/>
        <v>TBD</v>
      </c>
      <c r="E258" s="127" t="str">
        <f t="shared" si="88"/>
        <v>30m</v>
      </c>
      <c r="F258" s="128" t="str">
        <f t="shared" si="88"/>
        <v>TBD</v>
      </c>
      <c r="G258" s="45">
        <v>0</v>
      </c>
      <c r="H258" s="45">
        <v>0</v>
      </c>
      <c r="I258" s="45"/>
      <c r="J258" s="45"/>
      <c r="K258" s="45"/>
      <c r="L258" s="45"/>
      <c r="M258" s="45"/>
      <c r="N258" s="45"/>
      <c r="O258" s="45"/>
      <c r="P258" s="45"/>
      <c r="Q258" s="45"/>
      <c r="R258" s="45"/>
    </row>
    <row r="259" spans="2:18" ht="13.8">
      <c r="B259" s="130" t="str">
        <f t="shared" si="88"/>
        <v>AEC</v>
      </c>
      <c r="C259" s="127" t="str">
        <f t="shared" si="88"/>
        <v>800G</v>
      </c>
      <c r="D259" s="127" t="str">
        <f t="shared" si="88"/>
        <v>TBD</v>
      </c>
      <c r="E259" s="127" t="str">
        <f t="shared" si="88"/>
        <v>30m</v>
      </c>
      <c r="F259" s="128" t="str">
        <f t="shared" si="88"/>
        <v>TBD</v>
      </c>
      <c r="G259" s="45">
        <v>0</v>
      </c>
      <c r="H259" s="45">
        <v>0</v>
      </c>
      <c r="I259" s="45"/>
      <c r="J259" s="45"/>
      <c r="K259" s="45"/>
      <c r="L259" s="45"/>
      <c r="M259" s="45"/>
      <c r="N259" s="45"/>
      <c r="O259" s="45"/>
      <c r="P259" s="45"/>
      <c r="Q259" s="45"/>
      <c r="R259" s="45"/>
    </row>
    <row r="260" spans="2:18" ht="13.8">
      <c r="B260" s="130" t="str">
        <f t="shared" si="88"/>
        <v>DAC/ACC</v>
      </c>
      <c r="C260" s="127" t="str">
        <f t="shared" si="88"/>
        <v>800G</v>
      </c>
      <c r="D260" s="127" t="str">
        <f t="shared" si="88"/>
        <v>TBD</v>
      </c>
      <c r="E260" s="127" t="str">
        <f t="shared" si="88"/>
        <v>30m</v>
      </c>
      <c r="F260" s="128" t="str">
        <f t="shared" si="88"/>
        <v>TBD</v>
      </c>
      <c r="G260" s="45">
        <v>0</v>
      </c>
      <c r="H260" s="45">
        <v>0</v>
      </c>
      <c r="I260" s="45"/>
      <c r="J260" s="45"/>
      <c r="K260" s="45"/>
      <c r="L260" s="45"/>
      <c r="M260" s="45"/>
      <c r="N260" s="45"/>
      <c r="O260" s="45"/>
      <c r="P260" s="45"/>
      <c r="Q260" s="45"/>
      <c r="R260" s="45"/>
    </row>
    <row r="261" spans="2:18" ht="13.8">
      <c r="B261" s="130" t="str">
        <f t="shared" si="88"/>
        <v>AEC</v>
      </c>
      <c r="C261" s="127" t="str">
        <f t="shared" si="88"/>
        <v>1.6 Tbps</v>
      </c>
      <c r="D261" s="127" t="str">
        <f t="shared" si="88"/>
        <v>TBD</v>
      </c>
      <c r="E261" s="127" t="str">
        <f t="shared" si="88"/>
        <v>30m</v>
      </c>
      <c r="F261" s="128" t="str">
        <f t="shared" si="88"/>
        <v>TBD</v>
      </c>
      <c r="G261" s="45">
        <v>0</v>
      </c>
      <c r="H261" s="45">
        <v>0</v>
      </c>
      <c r="I261" s="45"/>
      <c r="J261" s="45"/>
      <c r="K261" s="45"/>
      <c r="L261" s="45"/>
      <c r="M261" s="45"/>
      <c r="N261" s="45"/>
      <c r="O261" s="45"/>
      <c r="P261" s="45"/>
      <c r="Q261" s="45"/>
      <c r="R261" s="45"/>
    </row>
    <row r="262" spans="2:18" ht="13.8">
      <c r="B262" s="373" t="str">
        <f t="shared" si="88"/>
        <v>DAC/ACC</v>
      </c>
      <c r="C262" s="374" t="str">
        <f t="shared" si="88"/>
        <v>1.6 Tbps</v>
      </c>
      <c r="D262" s="374" t="str">
        <f t="shared" si="88"/>
        <v>TBD</v>
      </c>
      <c r="E262" s="374" t="str">
        <f t="shared" si="88"/>
        <v>30m</v>
      </c>
      <c r="F262" s="375" t="str">
        <f t="shared" si="88"/>
        <v>TBD</v>
      </c>
      <c r="G262" s="45">
        <v>0</v>
      </c>
      <c r="H262" s="45">
        <v>0</v>
      </c>
      <c r="I262" s="45"/>
      <c r="J262" s="45"/>
      <c r="K262" s="45"/>
      <c r="L262" s="45"/>
      <c r="M262" s="45"/>
      <c r="N262" s="45"/>
      <c r="O262" s="45"/>
      <c r="P262" s="45"/>
      <c r="Q262" s="45"/>
      <c r="R262" s="45"/>
    </row>
    <row r="263" spans="2:18" ht="13.8">
      <c r="B263" s="148" t="str">
        <f>B139</f>
        <v xml:space="preserve">Total Devices </v>
      </c>
      <c r="C263" s="100" t="str">
        <f>C210</f>
        <v>All</v>
      </c>
      <c r="D263" s="100" t="str">
        <f>D210</f>
        <v>All</v>
      </c>
      <c r="E263" s="129" t="str">
        <f>E210</f>
        <v>All</v>
      </c>
      <c r="F263" s="92" t="str">
        <f>F210</f>
        <v>All</v>
      </c>
      <c r="G263" s="136">
        <f t="shared" ref="G263:H263" si="89">SUM(G214:G262)</f>
        <v>520454.09287999984</v>
      </c>
      <c r="H263" s="136">
        <f t="shared" si="89"/>
        <v>652344.6944500003</v>
      </c>
      <c r="I263" s="136"/>
      <c r="J263" s="136"/>
      <c r="K263" s="136"/>
      <c r="L263" s="136"/>
      <c r="M263" s="136"/>
      <c r="N263" s="136"/>
      <c r="O263" s="136"/>
      <c r="P263" s="136"/>
      <c r="Q263" s="136"/>
      <c r="R263" s="136"/>
    </row>
    <row r="265" spans="2:18" ht="13.8">
      <c r="B265" s="87" t="str">
        <f>B89</f>
        <v>Type</v>
      </c>
      <c r="C265" s="86" t="str">
        <f>C89</f>
        <v>Agg. Speed</v>
      </c>
      <c r="D265" s="100" t="str">
        <f>D89</f>
        <v>Lane Speed</v>
      </c>
      <c r="E265" s="100" t="str">
        <f>E89</f>
        <v>Lanes</v>
      </c>
      <c r="F265" s="196" t="str">
        <f>F89</f>
        <v>Form Factor</v>
      </c>
      <c r="G265" s="30">
        <v>2016</v>
      </c>
      <c r="H265" s="30">
        <v>2017</v>
      </c>
      <c r="I265" s="30">
        <v>2018</v>
      </c>
      <c r="J265" s="30">
        <v>2019</v>
      </c>
      <c r="K265" s="30">
        <v>2020</v>
      </c>
      <c r="L265" s="30">
        <v>2021</v>
      </c>
      <c r="M265" s="30">
        <v>2022</v>
      </c>
      <c r="N265" s="30">
        <v>2023</v>
      </c>
      <c r="O265" s="30">
        <v>2024</v>
      </c>
      <c r="P265" s="30">
        <v>2025</v>
      </c>
      <c r="Q265" s="30">
        <v>2026</v>
      </c>
      <c r="R265" s="30">
        <v>2027</v>
      </c>
    </row>
    <row r="266" spans="2:18" ht="13.8">
      <c r="B266" s="93" t="str">
        <f t="shared" ref="B266:F269" si="90">B142</f>
        <v>AOC</v>
      </c>
      <c r="C266" s="82" t="str">
        <f t="shared" si="90"/>
        <v>All</v>
      </c>
      <c r="D266" s="82" t="str">
        <f t="shared" si="90"/>
        <v>All</v>
      </c>
      <c r="E266" s="82" t="str">
        <f t="shared" si="90"/>
        <v>Single</v>
      </c>
      <c r="F266" s="95" t="str">
        <f t="shared" si="90"/>
        <v>All</v>
      </c>
      <c r="G266" s="83">
        <f t="shared" ref="G266:R266" si="91">G214+G221</f>
        <v>0</v>
      </c>
      <c r="H266" s="25">
        <f t="shared" si="91"/>
        <v>0</v>
      </c>
      <c r="I266" s="25">
        <f t="shared" si="91"/>
        <v>0</v>
      </c>
      <c r="J266" s="25">
        <f t="shared" si="91"/>
        <v>0</v>
      </c>
      <c r="K266" s="25">
        <f t="shared" si="91"/>
        <v>0</v>
      </c>
      <c r="L266" s="25">
        <f t="shared" si="91"/>
        <v>0</v>
      </c>
      <c r="M266" s="25">
        <f t="shared" si="91"/>
        <v>0</v>
      </c>
      <c r="N266" s="25">
        <f t="shared" si="91"/>
        <v>0</v>
      </c>
      <c r="O266" s="25">
        <f t="shared" si="91"/>
        <v>0</v>
      </c>
      <c r="P266" s="25">
        <f t="shared" si="91"/>
        <v>0</v>
      </c>
      <c r="Q266" s="25">
        <f t="shared" si="91"/>
        <v>0</v>
      </c>
      <c r="R266" s="25">
        <f t="shared" si="91"/>
        <v>0</v>
      </c>
    </row>
    <row r="267" spans="2:18" ht="13.8">
      <c r="B267" s="94" t="str">
        <f t="shared" si="90"/>
        <v>AOC</v>
      </c>
      <c r="C267" s="77" t="str">
        <f t="shared" si="90"/>
        <v>All</v>
      </c>
      <c r="D267" s="77" t="str">
        <f t="shared" si="90"/>
        <v>All</v>
      </c>
      <c r="E267" s="77" t="str">
        <f t="shared" si="90"/>
        <v>Multi-</v>
      </c>
      <c r="F267" s="96" t="str">
        <f t="shared" si="90"/>
        <v>All</v>
      </c>
      <c r="G267" s="50">
        <f>G215+G217+G219+G220+G222+G224+G225+G229+G216+G223+G231+G233+G232+G234</f>
        <v>30729.579999999987</v>
      </c>
      <c r="H267" s="50">
        <f t="shared" ref="H267:R267" si="92">H215+H217+H219+H220+H222+H224+H225+H229+H216+H223+H231+H233+H232+H234</f>
        <v>24250.409999999989</v>
      </c>
      <c r="I267" s="50">
        <f t="shared" si="92"/>
        <v>0</v>
      </c>
      <c r="J267" s="50">
        <f t="shared" si="92"/>
        <v>0</v>
      </c>
      <c r="K267" s="50">
        <f t="shared" si="92"/>
        <v>0</v>
      </c>
      <c r="L267" s="50">
        <f t="shared" si="92"/>
        <v>0</v>
      </c>
      <c r="M267" s="50">
        <f t="shared" si="92"/>
        <v>0</v>
      </c>
      <c r="N267" s="50">
        <f t="shared" si="92"/>
        <v>0</v>
      </c>
      <c r="O267" s="50">
        <f t="shared" si="92"/>
        <v>0</v>
      </c>
      <c r="P267" s="50">
        <f t="shared" si="92"/>
        <v>0</v>
      </c>
      <c r="Q267" s="50">
        <f t="shared" si="92"/>
        <v>0</v>
      </c>
      <c r="R267" s="50">
        <f t="shared" si="92"/>
        <v>0</v>
      </c>
    </row>
    <row r="268" spans="2:18" ht="13.8">
      <c r="B268" s="94" t="str">
        <f t="shared" si="90"/>
        <v>EOM</v>
      </c>
      <c r="C268" s="77" t="str">
        <f t="shared" si="90"/>
        <v>All</v>
      </c>
      <c r="D268" s="77" t="str">
        <f t="shared" si="90"/>
        <v>All</v>
      </c>
      <c r="E268" s="77" t="str">
        <f t="shared" si="90"/>
        <v>All</v>
      </c>
      <c r="F268" s="96" t="str">
        <f t="shared" si="90"/>
        <v>All</v>
      </c>
      <c r="G268" s="50">
        <f>G230+G227+G226+G218</f>
        <v>0</v>
      </c>
      <c r="H268" s="50">
        <f t="shared" ref="H268:R268" si="93">H230+H227+H226+H218</f>
        <v>2361.8200000000052</v>
      </c>
      <c r="I268" s="50">
        <f t="shared" si="93"/>
        <v>0</v>
      </c>
      <c r="J268" s="50">
        <f t="shared" si="93"/>
        <v>0</v>
      </c>
      <c r="K268" s="50">
        <f t="shared" si="93"/>
        <v>0</v>
      </c>
      <c r="L268" s="50">
        <f t="shared" si="93"/>
        <v>0</v>
      </c>
      <c r="M268" s="50">
        <f t="shared" si="93"/>
        <v>0</v>
      </c>
      <c r="N268" s="50">
        <f t="shared" si="93"/>
        <v>0</v>
      </c>
      <c r="O268" s="50">
        <f t="shared" si="93"/>
        <v>0</v>
      </c>
      <c r="P268" s="50">
        <f t="shared" si="93"/>
        <v>0</v>
      </c>
      <c r="Q268" s="50">
        <f t="shared" si="93"/>
        <v>0</v>
      </c>
      <c r="R268" s="50">
        <f t="shared" si="93"/>
        <v>0</v>
      </c>
    </row>
    <row r="269" spans="2:18" ht="13.8">
      <c r="B269" s="94" t="str">
        <f t="shared" si="90"/>
        <v>CPO</v>
      </c>
      <c r="C269" s="77" t="str">
        <f t="shared" si="90"/>
        <v>All</v>
      </c>
      <c r="D269" s="77" t="str">
        <f t="shared" si="90"/>
        <v>All</v>
      </c>
      <c r="E269" s="77" t="str">
        <f t="shared" si="90"/>
        <v>All</v>
      </c>
      <c r="F269" s="96" t="str">
        <f t="shared" si="90"/>
        <v>All</v>
      </c>
      <c r="G269" s="50">
        <f>SUM(G235:G244)</f>
        <v>0</v>
      </c>
      <c r="H269" s="50">
        <f t="shared" ref="H269:R269" si="94">SUM(H235:H244)</f>
        <v>0</v>
      </c>
      <c r="I269" s="50">
        <f t="shared" si="94"/>
        <v>0</v>
      </c>
      <c r="J269" s="50">
        <f t="shared" si="94"/>
        <v>0</v>
      </c>
      <c r="K269" s="50">
        <f t="shared" si="94"/>
        <v>0</v>
      </c>
      <c r="L269" s="50">
        <f t="shared" si="94"/>
        <v>0</v>
      </c>
      <c r="M269" s="50">
        <f t="shared" si="94"/>
        <v>0</v>
      </c>
      <c r="N269" s="50">
        <f t="shared" si="94"/>
        <v>0</v>
      </c>
      <c r="O269" s="50">
        <f t="shared" si="94"/>
        <v>0</v>
      </c>
      <c r="P269" s="50">
        <f t="shared" si="94"/>
        <v>0</v>
      </c>
      <c r="Q269" s="50">
        <f t="shared" si="94"/>
        <v>0</v>
      </c>
      <c r="R269" s="50">
        <f t="shared" si="94"/>
        <v>0</v>
      </c>
    </row>
    <row r="270" spans="2:18" ht="13.8">
      <c r="B270" s="429" t="str">
        <f>B208</f>
        <v>External laser modules</v>
      </c>
      <c r="C270" s="77"/>
      <c r="D270" s="77"/>
      <c r="E270" s="77"/>
      <c r="F270" s="96"/>
      <c r="G270" s="98">
        <f>SUM(G245:G248)</f>
        <v>0</v>
      </c>
      <c r="H270" s="50">
        <f t="shared" ref="H270:R270" si="95">SUM(H245:H248)</f>
        <v>0</v>
      </c>
      <c r="I270" s="50">
        <f t="shared" si="95"/>
        <v>0</v>
      </c>
      <c r="J270" s="50">
        <f t="shared" si="95"/>
        <v>0</v>
      </c>
      <c r="K270" s="50">
        <f t="shared" si="95"/>
        <v>0</v>
      </c>
      <c r="L270" s="50">
        <f t="shared" si="95"/>
        <v>0</v>
      </c>
      <c r="M270" s="50">
        <f t="shared" si="95"/>
        <v>0</v>
      </c>
      <c r="N270" s="50">
        <f t="shared" si="95"/>
        <v>0</v>
      </c>
      <c r="O270" s="50">
        <f t="shared" si="95"/>
        <v>0</v>
      </c>
      <c r="P270" s="50">
        <f t="shared" si="95"/>
        <v>0</v>
      </c>
      <c r="Q270" s="50">
        <f t="shared" si="95"/>
        <v>0</v>
      </c>
      <c r="R270" s="50">
        <f t="shared" si="95"/>
        <v>0</v>
      </c>
    </row>
    <row r="271" spans="2:18" ht="13.8">
      <c r="B271" s="94" t="str">
        <f t="shared" ref="B271:F271" si="96">B147</f>
        <v>Copper</v>
      </c>
      <c r="C271" s="77" t="str">
        <f t="shared" si="96"/>
        <v>All</v>
      </c>
      <c r="D271" s="77" t="str">
        <f t="shared" si="96"/>
        <v>All</v>
      </c>
      <c r="E271" s="77" t="str">
        <f t="shared" si="96"/>
        <v>All</v>
      </c>
      <c r="F271" s="96" t="str">
        <f t="shared" si="96"/>
        <v>All</v>
      </c>
      <c r="G271" s="50">
        <f>SUM(G249:G262)</f>
        <v>489724.51287999988</v>
      </c>
      <c r="H271" s="50">
        <f t="shared" ref="H271:R271" si="97">SUM(H249:H262)</f>
        <v>625732.46445000032</v>
      </c>
      <c r="I271" s="50">
        <f t="shared" si="97"/>
        <v>0</v>
      </c>
      <c r="J271" s="50">
        <f t="shared" si="97"/>
        <v>0</v>
      </c>
      <c r="K271" s="211">
        <f t="shared" si="97"/>
        <v>0</v>
      </c>
      <c r="L271" s="211">
        <f t="shared" si="97"/>
        <v>0</v>
      </c>
      <c r="M271" s="211">
        <f t="shared" si="97"/>
        <v>0</v>
      </c>
      <c r="N271" s="211">
        <f t="shared" si="97"/>
        <v>0</v>
      </c>
      <c r="O271" s="211">
        <f t="shared" si="97"/>
        <v>0</v>
      </c>
      <c r="P271" s="211">
        <f t="shared" si="97"/>
        <v>0</v>
      </c>
      <c r="Q271" s="211">
        <f t="shared" si="97"/>
        <v>0</v>
      </c>
      <c r="R271" s="211">
        <f t="shared" si="97"/>
        <v>0</v>
      </c>
    </row>
    <row r="272" spans="2:18" ht="13.8">
      <c r="B272" s="87" t="s">
        <v>13</v>
      </c>
      <c r="C272" s="100" t="str">
        <f>C210</f>
        <v>All</v>
      </c>
      <c r="D272" s="100" t="str">
        <f>D210</f>
        <v>All</v>
      </c>
      <c r="E272" s="129" t="str">
        <f>E210</f>
        <v>All</v>
      </c>
      <c r="F272" s="92" t="str">
        <f>F210</f>
        <v>All</v>
      </c>
      <c r="G272" s="84">
        <f>SUM(G266:G271)</f>
        <v>520454.09287999989</v>
      </c>
      <c r="H272" s="36">
        <f t="shared" ref="H272:R272" si="98">SUM(H266:H271)</f>
        <v>652344.6944500003</v>
      </c>
      <c r="I272" s="36">
        <f t="shared" si="98"/>
        <v>0</v>
      </c>
      <c r="J272" s="36">
        <f t="shared" si="98"/>
        <v>0</v>
      </c>
      <c r="K272" s="36">
        <f t="shared" si="98"/>
        <v>0</v>
      </c>
      <c r="L272" s="36">
        <f t="shared" si="98"/>
        <v>0</v>
      </c>
      <c r="M272" s="36">
        <f t="shared" si="98"/>
        <v>0</v>
      </c>
      <c r="N272" s="36">
        <f t="shared" si="98"/>
        <v>0</v>
      </c>
      <c r="O272" s="36">
        <f t="shared" si="98"/>
        <v>0</v>
      </c>
      <c r="P272" s="36">
        <f t="shared" si="98"/>
        <v>0</v>
      </c>
      <c r="Q272" s="36">
        <f t="shared" si="98"/>
        <v>0</v>
      </c>
      <c r="R272" s="36">
        <f t="shared" si="98"/>
        <v>0</v>
      </c>
    </row>
    <row r="273" spans="2:18" ht="13.8">
      <c r="B273" s="8"/>
      <c r="C273" s="8"/>
      <c r="D273" s="8"/>
      <c r="E273" s="8"/>
      <c r="F273" s="76"/>
      <c r="G273" s="18"/>
      <c r="H273" s="18"/>
      <c r="I273" s="18"/>
      <c r="J273" s="18"/>
      <c r="K273" s="18"/>
      <c r="L273" s="18"/>
      <c r="M273" s="18"/>
      <c r="N273" s="18"/>
      <c r="O273" s="18"/>
      <c r="P273" s="18"/>
      <c r="Q273" s="18"/>
      <c r="R273" s="18"/>
    </row>
    <row r="275" spans="2:18" ht="21">
      <c r="B275" s="23" t="str">
        <f>B12</f>
        <v>DC Compute Nodes</v>
      </c>
      <c r="C275" s="23"/>
      <c r="D275" s="23"/>
      <c r="E275" s="23"/>
      <c r="F275" s="279"/>
      <c r="G275" s="17"/>
      <c r="H275" s="44"/>
      <c r="I275" s="8"/>
      <c r="J275" s="8"/>
      <c r="K275" s="8"/>
      <c r="L275" s="8"/>
      <c r="M275" s="8"/>
      <c r="N275" s="8"/>
      <c r="O275" s="8"/>
      <c r="P275" s="8"/>
      <c r="Q275" s="8"/>
      <c r="R275" s="8"/>
    </row>
    <row r="276" spans="2:18" ht="13.8">
      <c r="B276" s="81" t="str">
        <f t="shared" ref="B276:F285" si="99">B89</f>
        <v>Type</v>
      </c>
      <c r="C276" s="143" t="str">
        <f t="shared" si="99"/>
        <v>Agg. Speed</v>
      </c>
      <c r="D276" s="143" t="str">
        <f t="shared" si="99"/>
        <v>Lane Speed</v>
      </c>
      <c r="E276" s="143" t="str">
        <f t="shared" si="99"/>
        <v>Lanes</v>
      </c>
      <c r="F276" s="144" t="str">
        <f t="shared" si="99"/>
        <v>Form Factor</v>
      </c>
      <c r="G276" s="35">
        <v>2016</v>
      </c>
      <c r="H276" s="35">
        <v>2017</v>
      </c>
      <c r="I276" s="35">
        <v>2018</v>
      </c>
      <c r="J276" s="35">
        <v>2019</v>
      </c>
      <c r="K276" s="35">
        <v>2020</v>
      </c>
      <c r="L276" s="35">
        <v>2021</v>
      </c>
      <c r="M276" s="35">
        <v>2022</v>
      </c>
      <c r="N276" s="35">
        <v>2023</v>
      </c>
      <c r="O276" s="35">
        <v>2024</v>
      </c>
      <c r="P276" s="35">
        <v>2025</v>
      </c>
      <c r="Q276" s="35">
        <v>2026</v>
      </c>
      <c r="R276" s="35">
        <v>2027</v>
      </c>
    </row>
    <row r="277" spans="2:18" ht="13.8">
      <c r="B277" s="145" t="str">
        <f t="shared" si="99"/>
        <v>AOC</v>
      </c>
      <c r="C277" s="146" t="str">
        <f t="shared" si="99"/>
        <v>10G</v>
      </c>
      <c r="D277" s="146" t="str">
        <f t="shared" si="99"/>
        <v>≤10G</v>
      </c>
      <c r="E277" s="146">
        <f t="shared" si="99"/>
        <v>1</v>
      </c>
      <c r="F277" s="147" t="str">
        <f t="shared" si="99"/>
        <v>SFP+</v>
      </c>
      <c r="G277" s="119">
        <v>1654178</v>
      </c>
      <c r="H277" s="119">
        <v>3231705</v>
      </c>
      <c r="I277" s="119"/>
      <c r="J277" s="119"/>
      <c r="K277" s="119"/>
      <c r="L277" s="119"/>
      <c r="M277" s="119"/>
      <c r="N277" s="119"/>
      <c r="O277" s="119"/>
      <c r="P277" s="119"/>
      <c r="Q277" s="119"/>
      <c r="R277" s="119"/>
    </row>
    <row r="278" spans="2:18" ht="13.8">
      <c r="B278" s="130" t="str">
        <f t="shared" si="99"/>
        <v>AOC</v>
      </c>
      <c r="C278" s="127" t="str">
        <f t="shared" si="99"/>
        <v>40G</v>
      </c>
      <c r="D278" s="127" t="str">
        <f t="shared" si="99"/>
        <v>≤10G</v>
      </c>
      <c r="E278" s="127">
        <f t="shared" si="99"/>
        <v>4</v>
      </c>
      <c r="F278" s="128" t="str">
        <f t="shared" si="99"/>
        <v>QSFP+</v>
      </c>
      <c r="G278" s="45">
        <v>213566.22</v>
      </c>
      <c r="H278" s="45">
        <v>135912.48000000001</v>
      </c>
      <c r="I278" s="45"/>
      <c r="J278" s="45"/>
      <c r="K278" s="45"/>
      <c r="L278" s="45"/>
      <c r="M278" s="45"/>
      <c r="N278" s="45"/>
      <c r="O278" s="45"/>
      <c r="P278" s="45"/>
      <c r="Q278" s="45"/>
      <c r="R278" s="45"/>
    </row>
    <row r="279" spans="2:18" ht="13.8">
      <c r="B279" s="130" t="str">
        <f t="shared" si="99"/>
        <v>AOC</v>
      </c>
      <c r="C279" s="127" t="str">
        <f t="shared" si="99"/>
        <v>40G</v>
      </c>
      <c r="D279" s="127" t="str">
        <f t="shared" si="99"/>
        <v>≤10G</v>
      </c>
      <c r="E279" s="127" t="str">
        <f t="shared" si="99"/>
        <v>4:1</v>
      </c>
      <c r="F279" s="128" t="str">
        <f t="shared" si="99"/>
        <v>QSFP+/SFP+</v>
      </c>
      <c r="G279" s="45">
        <v>42400</v>
      </c>
      <c r="H279" s="45">
        <v>37000</v>
      </c>
      <c r="I279" s="45"/>
      <c r="J279" s="45"/>
      <c r="K279" s="45"/>
      <c r="L279" s="45"/>
      <c r="M279" s="45"/>
      <c r="N279" s="45"/>
      <c r="O279" s="45"/>
      <c r="P279" s="45"/>
      <c r="Q279" s="45"/>
      <c r="R279" s="45"/>
    </row>
    <row r="280" spans="2:18" ht="13.8">
      <c r="B280" s="130" t="str">
        <f t="shared" si="99"/>
        <v>AOC</v>
      </c>
      <c r="C280" s="127" t="str">
        <f t="shared" si="99"/>
        <v>150G</v>
      </c>
      <c r="D280" s="127" t="str">
        <f t="shared" si="99"/>
        <v>≤12.5G</v>
      </c>
      <c r="E280" s="127">
        <f t="shared" si="99"/>
        <v>12</v>
      </c>
      <c r="F280" s="128" t="str">
        <f t="shared" si="99"/>
        <v>CXP</v>
      </c>
      <c r="G280" s="45">
        <v>0</v>
      </c>
      <c r="H280" s="45">
        <v>0</v>
      </c>
      <c r="I280" s="45"/>
      <c r="J280" s="45"/>
      <c r="K280" s="45"/>
      <c r="L280" s="45"/>
      <c r="M280" s="45"/>
      <c r="N280" s="45"/>
      <c r="O280" s="45"/>
      <c r="P280" s="45"/>
      <c r="Q280" s="45"/>
      <c r="R280" s="45"/>
    </row>
    <row r="281" spans="2:18" ht="13.8">
      <c r="B281" s="130" t="str">
        <f t="shared" si="99"/>
        <v>EOM</v>
      </c>
      <c r="C281" s="127" t="str">
        <f t="shared" si="99"/>
        <v>150G</v>
      </c>
      <c r="D281" s="127" t="str">
        <f t="shared" si="99"/>
        <v>≤12.5G</v>
      </c>
      <c r="E281" s="127">
        <f t="shared" si="99"/>
        <v>12</v>
      </c>
      <c r="F281" s="128" t="str">
        <f t="shared" si="99"/>
        <v>XCVR - CXP</v>
      </c>
      <c r="G281" s="45">
        <v>0</v>
      </c>
      <c r="H281" s="45">
        <v>0</v>
      </c>
      <c r="I281" s="45"/>
      <c r="J281" s="45"/>
      <c r="K281" s="45"/>
      <c r="L281" s="45"/>
      <c r="M281" s="45"/>
      <c r="N281" s="45"/>
      <c r="O281" s="45"/>
      <c r="P281" s="45"/>
      <c r="Q281" s="45"/>
      <c r="R281" s="45"/>
    </row>
    <row r="282" spans="2:18" ht="13.8">
      <c r="B282" s="130" t="str">
        <f t="shared" si="99"/>
        <v>AOC</v>
      </c>
      <c r="C282" s="127" t="str">
        <f t="shared" si="99"/>
        <v>56G</v>
      </c>
      <c r="D282" s="127" t="str">
        <f t="shared" si="99"/>
        <v>12-14G</v>
      </c>
      <c r="E282" s="127">
        <f t="shared" si="99"/>
        <v>4</v>
      </c>
      <c r="F282" s="128" t="str">
        <f t="shared" si="99"/>
        <v>QSFP+</v>
      </c>
      <c r="G282" s="45">
        <v>0</v>
      </c>
      <c r="H282" s="45">
        <v>0</v>
      </c>
      <c r="I282" s="45"/>
      <c r="J282" s="45"/>
      <c r="K282" s="45"/>
      <c r="L282" s="45"/>
      <c r="M282" s="45"/>
      <c r="N282" s="45"/>
      <c r="O282" s="45"/>
      <c r="P282" s="45"/>
      <c r="Q282" s="45"/>
      <c r="R282" s="45"/>
    </row>
    <row r="283" spans="2:18" ht="13.8">
      <c r="B283" s="130" t="str">
        <f t="shared" si="99"/>
        <v>AOC</v>
      </c>
      <c r="C283" s="127" t="str">
        <f t="shared" si="99"/>
        <v>48G</v>
      </c>
      <c r="D283" s="127" t="str">
        <f t="shared" si="99"/>
        <v>12G</v>
      </c>
      <c r="E283" s="127">
        <f t="shared" si="99"/>
        <v>4</v>
      </c>
      <c r="F283" s="128" t="str">
        <f t="shared" si="99"/>
        <v>Mini-SAS HD</v>
      </c>
      <c r="G283" s="45">
        <v>23040</v>
      </c>
      <c r="H283" s="45">
        <v>32850</v>
      </c>
      <c r="I283" s="45"/>
      <c r="J283" s="45"/>
      <c r="K283" s="45"/>
      <c r="L283" s="45"/>
      <c r="M283" s="45"/>
      <c r="N283" s="45"/>
      <c r="O283" s="45"/>
      <c r="P283" s="45"/>
      <c r="Q283" s="45"/>
      <c r="R283" s="45"/>
    </row>
    <row r="284" spans="2:18" ht="13.8">
      <c r="B284" s="130" t="str">
        <f t="shared" si="99"/>
        <v>AOC</v>
      </c>
      <c r="C284" s="127" t="str">
        <f t="shared" si="99"/>
        <v>25G</v>
      </c>
      <c r="D284" s="127" t="str">
        <f t="shared" si="99"/>
        <v>25-28G</v>
      </c>
      <c r="E284" s="127">
        <f t="shared" si="99"/>
        <v>1</v>
      </c>
      <c r="F284" s="128" t="str">
        <f t="shared" si="99"/>
        <v>SFP28</v>
      </c>
      <c r="G284" s="45">
        <v>10000</v>
      </c>
      <c r="H284" s="45">
        <v>170652</v>
      </c>
      <c r="I284" s="45"/>
      <c r="J284" s="45"/>
      <c r="K284" s="45"/>
      <c r="L284" s="45"/>
      <c r="M284" s="45"/>
      <c r="N284" s="45"/>
      <c r="O284" s="45"/>
      <c r="P284" s="45"/>
      <c r="Q284" s="45"/>
      <c r="R284" s="45"/>
    </row>
    <row r="285" spans="2:18" ht="13.8">
      <c r="B285" s="130" t="str">
        <f t="shared" si="99"/>
        <v>AOC</v>
      </c>
      <c r="C285" s="127" t="str">
        <f t="shared" si="99"/>
        <v>100G</v>
      </c>
      <c r="D285" s="127" t="str">
        <f t="shared" si="99"/>
        <v>25-28G, 50G, 100G</v>
      </c>
      <c r="E285" s="127" t="str">
        <f t="shared" si="99"/>
        <v>1, 2, or 4</v>
      </c>
      <c r="F285" s="128" t="str">
        <f t="shared" si="99"/>
        <v>QSFP28, SFP-DD, SFP112</v>
      </c>
      <c r="G285" s="45">
        <v>21000</v>
      </c>
      <c r="H285" s="45">
        <v>31473.440000000002</v>
      </c>
      <c r="I285" s="45"/>
      <c r="J285" s="45"/>
      <c r="K285" s="45"/>
      <c r="L285" s="45"/>
      <c r="M285" s="45"/>
      <c r="N285" s="45"/>
      <c r="O285" s="45"/>
      <c r="P285" s="45"/>
      <c r="Q285" s="45"/>
      <c r="R285" s="45"/>
    </row>
    <row r="286" spans="2:18" ht="13.8">
      <c r="B286" s="130" t="str">
        <f t="shared" ref="B286:F295" si="100">B99</f>
        <v>AOC</v>
      </c>
      <c r="C286" s="127" t="str">
        <f t="shared" si="100"/>
        <v>100G</v>
      </c>
      <c r="D286" s="127" t="str">
        <f t="shared" si="100"/>
        <v>25-28G</v>
      </c>
      <c r="E286" s="127" t="str">
        <f t="shared" si="100"/>
        <v>4:1</v>
      </c>
      <c r="F286" s="128" t="str">
        <f t="shared" si="100"/>
        <v>QSFP28/SFP28</v>
      </c>
      <c r="G286" s="45">
        <v>0</v>
      </c>
      <c r="H286" s="45">
        <v>3500</v>
      </c>
      <c r="I286" s="45"/>
      <c r="J286" s="45"/>
      <c r="K286" s="45"/>
      <c r="L286" s="45"/>
      <c r="M286" s="45"/>
      <c r="N286" s="45"/>
      <c r="O286" s="45"/>
      <c r="P286" s="45"/>
      <c r="Q286" s="45"/>
      <c r="R286" s="45"/>
    </row>
    <row r="287" spans="2:18" ht="13.8">
      <c r="B287" s="130" t="str">
        <f t="shared" si="100"/>
        <v>AOC</v>
      </c>
      <c r="C287" s="127" t="str">
        <f t="shared" si="100"/>
        <v>96G</v>
      </c>
      <c r="D287" s="127" t="str">
        <f t="shared" si="100"/>
        <v>24G</v>
      </c>
      <c r="E287" s="127">
        <f t="shared" si="100"/>
        <v>4</v>
      </c>
      <c r="F287" s="128" t="str">
        <f t="shared" si="100"/>
        <v>Mini-SAS HD</v>
      </c>
      <c r="G287" s="45">
        <v>0</v>
      </c>
      <c r="H287" s="45">
        <v>0</v>
      </c>
      <c r="I287" s="45"/>
      <c r="J287" s="45"/>
      <c r="K287" s="45"/>
      <c r="L287" s="45"/>
      <c r="M287" s="45"/>
      <c r="N287" s="45"/>
      <c r="O287" s="45"/>
      <c r="P287" s="45"/>
      <c r="Q287" s="45"/>
      <c r="R287" s="45"/>
    </row>
    <row r="288" spans="2:18" ht="13.8">
      <c r="B288" s="130" t="str">
        <f t="shared" si="100"/>
        <v>AOC</v>
      </c>
      <c r="C288" s="127" t="str">
        <f t="shared" si="100"/>
        <v>300G</v>
      </c>
      <c r="D288" s="127" t="str">
        <f t="shared" si="100"/>
        <v>25-28G</v>
      </c>
      <c r="E288" s="127">
        <f t="shared" si="100"/>
        <v>12</v>
      </c>
      <c r="F288" s="128" t="str">
        <f t="shared" si="100"/>
        <v>CXP28</v>
      </c>
      <c r="G288" s="45">
        <v>0</v>
      </c>
      <c r="H288" s="45">
        <v>0</v>
      </c>
      <c r="I288" s="45"/>
      <c r="J288" s="45"/>
      <c r="K288" s="45"/>
      <c r="L288" s="45"/>
      <c r="M288" s="45"/>
      <c r="N288" s="45"/>
      <c r="O288" s="45"/>
      <c r="P288" s="45"/>
      <c r="Q288" s="45"/>
      <c r="R288" s="45"/>
    </row>
    <row r="289" spans="2:18" ht="13.8">
      <c r="B289" s="130" t="str">
        <f t="shared" si="100"/>
        <v>EOM</v>
      </c>
      <c r="C289" s="127" t="str">
        <f t="shared" si="100"/>
        <v>100G-600G</v>
      </c>
      <c r="D289" s="127" t="str">
        <f t="shared" si="100"/>
        <v>25-28G</v>
      </c>
      <c r="E289" s="127" t="str">
        <f t="shared" si="100"/>
        <v>4,8,12,16,24</v>
      </c>
      <c r="F289" s="128" t="str">
        <f t="shared" si="100"/>
        <v>XCVR</v>
      </c>
      <c r="G289" s="45">
        <v>21200</v>
      </c>
      <c r="H289" s="45">
        <v>59045.499999999985</v>
      </c>
      <c r="I289" s="45"/>
      <c r="J289" s="45"/>
      <c r="K289" s="45"/>
      <c r="L289" s="45"/>
      <c r="M289" s="45"/>
      <c r="N289" s="45"/>
      <c r="O289" s="45"/>
      <c r="P289" s="45"/>
      <c r="Q289" s="45"/>
      <c r="R289" s="45"/>
    </row>
    <row r="290" spans="2:18" ht="13.8">
      <c r="B290" s="130" t="str">
        <f t="shared" si="100"/>
        <v>EOM</v>
      </c>
      <c r="C290" s="127" t="str">
        <f t="shared" si="100"/>
        <v>300G</v>
      </c>
      <c r="D290" s="127" t="str">
        <f t="shared" si="100"/>
        <v>25-28G</v>
      </c>
      <c r="E290" s="127">
        <f t="shared" si="100"/>
        <v>12</v>
      </c>
      <c r="F290" s="128" t="str">
        <f t="shared" si="100"/>
        <v>XCVR - CXP28</v>
      </c>
      <c r="G290" s="45">
        <v>0</v>
      </c>
      <c r="H290" s="45">
        <v>0</v>
      </c>
      <c r="I290" s="45"/>
      <c r="J290" s="45"/>
      <c r="K290" s="45"/>
      <c r="L290" s="45"/>
      <c r="M290" s="45"/>
      <c r="N290" s="45"/>
      <c r="O290" s="45"/>
      <c r="P290" s="45"/>
      <c r="Q290" s="45"/>
      <c r="R290" s="45"/>
    </row>
    <row r="291" spans="2:18" ht="13.8">
      <c r="B291" s="130" t="str">
        <f t="shared" si="100"/>
        <v>AOC</v>
      </c>
      <c r="C291" s="127" t="str">
        <f t="shared" si="100"/>
        <v>50G</v>
      </c>
      <c r="D291" s="127" t="str">
        <f t="shared" si="100"/>
        <v>50-56G</v>
      </c>
      <c r="E291" s="127">
        <f t="shared" si="100"/>
        <v>1</v>
      </c>
      <c r="F291" s="128" t="str">
        <f t="shared" si="100"/>
        <v>SFP56</v>
      </c>
      <c r="G291" s="45">
        <v>0</v>
      </c>
      <c r="H291" s="45">
        <v>0</v>
      </c>
      <c r="I291" s="45"/>
      <c r="J291" s="45"/>
      <c r="K291" s="45"/>
      <c r="L291" s="45"/>
      <c r="M291" s="45"/>
      <c r="N291" s="45"/>
      <c r="O291" s="45"/>
      <c r="P291" s="45"/>
      <c r="Q291" s="45"/>
      <c r="R291" s="45"/>
    </row>
    <row r="292" spans="2:18" ht="13.8">
      <c r="B292" s="130" t="str">
        <f t="shared" si="100"/>
        <v>AOC</v>
      </c>
      <c r="C292" s="127" t="str">
        <f t="shared" si="100"/>
        <v>200G</v>
      </c>
      <c r="D292" s="127" t="str">
        <f t="shared" si="100"/>
        <v>50-56G</v>
      </c>
      <c r="E292" s="127">
        <f t="shared" si="100"/>
        <v>4</v>
      </c>
      <c r="F292" s="128" t="str">
        <f t="shared" si="100"/>
        <v>QSFP56</v>
      </c>
      <c r="G292" s="45">
        <v>0</v>
      </c>
      <c r="H292" s="45">
        <v>0</v>
      </c>
      <c r="I292" s="45"/>
      <c r="J292" s="45"/>
      <c r="K292" s="45"/>
      <c r="L292" s="45"/>
      <c r="M292" s="45"/>
      <c r="N292" s="45"/>
      <c r="O292" s="45"/>
      <c r="P292" s="45"/>
      <c r="Q292" s="45"/>
      <c r="R292" s="45"/>
    </row>
    <row r="293" spans="2:18" ht="13.8">
      <c r="B293" s="130" t="str">
        <f t="shared" si="100"/>
        <v>EOM</v>
      </c>
      <c r="C293" s="127" t="str">
        <f t="shared" si="100"/>
        <v>200G - 3.2T</v>
      </c>
      <c r="D293" s="127" t="str">
        <f t="shared" si="100"/>
        <v>50-56G, 100G</v>
      </c>
      <c r="E293" s="127" t="str">
        <f t="shared" si="100"/>
        <v>8,12,16,24</v>
      </c>
      <c r="F293" s="128" t="str">
        <f t="shared" si="100"/>
        <v>TBD</v>
      </c>
      <c r="G293" s="45">
        <v>0</v>
      </c>
      <c r="H293" s="45">
        <v>0</v>
      </c>
      <c r="I293" s="45"/>
      <c r="J293" s="45"/>
      <c r="K293" s="45"/>
      <c r="L293" s="45"/>
      <c r="M293" s="45"/>
      <c r="N293" s="45"/>
      <c r="O293" s="45"/>
      <c r="P293" s="45"/>
      <c r="Q293" s="45"/>
      <c r="R293" s="45"/>
    </row>
    <row r="294" spans="2:18" ht="13.8">
      <c r="B294" s="130" t="str">
        <f t="shared" si="100"/>
        <v>AOC</v>
      </c>
      <c r="C294" s="127" t="str">
        <f t="shared" si="100"/>
        <v>400G, 2x200G</v>
      </c>
      <c r="D294" s="127" t="str">
        <f t="shared" si="100"/>
        <v>50-56G, 100G</v>
      </c>
      <c r="E294" s="127" t="str">
        <f t="shared" si="100"/>
        <v>4 or 8</v>
      </c>
      <c r="F294" s="128" t="str">
        <f t="shared" si="100"/>
        <v>QSFP-DD, OSFP, QSFP112</v>
      </c>
      <c r="G294" s="45">
        <v>0</v>
      </c>
      <c r="H294" s="45">
        <v>0</v>
      </c>
      <c r="I294" s="45"/>
      <c r="J294" s="45"/>
      <c r="K294" s="45"/>
      <c r="L294" s="45"/>
      <c r="M294" s="45"/>
      <c r="N294" s="45"/>
      <c r="O294" s="45"/>
      <c r="P294" s="45"/>
      <c r="Q294" s="45"/>
      <c r="R294" s="45"/>
    </row>
    <row r="295" spans="2:18" ht="13.8">
      <c r="B295" s="130" t="str">
        <f t="shared" si="100"/>
        <v>AOC</v>
      </c>
      <c r="C295" s="127" t="str">
        <f t="shared" si="100"/>
        <v>400G, 2x200G</v>
      </c>
      <c r="D295" s="127" t="str">
        <f t="shared" si="100"/>
        <v>50-56G, 100G</v>
      </c>
      <c r="E295" s="127" t="str">
        <f t="shared" si="100"/>
        <v>4:1 or 8:1</v>
      </c>
      <c r="F295" s="128" t="str">
        <f t="shared" si="100"/>
        <v>QSFP-DD, OSFP, QSFP112</v>
      </c>
      <c r="G295" s="45">
        <v>0</v>
      </c>
      <c r="H295" s="45">
        <v>0</v>
      </c>
      <c r="I295" s="45"/>
      <c r="J295" s="45"/>
      <c r="K295" s="45"/>
      <c r="L295" s="45"/>
      <c r="M295" s="45"/>
      <c r="N295" s="45"/>
      <c r="O295" s="45"/>
      <c r="P295" s="45"/>
      <c r="Q295" s="45"/>
      <c r="R295" s="45"/>
    </row>
    <row r="296" spans="2:18" ht="13.8">
      <c r="B296" s="130" t="str">
        <f t="shared" ref="B296:F305" si="101">B109</f>
        <v>AOC</v>
      </c>
      <c r="C296" s="127" t="str">
        <f t="shared" si="101"/>
        <v>800G</v>
      </c>
      <c r="D296" s="127" t="str">
        <f t="shared" si="101"/>
        <v>100G</v>
      </c>
      <c r="E296" s="127" t="str">
        <f t="shared" si="101"/>
        <v>8:1</v>
      </c>
      <c r="F296" s="128" t="str">
        <f t="shared" si="101"/>
        <v xml:space="preserve">QSFP-DD800, OSFP </v>
      </c>
      <c r="G296" s="45">
        <v>0</v>
      </c>
      <c r="H296" s="45">
        <v>0</v>
      </c>
      <c r="I296" s="45"/>
      <c r="J296" s="45"/>
      <c r="K296" s="45"/>
      <c r="L296" s="45"/>
      <c r="M296" s="45"/>
      <c r="N296" s="45"/>
      <c r="O296" s="45"/>
      <c r="P296" s="45"/>
      <c r="Q296" s="45"/>
      <c r="R296" s="45"/>
    </row>
    <row r="297" spans="2:18" ht="13.8">
      <c r="B297" s="307" t="str">
        <f t="shared" si="101"/>
        <v>AOC</v>
      </c>
      <c r="C297" s="308" t="str">
        <f t="shared" si="101"/>
        <v>1.6T</v>
      </c>
      <c r="D297" s="308" t="str">
        <f t="shared" si="101"/>
        <v>100G</v>
      </c>
      <c r="E297" s="308">
        <f t="shared" si="101"/>
        <v>16</v>
      </c>
      <c r="F297" s="309" t="str">
        <f t="shared" si="101"/>
        <v>OSFP-XD</v>
      </c>
      <c r="G297" s="310">
        <v>0</v>
      </c>
      <c r="H297" s="310">
        <v>0</v>
      </c>
      <c r="I297" s="310"/>
      <c r="J297" s="310"/>
      <c r="K297" s="310"/>
      <c r="L297" s="310"/>
      <c r="M297" s="310"/>
      <c r="N297" s="310"/>
      <c r="O297" s="310"/>
      <c r="P297" s="310"/>
      <c r="Q297" s="310"/>
      <c r="R297" s="310"/>
    </row>
    <row r="298" spans="2:18" ht="13.8">
      <c r="B298" s="130" t="str">
        <f t="shared" si="101"/>
        <v>CPO</v>
      </c>
      <c r="C298" s="127" t="str">
        <f t="shared" si="101"/>
        <v>800 Gbps</v>
      </c>
      <c r="D298" s="127" t="str">
        <f t="shared" si="101"/>
        <v>100G</v>
      </c>
      <c r="E298" s="127" t="str">
        <f t="shared" si="101"/>
        <v>30m</v>
      </c>
      <c r="F298" s="127" t="str">
        <f t="shared" si="101"/>
        <v>TBD</v>
      </c>
      <c r="G298" s="366">
        <v>0</v>
      </c>
      <c r="H298" s="50">
        <v>0</v>
      </c>
      <c r="I298" s="50"/>
      <c r="J298" s="50"/>
      <c r="K298" s="50"/>
      <c r="L298" s="50"/>
      <c r="M298" s="50"/>
      <c r="N298" s="50"/>
      <c r="O298" s="50"/>
      <c r="P298" s="50"/>
      <c r="Q298" s="50"/>
      <c r="R298" s="50"/>
    </row>
    <row r="299" spans="2:18" ht="13.8">
      <c r="B299" s="130" t="str">
        <f t="shared" si="101"/>
        <v>CPO</v>
      </c>
      <c r="C299" s="127" t="str">
        <f t="shared" si="101"/>
        <v>800 Gbps</v>
      </c>
      <c r="D299" s="127" t="str">
        <f t="shared" si="101"/>
        <v>100G</v>
      </c>
      <c r="E299" s="127" t="str">
        <f t="shared" si="101"/>
        <v>100 m</v>
      </c>
      <c r="F299" s="128" t="str">
        <f t="shared" si="101"/>
        <v>TBD</v>
      </c>
      <c r="G299" s="50">
        <v>0</v>
      </c>
      <c r="H299" s="50">
        <v>0</v>
      </c>
      <c r="I299" s="50"/>
      <c r="J299" s="50"/>
      <c r="K299" s="50"/>
      <c r="L299" s="50"/>
      <c r="M299" s="50"/>
      <c r="N299" s="50"/>
      <c r="O299" s="50"/>
      <c r="P299" s="50"/>
      <c r="Q299" s="50"/>
      <c r="R299" s="50"/>
    </row>
    <row r="300" spans="2:18" ht="13.8">
      <c r="B300" s="130" t="str">
        <f t="shared" si="101"/>
        <v>CPO</v>
      </c>
      <c r="C300" s="127" t="str">
        <f t="shared" si="101"/>
        <v>800 Gbps</v>
      </c>
      <c r="D300" s="127" t="str">
        <f t="shared" si="101"/>
        <v>100G</v>
      </c>
      <c r="E300" s="127" t="str">
        <f t="shared" si="101"/>
        <v>500 m</v>
      </c>
      <c r="F300" s="128" t="str">
        <f t="shared" si="101"/>
        <v>TBD</v>
      </c>
      <c r="G300" s="50">
        <v>0</v>
      </c>
      <c r="H300" s="50">
        <v>0</v>
      </c>
      <c r="I300" s="50"/>
      <c r="J300" s="50"/>
      <c r="K300" s="50"/>
      <c r="L300" s="50"/>
      <c r="M300" s="50"/>
      <c r="N300" s="50"/>
      <c r="O300" s="50"/>
      <c r="P300" s="50"/>
      <c r="Q300" s="50"/>
      <c r="R300" s="50"/>
    </row>
    <row r="301" spans="2:18" ht="13.8">
      <c r="B301" s="130" t="str">
        <f t="shared" si="101"/>
        <v>CPO</v>
      </c>
      <c r="C301" s="127" t="str">
        <f t="shared" si="101"/>
        <v>800 Gbps</v>
      </c>
      <c r="D301" s="127" t="str">
        <f t="shared" si="101"/>
        <v>100G</v>
      </c>
      <c r="E301" s="127" t="str">
        <f t="shared" si="101"/>
        <v>2 km</v>
      </c>
      <c r="F301" s="128" t="str">
        <f t="shared" si="101"/>
        <v>TBD</v>
      </c>
      <c r="G301" s="50">
        <v>0</v>
      </c>
      <c r="H301" s="50">
        <v>0</v>
      </c>
      <c r="I301" s="50"/>
      <c r="J301" s="50"/>
      <c r="K301" s="50"/>
      <c r="L301" s="50"/>
      <c r="M301" s="50"/>
      <c r="N301" s="50"/>
      <c r="O301" s="50"/>
      <c r="P301" s="50"/>
      <c r="Q301" s="50"/>
      <c r="R301" s="50"/>
    </row>
    <row r="302" spans="2:18" ht="13.8">
      <c r="B302" s="130" t="str">
        <f t="shared" si="101"/>
        <v>CPO</v>
      </c>
      <c r="C302" s="127" t="str">
        <f t="shared" si="101"/>
        <v>800 Gbps</v>
      </c>
      <c r="D302" s="127" t="str">
        <f t="shared" si="101"/>
        <v>100G</v>
      </c>
      <c r="E302" s="127" t="str">
        <f t="shared" si="101"/>
        <v>10 km</v>
      </c>
      <c r="F302" s="128" t="str">
        <f t="shared" si="101"/>
        <v>TBD</v>
      </c>
      <c r="G302" s="50">
        <v>0</v>
      </c>
      <c r="H302" s="50">
        <v>0</v>
      </c>
      <c r="I302" s="50"/>
      <c r="J302" s="50"/>
      <c r="K302" s="50"/>
      <c r="L302" s="50"/>
      <c r="M302" s="50"/>
      <c r="N302" s="50"/>
      <c r="O302" s="50"/>
      <c r="P302" s="50"/>
      <c r="Q302" s="50"/>
      <c r="R302" s="50"/>
    </row>
    <row r="303" spans="2:18" ht="13.8">
      <c r="B303" s="130" t="str">
        <f t="shared" si="101"/>
        <v>CPO</v>
      </c>
      <c r="C303" s="127" t="str">
        <f t="shared" si="101"/>
        <v>1.6 Tbps</v>
      </c>
      <c r="D303" s="127" t="str">
        <f t="shared" si="101"/>
        <v>100G</v>
      </c>
      <c r="E303" s="127" t="str">
        <f t="shared" si="101"/>
        <v>30m</v>
      </c>
      <c r="F303" s="128" t="str">
        <f t="shared" si="101"/>
        <v>TBD</v>
      </c>
      <c r="G303" s="50">
        <v>0</v>
      </c>
      <c r="H303" s="50">
        <v>0</v>
      </c>
      <c r="I303" s="50"/>
      <c r="J303" s="50"/>
      <c r="K303" s="50"/>
      <c r="L303" s="50"/>
      <c r="M303" s="50"/>
      <c r="N303" s="50"/>
      <c r="O303" s="50"/>
      <c r="P303" s="50"/>
      <c r="Q303" s="50"/>
      <c r="R303" s="50"/>
    </row>
    <row r="304" spans="2:18" ht="13.8">
      <c r="B304" s="130" t="str">
        <f t="shared" si="101"/>
        <v>CPO</v>
      </c>
      <c r="C304" s="127" t="str">
        <f t="shared" si="101"/>
        <v>1.6 Tbps</v>
      </c>
      <c r="D304" s="127" t="str">
        <f t="shared" si="101"/>
        <v>100G</v>
      </c>
      <c r="E304" s="127" t="str">
        <f t="shared" si="101"/>
        <v>100 m</v>
      </c>
      <c r="F304" s="128" t="str">
        <f t="shared" si="101"/>
        <v>TBD</v>
      </c>
      <c r="G304" s="50">
        <v>0</v>
      </c>
      <c r="H304" s="50">
        <v>0</v>
      </c>
      <c r="I304" s="50"/>
      <c r="J304" s="50"/>
      <c r="K304" s="50"/>
      <c r="L304" s="50"/>
      <c r="M304" s="50"/>
      <c r="N304" s="50"/>
      <c r="O304" s="50"/>
      <c r="P304" s="50"/>
      <c r="Q304" s="50"/>
      <c r="R304" s="50"/>
    </row>
    <row r="305" spans="2:18" ht="13.8">
      <c r="B305" s="130" t="str">
        <f t="shared" si="101"/>
        <v>CPO</v>
      </c>
      <c r="C305" s="127" t="str">
        <f t="shared" si="101"/>
        <v>1.6 Tbps</v>
      </c>
      <c r="D305" s="127" t="str">
        <f t="shared" si="101"/>
        <v>100G</v>
      </c>
      <c r="E305" s="127" t="str">
        <f t="shared" si="101"/>
        <v>500 m</v>
      </c>
      <c r="F305" s="128" t="str">
        <f t="shared" si="101"/>
        <v>TBD</v>
      </c>
      <c r="G305" s="45">
        <v>0</v>
      </c>
      <c r="H305" s="45">
        <v>0</v>
      </c>
      <c r="I305" s="45"/>
      <c r="J305" s="45"/>
      <c r="K305" s="45"/>
      <c r="L305" s="45"/>
      <c r="M305" s="45"/>
      <c r="N305" s="45"/>
      <c r="O305" s="45"/>
      <c r="P305" s="45"/>
      <c r="Q305" s="45"/>
      <c r="R305" s="45"/>
    </row>
    <row r="306" spans="2:18" ht="13.8">
      <c r="B306" s="130" t="str">
        <f t="shared" ref="B306:F307" si="102">B119</f>
        <v>CPO</v>
      </c>
      <c r="C306" s="127" t="str">
        <f t="shared" si="102"/>
        <v>1.6 Tbps</v>
      </c>
      <c r="D306" s="127" t="str">
        <f t="shared" si="102"/>
        <v>100G</v>
      </c>
      <c r="E306" s="127" t="str">
        <f t="shared" si="102"/>
        <v>2 km</v>
      </c>
      <c r="F306" s="128" t="str">
        <f t="shared" si="102"/>
        <v>TBD</v>
      </c>
      <c r="G306" s="45">
        <v>0</v>
      </c>
      <c r="H306" s="45">
        <v>0</v>
      </c>
      <c r="I306" s="45"/>
      <c r="J306" s="45"/>
      <c r="K306" s="45"/>
      <c r="L306" s="45"/>
      <c r="M306" s="45"/>
      <c r="N306" s="45"/>
      <c r="O306" s="45"/>
      <c r="P306" s="45"/>
      <c r="Q306" s="45"/>
      <c r="R306" s="45"/>
    </row>
    <row r="307" spans="2:18" ht="13.8">
      <c r="B307" s="373" t="str">
        <f t="shared" si="102"/>
        <v>CPO</v>
      </c>
      <c r="C307" s="374" t="str">
        <f t="shared" si="102"/>
        <v>1.6 Tbps</v>
      </c>
      <c r="D307" s="374" t="str">
        <f t="shared" si="102"/>
        <v>100G</v>
      </c>
      <c r="E307" s="374" t="str">
        <f t="shared" si="102"/>
        <v>10 km</v>
      </c>
      <c r="F307" s="375" t="str">
        <f t="shared" si="102"/>
        <v>TBD</v>
      </c>
      <c r="G307" s="27">
        <v>0</v>
      </c>
      <c r="H307" s="27">
        <v>0</v>
      </c>
      <c r="I307" s="27"/>
      <c r="J307" s="27"/>
      <c r="K307" s="27"/>
      <c r="L307" s="27"/>
      <c r="M307" s="27"/>
      <c r="N307" s="27"/>
      <c r="O307" s="27"/>
      <c r="P307" s="27"/>
      <c r="Q307" s="27"/>
      <c r="R307" s="27"/>
    </row>
    <row r="308" spans="2:18" ht="13.8">
      <c r="B308" s="436" t="str">
        <f t="shared" ref="B308:B311" si="103">B121</f>
        <v>External laser module (Comb) -LP</v>
      </c>
      <c r="C308" s="127"/>
      <c r="D308" s="127"/>
      <c r="E308" s="127"/>
      <c r="F308" s="128"/>
      <c r="G308" s="45">
        <v>0</v>
      </c>
      <c r="H308" s="45">
        <v>0</v>
      </c>
      <c r="I308" s="45"/>
      <c r="J308" s="45"/>
      <c r="K308" s="45"/>
      <c r="L308" s="45"/>
      <c r="M308" s="45"/>
      <c r="N308" s="45"/>
      <c r="O308" s="45"/>
      <c r="P308" s="45"/>
      <c r="Q308" s="45"/>
      <c r="R308" s="45"/>
    </row>
    <row r="309" spans="2:18" ht="13.8">
      <c r="B309" s="436" t="str">
        <f t="shared" si="103"/>
        <v>External laser module (Comb) - HP</v>
      </c>
      <c r="C309" s="127"/>
      <c r="D309" s="127"/>
      <c r="E309" s="127"/>
      <c r="F309" s="128"/>
      <c r="G309" s="45">
        <v>0</v>
      </c>
      <c r="H309" s="45">
        <v>0</v>
      </c>
      <c r="I309" s="45"/>
      <c r="J309" s="45"/>
      <c r="K309" s="45"/>
      <c r="L309" s="45"/>
      <c r="M309" s="45"/>
      <c r="N309" s="45"/>
      <c r="O309" s="45"/>
      <c r="P309" s="45"/>
      <c r="Q309" s="45"/>
      <c r="R309" s="45"/>
    </row>
    <row r="310" spans="2:18" ht="13.8">
      <c r="B310" s="436" t="str">
        <f t="shared" si="103"/>
        <v>External laser module (4xDR4)</v>
      </c>
      <c r="C310" s="127"/>
      <c r="D310" s="127"/>
      <c r="E310" s="127"/>
      <c r="F310" s="128"/>
      <c r="G310" s="45">
        <v>0</v>
      </c>
      <c r="H310" s="45">
        <v>0</v>
      </c>
      <c r="I310" s="45"/>
      <c r="J310" s="45"/>
      <c r="K310" s="45"/>
      <c r="L310" s="45"/>
      <c r="M310" s="45"/>
      <c r="N310" s="45"/>
      <c r="O310" s="45"/>
      <c r="P310" s="45"/>
      <c r="Q310" s="45"/>
      <c r="R310" s="45"/>
    </row>
    <row r="311" spans="2:18" ht="13.8">
      <c r="B311" s="434" t="str">
        <f t="shared" si="103"/>
        <v>External laser module (4xFR4)</v>
      </c>
      <c r="C311" s="374"/>
      <c r="D311" s="374"/>
      <c r="E311" s="374"/>
      <c r="F311" s="375"/>
      <c r="G311" s="27">
        <v>0</v>
      </c>
      <c r="H311" s="27">
        <v>0</v>
      </c>
      <c r="I311" s="27"/>
      <c r="J311" s="27"/>
      <c r="K311" s="27"/>
      <c r="L311" s="27"/>
      <c r="M311" s="27"/>
      <c r="N311" s="27"/>
      <c r="O311" s="27"/>
      <c r="P311" s="27"/>
      <c r="Q311" s="27"/>
      <c r="R311" s="27"/>
    </row>
    <row r="312" spans="2:18" ht="13.8">
      <c r="B312" s="145" t="str">
        <f t="shared" ref="B312:F325" si="104">B125</f>
        <v>DAC</v>
      </c>
      <c r="C312" s="146" t="str">
        <f t="shared" si="104"/>
        <v>10G</v>
      </c>
      <c r="D312" s="146" t="str">
        <f t="shared" si="104"/>
        <v>TBD</v>
      </c>
      <c r="E312" s="146" t="str">
        <f t="shared" si="104"/>
        <v>30m</v>
      </c>
      <c r="F312" s="147" t="str">
        <f t="shared" si="104"/>
        <v>SFP</v>
      </c>
      <c r="G312" s="45">
        <v>4360630.95</v>
      </c>
      <c r="H312" s="45">
        <v>4085019.9</v>
      </c>
      <c r="I312" s="45"/>
      <c r="J312" s="45"/>
      <c r="K312" s="45"/>
      <c r="L312" s="45"/>
      <c r="M312" s="45"/>
      <c r="N312" s="45"/>
      <c r="O312" s="45"/>
      <c r="P312" s="45"/>
      <c r="Q312" s="45"/>
      <c r="R312" s="45"/>
    </row>
    <row r="313" spans="2:18" ht="13.8">
      <c r="B313" s="130" t="str">
        <f t="shared" si="104"/>
        <v>DAC</v>
      </c>
      <c r="C313" s="127" t="str">
        <f t="shared" si="104"/>
        <v>25G</v>
      </c>
      <c r="D313" s="127" t="str">
        <f t="shared" si="104"/>
        <v>TBD</v>
      </c>
      <c r="E313" s="127" t="str">
        <f t="shared" si="104"/>
        <v>30m</v>
      </c>
      <c r="F313" s="128" t="str">
        <f t="shared" si="104"/>
        <v>SFP+</v>
      </c>
      <c r="G313" s="45">
        <v>398028.22500000003</v>
      </c>
      <c r="H313" s="45">
        <v>860378.62949999992</v>
      </c>
      <c r="I313" s="45"/>
      <c r="J313" s="45"/>
      <c r="K313" s="45"/>
      <c r="L313" s="45"/>
      <c r="M313" s="45"/>
      <c r="N313" s="45"/>
      <c r="O313" s="45"/>
      <c r="P313" s="45"/>
      <c r="Q313" s="45"/>
      <c r="R313" s="45"/>
    </row>
    <row r="314" spans="2:18" ht="13.8">
      <c r="B314" s="130" t="str">
        <f t="shared" si="104"/>
        <v>DAC</v>
      </c>
      <c r="C314" s="127" t="str">
        <f t="shared" si="104"/>
        <v>40G</v>
      </c>
      <c r="D314" s="127" t="str">
        <f t="shared" si="104"/>
        <v>10G</v>
      </c>
      <c r="E314" s="127" t="str">
        <f t="shared" si="104"/>
        <v>30m</v>
      </c>
      <c r="F314" s="128" t="str">
        <f t="shared" si="104"/>
        <v>QSFP</v>
      </c>
      <c r="G314" s="45">
        <v>836102.85374428728</v>
      </c>
      <c r="H314" s="45">
        <v>599146.95242500002</v>
      </c>
      <c r="I314" s="45"/>
      <c r="J314" s="45"/>
      <c r="K314" s="45"/>
      <c r="L314" s="45"/>
      <c r="M314" s="45"/>
      <c r="N314" s="45"/>
      <c r="O314" s="45"/>
      <c r="P314" s="45"/>
      <c r="Q314" s="45"/>
      <c r="R314" s="45"/>
    </row>
    <row r="315" spans="2:18" ht="13.8">
      <c r="B315" s="130" t="str">
        <f t="shared" si="104"/>
        <v>DAC</v>
      </c>
      <c r="C315" s="127" t="str">
        <f t="shared" si="104"/>
        <v>56G</v>
      </c>
      <c r="D315" s="127" t="str">
        <f t="shared" si="104"/>
        <v>14G</v>
      </c>
      <c r="E315" s="127" t="str">
        <f t="shared" si="104"/>
        <v>30m</v>
      </c>
      <c r="F315" s="128" t="str">
        <f t="shared" si="104"/>
        <v>QSFP</v>
      </c>
      <c r="G315" s="45">
        <v>0</v>
      </c>
      <c r="H315" s="45">
        <v>0</v>
      </c>
      <c r="I315" s="45"/>
      <c r="J315" s="45"/>
      <c r="K315" s="45"/>
      <c r="L315" s="45"/>
      <c r="M315" s="45"/>
      <c r="N315" s="45"/>
      <c r="O315" s="45"/>
      <c r="P315" s="45"/>
      <c r="Q315" s="45"/>
      <c r="R315" s="45"/>
    </row>
    <row r="316" spans="2:18" ht="13.8">
      <c r="B316" s="130" t="str">
        <f t="shared" si="104"/>
        <v>AEC</v>
      </c>
      <c r="C316" s="127" t="str">
        <f t="shared" si="104"/>
        <v>100G</v>
      </c>
      <c r="D316" s="127" t="str">
        <f t="shared" si="104"/>
        <v>TBD</v>
      </c>
      <c r="E316" s="127" t="str">
        <f t="shared" si="104"/>
        <v>30m</v>
      </c>
      <c r="F316" s="128" t="str">
        <f t="shared" si="104"/>
        <v>QSFP28</v>
      </c>
      <c r="G316" s="45">
        <v>7326.510299999999</v>
      </c>
      <c r="H316" s="45">
        <v>20894.577299999997</v>
      </c>
      <c r="I316" s="45"/>
      <c r="J316" s="45"/>
      <c r="K316" s="45"/>
      <c r="L316" s="45"/>
      <c r="M316" s="45"/>
      <c r="N316" s="45"/>
      <c r="O316" s="45"/>
      <c r="P316" s="45"/>
      <c r="Q316" s="45"/>
      <c r="R316" s="45"/>
    </row>
    <row r="317" spans="2:18" ht="13.8">
      <c r="B317" s="130" t="str">
        <f t="shared" si="104"/>
        <v>DAC/ACC</v>
      </c>
      <c r="C317" s="127" t="str">
        <f t="shared" si="104"/>
        <v>100G</v>
      </c>
      <c r="D317" s="127" t="str">
        <f t="shared" si="104"/>
        <v>TBD</v>
      </c>
      <c r="E317" s="127" t="str">
        <f t="shared" si="104"/>
        <v>30m</v>
      </c>
      <c r="F317" s="128" t="str">
        <f t="shared" si="104"/>
        <v>QSFP28</v>
      </c>
      <c r="G317" s="45">
        <v>36632.551500000009</v>
      </c>
      <c r="H317" s="45">
        <v>104472.88650000001</v>
      </c>
      <c r="I317" s="45"/>
      <c r="J317" s="45"/>
      <c r="K317" s="45"/>
      <c r="L317" s="45"/>
      <c r="M317" s="45"/>
      <c r="N317" s="45"/>
      <c r="O317" s="45"/>
      <c r="P317" s="45"/>
      <c r="Q317" s="45"/>
      <c r="R317" s="45"/>
    </row>
    <row r="318" spans="2:18" ht="13.8">
      <c r="B318" s="130" t="str">
        <f t="shared" si="104"/>
        <v>AEC</v>
      </c>
      <c r="C318" s="127" t="str">
        <f t="shared" si="104"/>
        <v>200G</v>
      </c>
      <c r="D318" s="127" t="str">
        <f t="shared" si="104"/>
        <v>TBD</v>
      </c>
      <c r="E318" s="127" t="str">
        <f t="shared" si="104"/>
        <v>30m</v>
      </c>
      <c r="F318" s="128" t="str">
        <f t="shared" si="104"/>
        <v>QSFP56</v>
      </c>
      <c r="G318" s="45">
        <v>0</v>
      </c>
      <c r="H318" s="45">
        <v>0</v>
      </c>
      <c r="I318" s="45"/>
      <c r="J318" s="45"/>
      <c r="K318" s="45"/>
      <c r="L318" s="45"/>
      <c r="M318" s="45"/>
      <c r="N318" s="45"/>
      <c r="O318" s="45"/>
      <c r="P318" s="45"/>
      <c r="Q318" s="45"/>
      <c r="R318" s="45"/>
    </row>
    <row r="319" spans="2:18" ht="13.8">
      <c r="B319" s="130" t="str">
        <f t="shared" si="104"/>
        <v>DAC/ACC</v>
      </c>
      <c r="C319" s="127" t="str">
        <f t="shared" si="104"/>
        <v>200G</v>
      </c>
      <c r="D319" s="127" t="str">
        <f t="shared" si="104"/>
        <v>TBD</v>
      </c>
      <c r="E319" s="127" t="str">
        <f t="shared" si="104"/>
        <v>30m</v>
      </c>
      <c r="F319" s="128" t="str">
        <f t="shared" si="104"/>
        <v>QSFP56</v>
      </c>
      <c r="G319" s="45">
        <v>0</v>
      </c>
      <c r="H319" s="45">
        <v>0</v>
      </c>
      <c r="I319" s="45"/>
      <c r="J319" s="45"/>
      <c r="K319" s="45"/>
      <c r="L319" s="45"/>
      <c r="M319" s="45"/>
      <c r="N319" s="45"/>
      <c r="O319" s="45"/>
      <c r="P319" s="45"/>
      <c r="Q319" s="45"/>
      <c r="R319" s="45"/>
    </row>
    <row r="320" spans="2:18" ht="13.8">
      <c r="B320" s="130" t="str">
        <f t="shared" si="104"/>
        <v>AEC</v>
      </c>
      <c r="C320" s="127" t="str">
        <f t="shared" si="104"/>
        <v>400G</v>
      </c>
      <c r="D320" s="127" t="str">
        <f t="shared" si="104"/>
        <v>TBD</v>
      </c>
      <c r="E320" s="127" t="str">
        <f t="shared" si="104"/>
        <v>30m</v>
      </c>
      <c r="F320" s="128" t="str">
        <f t="shared" si="104"/>
        <v>TBD</v>
      </c>
      <c r="G320" s="45">
        <v>0</v>
      </c>
      <c r="H320" s="45">
        <v>0</v>
      </c>
      <c r="I320" s="45"/>
      <c r="J320" s="45"/>
      <c r="K320" s="45"/>
      <c r="L320" s="45"/>
      <c r="M320" s="45"/>
      <c r="N320" s="45"/>
      <c r="O320" s="45"/>
      <c r="P320" s="45"/>
      <c r="Q320" s="45"/>
      <c r="R320" s="45"/>
    </row>
    <row r="321" spans="2:18" ht="13.8">
      <c r="B321" s="130" t="str">
        <f t="shared" si="104"/>
        <v>DAC/ACC</v>
      </c>
      <c r="C321" s="127" t="str">
        <f t="shared" si="104"/>
        <v>400G</v>
      </c>
      <c r="D321" s="127" t="str">
        <f t="shared" si="104"/>
        <v>TBD</v>
      </c>
      <c r="E321" s="127" t="str">
        <f t="shared" si="104"/>
        <v>30m</v>
      </c>
      <c r="F321" s="128" t="str">
        <f t="shared" si="104"/>
        <v>TBD</v>
      </c>
      <c r="G321" s="45">
        <v>0</v>
      </c>
      <c r="H321" s="45">
        <v>0</v>
      </c>
      <c r="I321" s="45"/>
      <c r="J321" s="45"/>
      <c r="K321" s="45"/>
      <c r="L321" s="45"/>
      <c r="M321" s="45"/>
      <c r="N321" s="45"/>
      <c r="O321" s="45"/>
      <c r="P321" s="45"/>
      <c r="Q321" s="45"/>
      <c r="R321" s="45"/>
    </row>
    <row r="322" spans="2:18" ht="13.8">
      <c r="B322" s="130" t="str">
        <f t="shared" si="104"/>
        <v>AEC</v>
      </c>
      <c r="C322" s="127" t="str">
        <f t="shared" si="104"/>
        <v>800G</v>
      </c>
      <c r="D322" s="127" t="str">
        <f t="shared" si="104"/>
        <v>TBD</v>
      </c>
      <c r="E322" s="127" t="str">
        <f t="shared" si="104"/>
        <v>30m</v>
      </c>
      <c r="F322" s="128" t="str">
        <f t="shared" si="104"/>
        <v>TBD</v>
      </c>
      <c r="G322" s="45">
        <v>0</v>
      </c>
      <c r="H322" s="45">
        <v>0</v>
      </c>
      <c r="I322" s="45"/>
      <c r="J322" s="45"/>
      <c r="K322" s="45"/>
      <c r="L322" s="45"/>
      <c r="M322" s="45"/>
      <c r="N322" s="45"/>
      <c r="O322" s="45"/>
      <c r="P322" s="45"/>
      <c r="Q322" s="45"/>
      <c r="R322" s="45"/>
    </row>
    <row r="323" spans="2:18" ht="13.8">
      <c r="B323" s="130" t="str">
        <f t="shared" si="104"/>
        <v>DAC/ACC</v>
      </c>
      <c r="C323" s="127" t="str">
        <f t="shared" si="104"/>
        <v>800G</v>
      </c>
      <c r="D323" s="127" t="str">
        <f t="shared" si="104"/>
        <v>TBD</v>
      </c>
      <c r="E323" s="127" t="str">
        <f t="shared" si="104"/>
        <v>30m</v>
      </c>
      <c r="F323" s="128" t="str">
        <f t="shared" si="104"/>
        <v>TBD</v>
      </c>
      <c r="G323" s="45">
        <v>0</v>
      </c>
      <c r="H323" s="45">
        <v>0</v>
      </c>
      <c r="I323" s="45"/>
      <c r="J323" s="45"/>
      <c r="K323" s="45"/>
      <c r="L323" s="45"/>
      <c r="M323" s="45"/>
      <c r="N323" s="45"/>
      <c r="O323" s="45"/>
      <c r="P323" s="45"/>
      <c r="Q323" s="45"/>
      <c r="R323" s="45"/>
    </row>
    <row r="324" spans="2:18" ht="13.8">
      <c r="B324" s="130" t="str">
        <f t="shared" si="104"/>
        <v>AEC</v>
      </c>
      <c r="C324" s="127" t="str">
        <f t="shared" si="104"/>
        <v>1.6 Tbps</v>
      </c>
      <c r="D324" s="127" t="str">
        <f t="shared" si="104"/>
        <v>TBD</v>
      </c>
      <c r="E324" s="127" t="str">
        <f t="shared" si="104"/>
        <v>30m</v>
      </c>
      <c r="F324" s="128" t="str">
        <f t="shared" si="104"/>
        <v>TBD</v>
      </c>
      <c r="G324" s="45">
        <v>0</v>
      </c>
      <c r="H324" s="45">
        <v>0</v>
      </c>
      <c r="I324" s="45"/>
      <c r="J324" s="45"/>
      <c r="K324" s="45"/>
      <c r="L324" s="45"/>
      <c r="M324" s="45"/>
      <c r="N324" s="45"/>
      <c r="O324" s="45"/>
      <c r="P324" s="45"/>
      <c r="Q324" s="45"/>
      <c r="R324" s="45"/>
    </row>
    <row r="325" spans="2:18" ht="13.8">
      <c r="B325" s="373" t="str">
        <f t="shared" si="104"/>
        <v>DAC/ACC</v>
      </c>
      <c r="C325" s="374" t="str">
        <f t="shared" si="104"/>
        <v>1.6 Tbps</v>
      </c>
      <c r="D325" s="374" t="str">
        <f t="shared" si="104"/>
        <v>TBD</v>
      </c>
      <c r="E325" s="374" t="str">
        <f t="shared" si="104"/>
        <v>30m</v>
      </c>
      <c r="F325" s="375" t="str">
        <f t="shared" si="104"/>
        <v>TBD</v>
      </c>
      <c r="G325" s="45">
        <v>0</v>
      </c>
      <c r="H325" s="45">
        <v>0</v>
      </c>
      <c r="I325" s="45"/>
      <c r="J325" s="45"/>
      <c r="K325" s="45"/>
      <c r="L325" s="45"/>
      <c r="M325" s="45"/>
      <c r="N325" s="45"/>
      <c r="O325" s="45"/>
      <c r="P325" s="45"/>
      <c r="Q325" s="45"/>
      <c r="R325" s="45"/>
    </row>
    <row r="326" spans="2:18" ht="13.8">
      <c r="B326" s="148" t="s">
        <v>25</v>
      </c>
      <c r="C326" s="100" t="str">
        <f>C210</f>
        <v>All</v>
      </c>
      <c r="D326" s="100" t="str">
        <f>D210</f>
        <v>All</v>
      </c>
      <c r="E326" s="129" t="str">
        <f>E210</f>
        <v>All</v>
      </c>
      <c r="F326" s="92" t="str">
        <f>F210</f>
        <v>All</v>
      </c>
      <c r="G326" s="136">
        <f>SUM(G277:G325)</f>
        <v>7624105.3105442869</v>
      </c>
      <c r="H326" s="136">
        <f t="shared" ref="H326" si="105">SUM(H277:H325)</f>
        <v>9372051.3657249976</v>
      </c>
      <c r="I326" s="136"/>
      <c r="J326" s="136"/>
      <c r="K326" s="136"/>
      <c r="L326" s="136"/>
      <c r="M326" s="136"/>
      <c r="N326" s="136"/>
      <c r="O326" s="136"/>
      <c r="P326" s="136"/>
      <c r="Q326" s="136"/>
      <c r="R326" s="136"/>
    </row>
    <row r="328" spans="2:18" ht="13.8">
      <c r="B328" s="87" t="str">
        <f>B89</f>
        <v>Type</v>
      </c>
      <c r="C328" s="100" t="str">
        <f>C89</f>
        <v>Agg. Speed</v>
      </c>
      <c r="D328" s="100" t="str">
        <f>D89</f>
        <v>Lane Speed</v>
      </c>
      <c r="E328" s="100" t="str">
        <f>E89</f>
        <v>Lanes</v>
      </c>
      <c r="F328" s="196" t="str">
        <f>F89</f>
        <v>Form Factor</v>
      </c>
      <c r="G328" s="30">
        <v>2016</v>
      </c>
      <c r="H328" s="30">
        <v>2017</v>
      </c>
      <c r="I328" s="30">
        <v>2018</v>
      </c>
      <c r="J328" s="30">
        <v>2019</v>
      </c>
      <c r="K328" s="30">
        <v>2020</v>
      </c>
      <c r="L328" s="30">
        <v>2021</v>
      </c>
      <c r="M328" s="30">
        <v>2022</v>
      </c>
      <c r="N328" s="30">
        <v>2023</v>
      </c>
      <c r="O328" s="30">
        <v>2024</v>
      </c>
      <c r="P328" s="30">
        <v>2025</v>
      </c>
      <c r="Q328" s="30">
        <v>2026</v>
      </c>
      <c r="R328" s="30">
        <v>2027</v>
      </c>
    </row>
    <row r="329" spans="2:18" ht="13.8">
      <c r="B329" s="93" t="str">
        <f t="shared" ref="B329:F332" si="106">B266</f>
        <v>AOC</v>
      </c>
      <c r="C329" s="82" t="str">
        <f t="shared" si="106"/>
        <v>All</v>
      </c>
      <c r="D329" s="82" t="str">
        <f t="shared" si="106"/>
        <v>All</v>
      </c>
      <c r="E329" s="82" t="str">
        <f t="shared" si="106"/>
        <v>Single</v>
      </c>
      <c r="F329" s="95" t="str">
        <f t="shared" si="106"/>
        <v>All</v>
      </c>
      <c r="G329" s="50">
        <f t="shared" ref="G329:R329" si="107">G277+G284+G291</f>
        <v>1664178</v>
      </c>
      <c r="H329" s="50">
        <f t="shared" si="107"/>
        <v>3402357</v>
      </c>
      <c r="I329" s="50">
        <f t="shared" si="107"/>
        <v>0</v>
      </c>
      <c r="J329" s="50">
        <f t="shared" si="107"/>
        <v>0</v>
      </c>
      <c r="K329" s="50">
        <f t="shared" si="107"/>
        <v>0</v>
      </c>
      <c r="L329" s="50">
        <f t="shared" si="107"/>
        <v>0</v>
      </c>
      <c r="M329" s="50">
        <f t="shared" si="107"/>
        <v>0</v>
      </c>
      <c r="N329" s="50">
        <f t="shared" si="107"/>
        <v>0</v>
      </c>
      <c r="O329" s="50">
        <f t="shared" si="107"/>
        <v>0</v>
      </c>
      <c r="P329" s="50">
        <f t="shared" si="107"/>
        <v>0</v>
      </c>
      <c r="Q329" s="50">
        <f t="shared" si="107"/>
        <v>0</v>
      </c>
      <c r="R329" s="50">
        <f t="shared" si="107"/>
        <v>0</v>
      </c>
    </row>
    <row r="330" spans="2:18" ht="13.8">
      <c r="B330" s="94" t="str">
        <f t="shared" si="106"/>
        <v>AOC</v>
      </c>
      <c r="C330" s="77" t="str">
        <f t="shared" si="106"/>
        <v>All</v>
      </c>
      <c r="D330" s="77" t="str">
        <f t="shared" si="106"/>
        <v>All</v>
      </c>
      <c r="E330" s="77" t="str">
        <f t="shared" si="106"/>
        <v>Multi-</v>
      </c>
      <c r="F330" s="96" t="str">
        <f t="shared" si="106"/>
        <v>All</v>
      </c>
      <c r="G330" s="98">
        <f>G278+G280+G282+G283+G285+G287+G288+G292+G279+G286+G294+G296+G295+G297</f>
        <v>300006.21999999997</v>
      </c>
      <c r="H330" s="50">
        <f t="shared" ref="H330:R330" si="108">H278+H280+H282+H283+H285+H287+H288+H292+H279+H286+H294+H296+H295+H297</f>
        <v>240735.92</v>
      </c>
      <c r="I330" s="50">
        <f t="shared" si="108"/>
        <v>0</v>
      </c>
      <c r="J330" s="50">
        <f t="shared" si="108"/>
        <v>0</v>
      </c>
      <c r="K330" s="50">
        <f t="shared" si="108"/>
        <v>0</v>
      </c>
      <c r="L330" s="50">
        <f t="shared" si="108"/>
        <v>0</v>
      </c>
      <c r="M330" s="50">
        <f t="shared" si="108"/>
        <v>0</v>
      </c>
      <c r="N330" s="50">
        <f t="shared" si="108"/>
        <v>0</v>
      </c>
      <c r="O330" s="50">
        <f t="shared" si="108"/>
        <v>0</v>
      </c>
      <c r="P330" s="50">
        <f t="shared" si="108"/>
        <v>0</v>
      </c>
      <c r="Q330" s="50">
        <f t="shared" si="108"/>
        <v>0</v>
      </c>
      <c r="R330" s="50">
        <f t="shared" si="108"/>
        <v>0</v>
      </c>
    </row>
    <row r="331" spans="2:18" ht="13.8">
      <c r="B331" s="94" t="str">
        <f t="shared" si="106"/>
        <v>EOM</v>
      </c>
      <c r="C331" s="77" t="str">
        <f t="shared" si="106"/>
        <v>All</v>
      </c>
      <c r="D331" s="77" t="str">
        <f t="shared" si="106"/>
        <v>All</v>
      </c>
      <c r="E331" s="77" t="str">
        <f t="shared" si="106"/>
        <v>All</v>
      </c>
      <c r="F331" s="96" t="str">
        <f t="shared" si="106"/>
        <v>All</v>
      </c>
      <c r="G331" s="50">
        <f>G293+G290+G289+G281</f>
        <v>21200</v>
      </c>
      <c r="H331" s="50">
        <f t="shared" ref="H331:R331" si="109">H293+H290+H289+H281</f>
        <v>59045.499999999985</v>
      </c>
      <c r="I331" s="50">
        <f t="shared" si="109"/>
        <v>0</v>
      </c>
      <c r="J331" s="50">
        <f t="shared" si="109"/>
        <v>0</v>
      </c>
      <c r="K331" s="50">
        <f t="shared" si="109"/>
        <v>0</v>
      </c>
      <c r="L331" s="50">
        <f t="shared" si="109"/>
        <v>0</v>
      </c>
      <c r="M331" s="50">
        <f t="shared" si="109"/>
        <v>0</v>
      </c>
      <c r="N331" s="50">
        <f t="shared" si="109"/>
        <v>0</v>
      </c>
      <c r="O331" s="50">
        <f t="shared" si="109"/>
        <v>0</v>
      </c>
      <c r="P331" s="50">
        <f t="shared" si="109"/>
        <v>0</v>
      </c>
      <c r="Q331" s="50">
        <f t="shared" si="109"/>
        <v>0</v>
      </c>
      <c r="R331" s="50">
        <f t="shared" si="109"/>
        <v>0</v>
      </c>
    </row>
    <row r="332" spans="2:18" ht="13.8">
      <c r="B332" s="94" t="str">
        <f t="shared" si="106"/>
        <v>CPO</v>
      </c>
      <c r="C332" s="77" t="str">
        <f t="shared" si="106"/>
        <v>All</v>
      </c>
      <c r="D332" s="77" t="str">
        <f t="shared" si="106"/>
        <v>All</v>
      </c>
      <c r="E332" s="77" t="str">
        <f t="shared" si="106"/>
        <v>All</v>
      </c>
      <c r="F332" s="96" t="str">
        <f t="shared" si="106"/>
        <v>All</v>
      </c>
      <c r="G332" s="50">
        <f>SUM(G298:G307)</f>
        <v>0</v>
      </c>
      <c r="H332" s="50">
        <f t="shared" ref="H332:R332" si="110">SUM(H298:H307)</f>
        <v>0</v>
      </c>
      <c r="I332" s="50">
        <f t="shared" si="110"/>
        <v>0</v>
      </c>
      <c r="J332" s="50">
        <f t="shared" si="110"/>
        <v>0</v>
      </c>
      <c r="K332" s="50">
        <f t="shared" si="110"/>
        <v>0</v>
      </c>
      <c r="L332" s="50">
        <f t="shared" si="110"/>
        <v>0</v>
      </c>
      <c r="M332" s="50">
        <f t="shared" si="110"/>
        <v>0</v>
      </c>
      <c r="N332" s="50">
        <f t="shared" si="110"/>
        <v>0</v>
      </c>
      <c r="O332" s="50">
        <f>SUM(O298:O307)</f>
        <v>0</v>
      </c>
      <c r="P332" s="50">
        <f t="shared" si="110"/>
        <v>0</v>
      </c>
      <c r="Q332" s="50">
        <f t="shared" si="110"/>
        <v>0</v>
      </c>
      <c r="R332" s="50">
        <f t="shared" si="110"/>
        <v>0</v>
      </c>
    </row>
    <row r="333" spans="2:18" ht="13.8">
      <c r="B333" s="429" t="str">
        <f>B270</f>
        <v>External laser modules</v>
      </c>
      <c r="C333" s="77"/>
      <c r="D333" s="77"/>
      <c r="E333" s="77"/>
      <c r="F333" s="96"/>
      <c r="G333" s="98">
        <f>SUM(G308:G311)</f>
        <v>0</v>
      </c>
      <c r="H333" s="50">
        <f t="shared" ref="H333:R333" si="111">SUM(H308:H311)</f>
        <v>0</v>
      </c>
      <c r="I333" s="50">
        <f t="shared" si="111"/>
        <v>0</v>
      </c>
      <c r="J333" s="50">
        <f t="shared" si="111"/>
        <v>0</v>
      </c>
      <c r="K333" s="50">
        <f t="shared" si="111"/>
        <v>0</v>
      </c>
      <c r="L333" s="50">
        <f t="shared" si="111"/>
        <v>0</v>
      </c>
      <c r="M333" s="50">
        <f t="shared" si="111"/>
        <v>0</v>
      </c>
      <c r="N333" s="50">
        <f t="shared" si="111"/>
        <v>0</v>
      </c>
      <c r="O333" s="50">
        <f t="shared" si="111"/>
        <v>0</v>
      </c>
      <c r="P333" s="50">
        <f t="shared" si="111"/>
        <v>0</v>
      </c>
      <c r="Q333" s="50">
        <f t="shared" si="111"/>
        <v>0</v>
      </c>
      <c r="R333" s="50">
        <f t="shared" si="111"/>
        <v>0</v>
      </c>
    </row>
    <row r="334" spans="2:18" ht="13.8">
      <c r="B334" s="94" t="str">
        <f t="shared" ref="B334:F334" si="112">B271</f>
        <v>Copper</v>
      </c>
      <c r="C334" s="77" t="str">
        <f t="shared" si="112"/>
        <v>All</v>
      </c>
      <c r="D334" s="77" t="str">
        <f t="shared" si="112"/>
        <v>All</v>
      </c>
      <c r="E334" s="77" t="str">
        <f t="shared" si="112"/>
        <v>All</v>
      </c>
      <c r="F334" s="96" t="str">
        <f t="shared" si="112"/>
        <v>All</v>
      </c>
      <c r="G334" s="50">
        <f>SUM(G312:G325)</f>
        <v>5638721.0905442871</v>
      </c>
      <c r="H334" s="50">
        <f t="shared" ref="H334:R334" si="113">SUM(H312:H325)</f>
        <v>5669912.9457250005</v>
      </c>
      <c r="I334" s="50">
        <f t="shared" si="113"/>
        <v>0</v>
      </c>
      <c r="J334" s="50">
        <f t="shared" si="113"/>
        <v>0</v>
      </c>
      <c r="K334" s="211">
        <f t="shared" si="113"/>
        <v>0</v>
      </c>
      <c r="L334" s="211">
        <f t="shared" si="113"/>
        <v>0</v>
      </c>
      <c r="M334" s="211">
        <f t="shared" si="113"/>
        <v>0</v>
      </c>
      <c r="N334" s="211">
        <f t="shared" si="113"/>
        <v>0</v>
      </c>
      <c r="O334" s="211">
        <f t="shared" si="113"/>
        <v>0</v>
      </c>
      <c r="P334" s="211">
        <f t="shared" si="113"/>
        <v>0</v>
      </c>
      <c r="Q334" s="211">
        <f t="shared" si="113"/>
        <v>0</v>
      </c>
      <c r="R334" s="211">
        <f t="shared" si="113"/>
        <v>0</v>
      </c>
    </row>
    <row r="335" spans="2:18" ht="13.8">
      <c r="B335" s="87" t="str">
        <f>B272</f>
        <v>Total</v>
      </c>
      <c r="C335" s="100" t="str">
        <f>C272</f>
        <v>All</v>
      </c>
      <c r="D335" s="100" t="str">
        <f>D272</f>
        <v>All</v>
      </c>
      <c r="E335" s="129" t="str">
        <f>E272</f>
        <v>All</v>
      </c>
      <c r="F335" s="92" t="str">
        <f>F272</f>
        <v>All</v>
      </c>
      <c r="G335" s="84">
        <f t="shared" ref="G335:R335" si="114">SUM(G329:G334)</f>
        <v>7624105.3105442869</v>
      </c>
      <c r="H335" s="36">
        <f t="shared" si="114"/>
        <v>9372051.3657249995</v>
      </c>
      <c r="I335" s="36">
        <f t="shared" si="114"/>
        <v>0</v>
      </c>
      <c r="J335" s="36">
        <f t="shared" si="114"/>
        <v>0</v>
      </c>
      <c r="K335" s="36">
        <f t="shared" si="114"/>
        <v>0</v>
      </c>
      <c r="L335" s="36">
        <f t="shared" si="114"/>
        <v>0</v>
      </c>
      <c r="M335" s="36">
        <f t="shared" si="114"/>
        <v>0</v>
      </c>
      <c r="N335" s="36">
        <f t="shared" si="114"/>
        <v>0</v>
      </c>
      <c r="O335" s="36">
        <f t="shared" si="114"/>
        <v>0</v>
      </c>
      <c r="P335" s="36">
        <f t="shared" si="114"/>
        <v>0</v>
      </c>
      <c r="Q335" s="36">
        <f t="shared" si="114"/>
        <v>0</v>
      </c>
      <c r="R335" s="36">
        <f t="shared" si="114"/>
        <v>0</v>
      </c>
    </row>
    <row r="336" spans="2:18">
      <c r="F336"/>
    </row>
    <row r="337" spans="2:18" ht="13.8">
      <c r="B337" s="15"/>
      <c r="C337" s="15"/>
      <c r="D337" s="15"/>
      <c r="F337"/>
    </row>
    <row r="338" spans="2:18" ht="21">
      <c r="B338" s="23" t="s">
        <v>297</v>
      </c>
      <c r="C338" s="23"/>
      <c r="D338" s="23"/>
      <c r="E338" s="23"/>
      <c r="F338" s="279"/>
      <c r="G338" s="8"/>
      <c r="H338" s="8"/>
      <c r="I338" s="8"/>
      <c r="J338" s="8"/>
      <c r="K338" s="8"/>
      <c r="L338" s="8"/>
      <c r="M338" s="8"/>
      <c r="N338" s="8"/>
      <c r="O338" s="8"/>
      <c r="P338" s="8"/>
      <c r="Q338" s="8"/>
      <c r="R338" s="8"/>
    </row>
    <row r="339" spans="2:18" ht="13.8">
      <c r="B339" s="81" t="str">
        <f>B89</f>
        <v>Type</v>
      </c>
      <c r="C339" s="143" t="str">
        <f>C89</f>
        <v>Agg. Speed</v>
      </c>
      <c r="D339" s="143" t="str">
        <f>D89</f>
        <v>Lane Speed</v>
      </c>
      <c r="E339" s="143" t="str">
        <f>E89</f>
        <v>Lanes</v>
      </c>
      <c r="F339" s="144" t="str">
        <f>F89</f>
        <v>Form Factor</v>
      </c>
      <c r="G339" s="35">
        <v>2016</v>
      </c>
      <c r="H339" s="35">
        <v>2017</v>
      </c>
      <c r="I339" s="35">
        <v>2018</v>
      </c>
      <c r="J339" s="35">
        <v>2019</v>
      </c>
      <c r="K339" s="35">
        <v>2020</v>
      </c>
      <c r="L339" s="35">
        <v>2021</v>
      </c>
      <c r="M339" s="35">
        <v>2022</v>
      </c>
      <c r="N339" s="35">
        <v>2023</v>
      </c>
      <c r="O339" s="35">
        <v>2024</v>
      </c>
      <c r="P339" s="35">
        <v>2025</v>
      </c>
      <c r="Q339" s="35">
        <v>2026</v>
      </c>
      <c r="R339" s="35">
        <v>2027</v>
      </c>
    </row>
    <row r="340" spans="2:18" ht="13.8">
      <c r="B340" s="145" t="str">
        <f t="shared" ref="B340:F349" si="115">B277</f>
        <v>AOC</v>
      </c>
      <c r="C340" s="146" t="str">
        <f t="shared" si="115"/>
        <v>10G</v>
      </c>
      <c r="D340" s="146" t="str">
        <f t="shared" si="115"/>
        <v>≤10G</v>
      </c>
      <c r="E340" s="146">
        <f t="shared" si="115"/>
        <v>1</v>
      </c>
      <c r="F340" s="147" t="str">
        <f t="shared" si="115"/>
        <v>SFP+</v>
      </c>
      <c r="G340" s="120">
        <f>IF(G277=0,"",(G277*'Combined forecast'!G70)/10^6)</f>
        <v>40.21456932280806</v>
      </c>
      <c r="H340" s="120">
        <f>IF(H277=0,"",(H277*'Combined forecast'!H70)/10^6)</f>
        <v>60.527746000000008</v>
      </c>
      <c r="I340" s="120" t="str">
        <f>IF(I277=0,"",(I277*'Combined forecast'!I70)/10^6)</f>
        <v/>
      </c>
      <c r="J340" s="120" t="str">
        <f>IF(J277=0,"",(J277*'Combined forecast'!J70)/10^6)</f>
        <v/>
      </c>
      <c r="K340" s="120" t="str">
        <f>IF(K277=0,"",(K277*'Combined forecast'!K70)/10^6)</f>
        <v/>
      </c>
      <c r="L340" s="120" t="str">
        <f>IF(L277=0,"",(L277*'Combined forecast'!L70)/10^6)</f>
        <v/>
      </c>
      <c r="M340" s="120" t="str">
        <f>IF(M277=0,"",(M277*'Combined forecast'!M70)/10^6)</f>
        <v/>
      </c>
      <c r="N340" s="120" t="str">
        <f>IF(N277=0,"",(N277*'Combined forecast'!N70)/10^6)</f>
        <v/>
      </c>
      <c r="O340" s="120" t="str">
        <f>IF(O277=0,"",(O277*'Combined forecast'!O70)/10^6)</f>
        <v/>
      </c>
      <c r="P340" s="120" t="str">
        <f>IF(P277=0,"",(P277*'Combined forecast'!P70)/10^6)</f>
        <v/>
      </c>
      <c r="Q340" s="120" t="str">
        <f>IF(Q277=0,"",(Q277*'Combined forecast'!Q70)/10^6)</f>
        <v/>
      </c>
      <c r="R340" s="120" t="str">
        <f>IF(R277=0,"",(R277*'Combined forecast'!R70)/10^6)</f>
        <v/>
      </c>
    </row>
    <row r="341" spans="2:18" ht="13.8">
      <c r="B341" s="130" t="str">
        <f t="shared" si="115"/>
        <v>AOC</v>
      </c>
      <c r="C341" s="127" t="str">
        <f t="shared" si="115"/>
        <v>40G</v>
      </c>
      <c r="D341" s="127" t="str">
        <f t="shared" si="115"/>
        <v>≤10G</v>
      </c>
      <c r="E341" s="127">
        <f t="shared" si="115"/>
        <v>4</v>
      </c>
      <c r="F341" s="128" t="str">
        <f t="shared" si="115"/>
        <v>QSFP+</v>
      </c>
      <c r="G341" s="67">
        <f>IF(G278=0,"",(G278*'Combined forecast'!G71)/10^6)</f>
        <v>21.749813630884834</v>
      </c>
      <c r="H341" s="67">
        <f>IF(H278=0,"",(H278*'Combined forecast'!H71)/10^6)</f>
        <v>13.434043919999997</v>
      </c>
      <c r="I341" s="67" t="str">
        <f>IF(I278=0,"",(I278*'Combined forecast'!I71)/10^6)</f>
        <v/>
      </c>
      <c r="J341" s="67" t="str">
        <f>IF(J278=0,"",(J278*'Combined forecast'!J71)/10^6)</f>
        <v/>
      </c>
      <c r="K341" s="67" t="str">
        <f>IF(K278=0,"",(K278*'Combined forecast'!K71)/10^6)</f>
        <v/>
      </c>
      <c r="L341" s="67" t="str">
        <f>IF(L278=0,"",(L278*'Combined forecast'!L71)/10^6)</f>
        <v/>
      </c>
      <c r="M341" s="67" t="str">
        <f>IF(M278=0,"",(M278*'Combined forecast'!M71)/10^6)</f>
        <v/>
      </c>
      <c r="N341" s="67" t="str">
        <f>IF(N278=0,"",(N278*'Combined forecast'!N71)/10^6)</f>
        <v/>
      </c>
      <c r="O341" s="67" t="str">
        <f>IF(O278=0,"",(O278*'Combined forecast'!O71)/10^6)</f>
        <v/>
      </c>
      <c r="P341" s="67" t="str">
        <f>IF(P278=0,"",(P278*'Combined forecast'!P71)/10^6)</f>
        <v/>
      </c>
      <c r="Q341" s="67" t="str">
        <f>IF(Q278=0,"",(Q278*'Combined forecast'!Q71)/10^6)</f>
        <v/>
      </c>
      <c r="R341" s="67" t="str">
        <f>IF(R278=0,"",(R278*'Combined forecast'!R71)/10^6)</f>
        <v/>
      </c>
    </row>
    <row r="342" spans="2:18" ht="13.8">
      <c r="B342" s="130" t="str">
        <f t="shared" si="115"/>
        <v>AOC</v>
      </c>
      <c r="C342" s="127" t="str">
        <f t="shared" si="115"/>
        <v>40G</v>
      </c>
      <c r="D342" s="127" t="str">
        <f t="shared" si="115"/>
        <v>≤10G</v>
      </c>
      <c r="E342" s="127" t="str">
        <f t="shared" si="115"/>
        <v>4:1</v>
      </c>
      <c r="F342" s="128" t="str">
        <f t="shared" si="115"/>
        <v>QSFP+/SFP+</v>
      </c>
      <c r="G342" s="67">
        <f>IF(G279=0,"",(G279*'Combined forecast'!G72)/10^6)</f>
        <v>6.7839999999999998</v>
      </c>
      <c r="H342" s="67">
        <f>IF(H279=0,"",(H279*'Combined forecast'!H72)/10^6)</f>
        <v>5.7350000000000003</v>
      </c>
      <c r="I342" s="67" t="str">
        <f>IF(I279=0,"",(I279*'Combined forecast'!I72)/10^6)</f>
        <v/>
      </c>
      <c r="J342" s="67" t="str">
        <f>IF(J279=0,"",(J279*'Combined forecast'!J72)/10^6)</f>
        <v/>
      </c>
      <c r="K342" s="67" t="str">
        <f>IF(K279=0,"",(K279*'Combined forecast'!K72)/10^6)</f>
        <v/>
      </c>
      <c r="L342" s="67" t="str">
        <f>IF(L279=0,"",(L279*'Combined forecast'!L72)/10^6)</f>
        <v/>
      </c>
      <c r="M342" s="67" t="str">
        <f>IF(M279=0,"",(M279*'Combined forecast'!M72)/10^6)</f>
        <v/>
      </c>
      <c r="N342" s="67" t="str">
        <f>IF(N279=0,"",(N279*'Combined forecast'!N72)/10^6)</f>
        <v/>
      </c>
      <c r="O342" s="67" t="str">
        <f>IF(O279=0,"",(O279*'Combined forecast'!O72)/10^6)</f>
        <v/>
      </c>
      <c r="P342" s="67" t="str">
        <f>IF(P279=0,"",(P279*'Combined forecast'!P72)/10^6)</f>
        <v/>
      </c>
      <c r="Q342" s="67" t="str">
        <f>IF(Q279=0,"",(Q279*'Combined forecast'!Q72)/10^6)</f>
        <v/>
      </c>
      <c r="R342" s="67" t="str">
        <f>IF(R279=0,"",(R279*'Combined forecast'!R72)/10^6)</f>
        <v/>
      </c>
    </row>
    <row r="343" spans="2:18" ht="13.8">
      <c r="B343" s="130" t="str">
        <f t="shared" si="115"/>
        <v>AOC</v>
      </c>
      <c r="C343" s="127" t="str">
        <f t="shared" si="115"/>
        <v>150G</v>
      </c>
      <c r="D343" s="127" t="str">
        <f t="shared" si="115"/>
        <v>≤12.5G</v>
      </c>
      <c r="E343" s="127">
        <f t="shared" si="115"/>
        <v>12</v>
      </c>
      <c r="F343" s="128" t="str">
        <f t="shared" si="115"/>
        <v>CXP</v>
      </c>
      <c r="G343" s="67" t="str">
        <f>IF(G280=0,"",(G280*'Combined forecast'!G73)/10^6)</f>
        <v/>
      </c>
      <c r="H343" s="67" t="str">
        <f>IF(H280=0,"",(H280*'Combined forecast'!H73)/10^6)</f>
        <v/>
      </c>
      <c r="I343" s="67" t="str">
        <f>IF(I280=0,"",(I280*'Combined forecast'!I73)/10^6)</f>
        <v/>
      </c>
      <c r="J343" s="67" t="str">
        <f>IF(J280=0,"",(J280*'Combined forecast'!J73)/10^6)</f>
        <v/>
      </c>
      <c r="K343" s="67" t="str">
        <f>IF(K280=0,"",(K280*'Combined forecast'!K73)/10^6)</f>
        <v/>
      </c>
      <c r="L343" s="67" t="str">
        <f>IF(L280=0,"",(L280*'Combined forecast'!L73)/10^6)</f>
        <v/>
      </c>
      <c r="M343" s="67" t="str">
        <f>IF(M280=0,"",(M280*'Combined forecast'!M73)/10^6)</f>
        <v/>
      </c>
      <c r="N343" s="67" t="str">
        <f>IF(N280=0,"",(N280*'Combined forecast'!N73)/10^6)</f>
        <v/>
      </c>
      <c r="O343" s="67" t="str">
        <f>IF(O280=0,"",(O280*'Combined forecast'!O73)/10^6)</f>
        <v/>
      </c>
      <c r="P343" s="67" t="str">
        <f>IF(P280=0,"",(P280*'Combined forecast'!P73)/10^6)</f>
        <v/>
      </c>
      <c r="Q343" s="67" t="str">
        <f>IF(Q280=0,"",(Q280*'Combined forecast'!Q73)/10^6)</f>
        <v/>
      </c>
      <c r="R343" s="67" t="str">
        <f>IF(R280=0,"",(R280*'Combined forecast'!R73)/10^6)</f>
        <v/>
      </c>
    </row>
    <row r="344" spans="2:18" ht="13.8">
      <c r="B344" s="130" t="str">
        <f t="shared" si="115"/>
        <v>EOM</v>
      </c>
      <c r="C344" s="127" t="str">
        <f t="shared" si="115"/>
        <v>150G</v>
      </c>
      <c r="D344" s="127" t="str">
        <f t="shared" si="115"/>
        <v>≤12.5G</v>
      </c>
      <c r="E344" s="127">
        <f t="shared" si="115"/>
        <v>12</v>
      </c>
      <c r="F344" s="128" t="str">
        <f t="shared" si="115"/>
        <v>XCVR - CXP</v>
      </c>
      <c r="G344" s="67" t="str">
        <f>IF(G281=0,"",(G281*'Combined forecast'!G74)/10^6)</f>
        <v/>
      </c>
      <c r="H344" s="67" t="str">
        <f>IF(H281=0,"",(H281*'Combined forecast'!H74)/10^6)</f>
        <v/>
      </c>
      <c r="I344" s="67" t="str">
        <f>IF(I281=0,"",(I281*'Combined forecast'!I74)/10^6)</f>
        <v/>
      </c>
      <c r="J344" s="67" t="str">
        <f>IF(J281=0,"",(J281*'Combined forecast'!J74)/10^6)</f>
        <v/>
      </c>
      <c r="K344" s="67" t="str">
        <f>IF(K281=0,"",(K281*'Combined forecast'!K74)/10^6)</f>
        <v/>
      </c>
      <c r="L344" s="67" t="str">
        <f>IF(L281=0,"",(L281*'Combined forecast'!L74)/10^6)</f>
        <v/>
      </c>
      <c r="M344" s="67" t="str">
        <f>IF(M281=0,"",(M281*'Combined forecast'!M74)/10^6)</f>
        <v/>
      </c>
      <c r="N344" s="67" t="str">
        <f>IF(N281=0,"",(N281*'Combined forecast'!N74)/10^6)</f>
        <v/>
      </c>
      <c r="O344" s="67" t="str">
        <f>IF(O281=0,"",(O281*'Combined forecast'!O74)/10^6)</f>
        <v/>
      </c>
      <c r="P344" s="67" t="str">
        <f>IF(P281=0,"",(P281*'Combined forecast'!P74)/10^6)</f>
        <v/>
      </c>
      <c r="Q344" s="67" t="str">
        <f>IF(Q281=0,"",(Q281*'Combined forecast'!Q74)/10^6)</f>
        <v/>
      </c>
      <c r="R344" s="67" t="str">
        <f>IF(R281=0,"",(R281*'Combined forecast'!R74)/10^6)</f>
        <v/>
      </c>
    </row>
    <row r="345" spans="2:18" ht="13.8">
      <c r="B345" s="436" t="str">
        <f t="shared" si="115"/>
        <v>AOC</v>
      </c>
      <c r="C345" s="127" t="str">
        <f t="shared" si="115"/>
        <v>56G</v>
      </c>
      <c r="D345" s="127" t="str">
        <f t="shared" si="115"/>
        <v>12-14G</v>
      </c>
      <c r="E345" s="127">
        <f t="shared" si="115"/>
        <v>4</v>
      </c>
      <c r="F345" s="128" t="str">
        <f t="shared" si="115"/>
        <v>QSFP+</v>
      </c>
      <c r="G345" s="67" t="str">
        <f>IF(G282=0,"",(G282*'Combined forecast'!G75)/10^6)</f>
        <v/>
      </c>
      <c r="H345" s="67" t="str">
        <f>IF(H282=0,"",(H282*'Combined forecast'!H75)/10^6)</f>
        <v/>
      </c>
      <c r="I345" s="67" t="str">
        <f>IF(I282=0,"",(I282*'Combined forecast'!I75)/10^6)</f>
        <v/>
      </c>
      <c r="J345" s="67" t="str">
        <f>IF(J282=0,"",(J282*'Combined forecast'!J75)/10^6)</f>
        <v/>
      </c>
      <c r="K345" s="67" t="str">
        <f>IF(K282=0,"",(K282*'Combined forecast'!K75)/10^6)</f>
        <v/>
      </c>
      <c r="L345" s="67" t="str">
        <f>IF(L282=0,"",(L282*'Combined forecast'!L75)/10^6)</f>
        <v/>
      </c>
      <c r="M345" s="67" t="str">
        <f>IF(M282=0,"",(M282*'Combined forecast'!M75)/10^6)</f>
        <v/>
      </c>
      <c r="N345" s="67" t="str">
        <f>IF(N282=0,"",(N282*'Combined forecast'!N75)/10^6)</f>
        <v/>
      </c>
      <c r="O345" s="67" t="str">
        <f>IF(O282=0,"",(O282*'Combined forecast'!O75)/10^6)</f>
        <v/>
      </c>
      <c r="P345" s="67" t="str">
        <f>IF(P282=0,"",(P282*'Combined forecast'!P75)/10^6)</f>
        <v/>
      </c>
      <c r="Q345" s="67" t="str">
        <f>IF(Q282=0,"",(Q282*'Combined forecast'!Q75)/10^6)</f>
        <v/>
      </c>
      <c r="R345" s="67" t="str">
        <f>IF(R282=0,"",(R282*'Combined forecast'!R75)/10^6)</f>
        <v/>
      </c>
    </row>
    <row r="346" spans="2:18" ht="13.8">
      <c r="B346" s="436" t="str">
        <f t="shared" si="115"/>
        <v>AOC</v>
      </c>
      <c r="C346" s="127" t="str">
        <f t="shared" si="115"/>
        <v>48G</v>
      </c>
      <c r="D346" s="127" t="str">
        <f t="shared" si="115"/>
        <v>12G</v>
      </c>
      <c r="E346" s="127">
        <f t="shared" si="115"/>
        <v>4</v>
      </c>
      <c r="F346" s="128" t="str">
        <f t="shared" si="115"/>
        <v>Mini-SAS HD</v>
      </c>
      <c r="G346" s="67">
        <f>IF(G283=0,"",(G283*'Combined forecast'!G76)/10^6)</f>
        <v>3.9167999999999998</v>
      </c>
      <c r="H346" s="67">
        <f>IF(H283=0,"",(H283*'Combined forecast'!H76)/10^6)</f>
        <v>4.3700454545454539</v>
      </c>
      <c r="I346" s="67" t="str">
        <f>IF(I283=0,"",(I283*'Combined forecast'!I76)/10^6)</f>
        <v/>
      </c>
      <c r="J346" s="67" t="str">
        <f>IF(J283=0,"",(J283*'Combined forecast'!J76)/10^6)</f>
        <v/>
      </c>
      <c r="K346" s="67" t="str">
        <f>IF(K283=0,"",(K283*'Combined forecast'!K76)/10^6)</f>
        <v/>
      </c>
      <c r="L346" s="67" t="str">
        <f>IF(L283=0,"",(L283*'Combined forecast'!L76)/10^6)</f>
        <v/>
      </c>
      <c r="M346" s="67" t="str">
        <f>IF(M283=0,"",(M283*'Combined forecast'!M76)/10^6)</f>
        <v/>
      </c>
      <c r="N346" s="67" t="str">
        <f>IF(N283=0,"",(N283*'Combined forecast'!N76)/10^6)</f>
        <v/>
      </c>
      <c r="O346" s="67" t="str">
        <f>IF(O283=0,"",(O283*'Combined forecast'!O76)/10^6)</f>
        <v/>
      </c>
      <c r="P346" s="67" t="str">
        <f>IF(P283=0,"",(P283*'Combined forecast'!P76)/10^6)</f>
        <v/>
      </c>
      <c r="Q346" s="67" t="str">
        <f>IF(Q283=0,"",(Q283*'Combined forecast'!Q76)/10^6)</f>
        <v/>
      </c>
      <c r="R346" s="67" t="str">
        <f>IF(R283=0,"",(R283*'Combined forecast'!R76)/10^6)</f>
        <v/>
      </c>
    </row>
    <row r="347" spans="2:18" ht="13.8">
      <c r="B347" s="436" t="str">
        <f t="shared" si="115"/>
        <v>AOC</v>
      </c>
      <c r="C347" s="127" t="str">
        <f t="shared" si="115"/>
        <v>25G</v>
      </c>
      <c r="D347" s="127" t="str">
        <f t="shared" si="115"/>
        <v>25-28G</v>
      </c>
      <c r="E347" s="127">
        <f t="shared" si="115"/>
        <v>1</v>
      </c>
      <c r="F347" s="128" t="str">
        <f t="shared" si="115"/>
        <v>SFP28</v>
      </c>
      <c r="G347" s="67">
        <f>IF(G284=0,"",(G284*'Combined forecast'!G77)/10^6)</f>
        <v>1.1000000000000001</v>
      </c>
      <c r="H347" s="67">
        <f>IF(H284=0,"",(H284*'Combined forecast'!H77)/10^6)</f>
        <v>13.144417999999996</v>
      </c>
      <c r="I347" s="67" t="str">
        <f>IF(I284=0,"",(I284*'Combined forecast'!I77)/10^6)</f>
        <v/>
      </c>
      <c r="J347" s="67" t="str">
        <f>IF(J284=0,"",(J284*'Combined forecast'!J77)/10^6)</f>
        <v/>
      </c>
      <c r="K347" s="67" t="str">
        <f>IF(K284=0,"",(K284*'Combined forecast'!K77)/10^6)</f>
        <v/>
      </c>
      <c r="L347" s="67" t="str">
        <f>IF(L284=0,"",(L284*'Combined forecast'!L77)/10^6)</f>
        <v/>
      </c>
      <c r="M347" s="67" t="str">
        <f>IF(M284=0,"",(M284*'Combined forecast'!M77)/10^6)</f>
        <v/>
      </c>
      <c r="N347" s="67" t="str">
        <f>IF(N284=0,"",(N284*'Combined forecast'!N77)/10^6)</f>
        <v/>
      </c>
      <c r="O347" s="67" t="str">
        <f>IF(O284=0,"",(O284*'Combined forecast'!O77)/10^6)</f>
        <v/>
      </c>
      <c r="P347" s="67" t="str">
        <f>IF(P284=0,"",(P284*'Combined forecast'!P77)/10^6)</f>
        <v/>
      </c>
      <c r="Q347" s="67" t="str">
        <f>IF(Q284=0,"",(Q284*'Combined forecast'!Q77)/10^6)</f>
        <v/>
      </c>
      <c r="R347" s="67" t="str">
        <f>IF(R284=0,"",(R284*'Combined forecast'!R77)/10^6)</f>
        <v/>
      </c>
    </row>
    <row r="348" spans="2:18" ht="13.8">
      <c r="B348" s="436" t="str">
        <f t="shared" si="115"/>
        <v>AOC</v>
      </c>
      <c r="C348" s="127" t="str">
        <f t="shared" si="115"/>
        <v>100G</v>
      </c>
      <c r="D348" s="127" t="str">
        <f t="shared" si="115"/>
        <v>25-28G, 50G, 100G</v>
      </c>
      <c r="E348" s="127" t="str">
        <f t="shared" si="115"/>
        <v>1, 2, or 4</v>
      </c>
      <c r="F348" s="128" t="str">
        <f t="shared" si="115"/>
        <v>QSFP28, SFP-DD, SFP112</v>
      </c>
      <c r="G348" s="67">
        <f>IF(G285=0,"",(G285*'Combined forecast'!G78)/10^6)</f>
        <v>10.08</v>
      </c>
      <c r="H348" s="67">
        <f>IF(H285=0,"",(H285*'Combined forecast'!H78)/10^6)</f>
        <v>8.560775679999999</v>
      </c>
      <c r="I348" s="67" t="str">
        <f>IF(I285=0,"",(I285*'Combined forecast'!I78)/10^6)</f>
        <v/>
      </c>
      <c r="J348" s="67" t="str">
        <f>IF(J285=0,"",(J285*'Combined forecast'!J78)/10^6)</f>
        <v/>
      </c>
      <c r="K348" s="67" t="str">
        <f>IF(K285=0,"",(K285*'Combined forecast'!K78)/10^6)</f>
        <v/>
      </c>
      <c r="L348" s="67" t="str">
        <f>IF(L285=0,"",(L285*'Combined forecast'!L78)/10^6)</f>
        <v/>
      </c>
      <c r="M348" s="67" t="str">
        <f>IF(M285=0,"",(M285*'Combined forecast'!M78)/10^6)</f>
        <v/>
      </c>
      <c r="N348" s="67" t="str">
        <f>IF(N285=0,"",(N285*'Combined forecast'!N78)/10^6)</f>
        <v/>
      </c>
      <c r="O348" s="67" t="str">
        <f>IF(O285=0,"",(O285*'Combined forecast'!O78)/10^6)</f>
        <v/>
      </c>
      <c r="P348" s="67" t="str">
        <f>IF(P285=0,"",(P285*'Combined forecast'!P78)/10^6)</f>
        <v/>
      </c>
      <c r="Q348" s="67" t="str">
        <f>IF(Q285=0,"",(Q285*'Combined forecast'!Q78)/10^6)</f>
        <v/>
      </c>
      <c r="R348" s="67" t="str">
        <f>IF(R285=0,"",(R285*'Combined forecast'!R78)/10^6)</f>
        <v/>
      </c>
    </row>
    <row r="349" spans="2:18" ht="13.8">
      <c r="B349" s="436" t="str">
        <f t="shared" si="115"/>
        <v>AOC</v>
      </c>
      <c r="C349" s="127" t="str">
        <f t="shared" si="115"/>
        <v>100G</v>
      </c>
      <c r="D349" s="127" t="str">
        <f t="shared" si="115"/>
        <v>25-28G</v>
      </c>
      <c r="E349" s="127" t="str">
        <f t="shared" si="115"/>
        <v>4:1</v>
      </c>
      <c r="F349" s="128" t="str">
        <f t="shared" si="115"/>
        <v>QSFP28/SFP28</v>
      </c>
      <c r="G349" s="67" t="str">
        <f>IF(G286=0,"",(G286*'Combined forecast'!G79)/10^6)</f>
        <v/>
      </c>
      <c r="H349" s="67">
        <f>IF(H286=0,"",(H286*'Combined forecast'!H79)/10^6)</f>
        <v>1.2250000000000001</v>
      </c>
      <c r="I349" s="67" t="str">
        <f>IF(I286=0,"",(I286*'Combined forecast'!I79)/10^6)</f>
        <v/>
      </c>
      <c r="J349" s="67" t="str">
        <f>IF(J286=0,"",(J286*'Combined forecast'!J79)/10^6)</f>
        <v/>
      </c>
      <c r="K349" s="67" t="str">
        <f>IF(K286=0,"",(K286*'Combined forecast'!K79)/10^6)</f>
        <v/>
      </c>
      <c r="L349" s="67" t="str">
        <f>IF(L286=0,"",(L286*'Combined forecast'!L79)/10^6)</f>
        <v/>
      </c>
      <c r="M349" s="67" t="str">
        <f>IF(M286=0,"",(M286*'Combined forecast'!M79)/10^6)</f>
        <v/>
      </c>
      <c r="N349" s="67" t="str">
        <f>IF(N286=0,"",(N286*'Combined forecast'!N79)/10^6)</f>
        <v/>
      </c>
      <c r="O349" s="67" t="str">
        <f>IF(O286=0,"",(O286*'Combined forecast'!O79)/10^6)</f>
        <v/>
      </c>
      <c r="P349" s="67" t="str">
        <f>IF(P286=0,"",(P286*'Combined forecast'!P79)/10^6)</f>
        <v/>
      </c>
      <c r="Q349" s="67" t="str">
        <f>IF(Q286=0,"",(Q286*'Combined forecast'!Q79)/10^6)</f>
        <v/>
      </c>
      <c r="R349" s="67" t="str">
        <f>IF(R286=0,"",(R286*'Combined forecast'!R79)/10^6)</f>
        <v/>
      </c>
    </row>
    <row r="350" spans="2:18" ht="13.8">
      <c r="B350" s="130" t="str">
        <f t="shared" ref="B350:F359" si="116">B287</f>
        <v>AOC</v>
      </c>
      <c r="C350" s="127" t="str">
        <f t="shared" si="116"/>
        <v>96G</v>
      </c>
      <c r="D350" s="127" t="str">
        <f t="shared" si="116"/>
        <v>24G</v>
      </c>
      <c r="E350" s="127">
        <f t="shared" si="116"/>
        <v>4</v>
      </c>
      <c r="F350" s="128" t="str">
        <f t="shared" si="116"/>
        <v>Mini-SAS HD</v>
      </c>
      <c r="G350" s="67" t="str">
        <f>IF(G287=0,"",(G287*'Combined forecast'!G80)/10^6)</f>
        <v/>
      </c>
      <c r="H350" s="67" t="str">
        <f>IF(H287=0,"",(H287*'Combined forecast'!H80)/10^6)</f>
        <v/>
      </c>
      <c r="I350" s="67" t="str">
        <f>IF(I287=0,"",(I287*'Combined forecast'!I80)/10^6)</f>
        <v/>
      </c>
      <c r="J350" s="67" t="str">
        <f>IF(J287=0,"",(J287*'Combined forecast'!J80)/10^6)</f>
        <v/>
      </c>
      <c r="K350" s="67" t="str">
        <f>IF(K287=0,"",(K287*'Combined forecast'!K80)/10^6)</f>
        <v/>
      </c>
      <c r="L350" s="67" t="str">
        <f>IF(L287=0,"",(L287*'Combined forecast'!L80)/10^6)</f>
        <v/>
      </c>
      <c r="M350" s="67" t="str">
        <f>IF(M287=0,"",(M287*'Combined forecast'!M80)/10^6)</f>
        <v/>
      </c>
      <c r="N350" s="67" t="str">
        <f>IF(N287=0,"",(N287*'Combined forecast'!N80)/10^6)</f>
        <v/>
      </c>
      <c r="O350" s="67" t="str">
        <f>IF(O287=0,"",(O287*'Combined forecast'!O80)/10^6)</f>
        <v/>
      </c>
      <c r="P350" s="67" t="str">
        <f>IF(P287=0,"",(P287*'Combined forecast'!P80)/10^6)</f>
        <v/>
      </c>
      <c r="Q350" s="67" t="str">
        <f>IF(Q287=0,"",(Q287*'Combined forecast'!Q80)/10^6)</f>
        <v/>
      </c>
      <c r="R350" s="67" t="str">
        <f>IF(R287=0,"",(R287*'Combined forecast'!R80)/10^6)</f>
        <v/>
      </c>
    </row>
    <row r="351" spans="2:18" ht="13.8">
      <c r="B351" s="130" t="str">
        <f t="shared" si="116"/>
        <v>AOC</v>
      </c>
      <c r="C351" s="127" t="str">
        <f t="shared" si="116"/>
        <v>300G</v>
      </c>
      <c r="D351" s="127" t="str">
        <f t="shared" si="116"/>
        <v>25-28G</v>
      </c>
      <c r="E351" s="127">
        <f t="shared" si="116"/>
        <v>12</v>
      </c>
      <c r="F351" s="128" t="str">
        <f t="shared" si="116"/>
        <v>CXP28</v>
      </c>
      <c r="G351" s="67" t="str">
        <f>IF(G288=0,"",(G288*'Combined forecast'!G81)/10^6)</f>
        <v/>
      </c>
      <c r="H351" s="67" t="str">
        <f>IF(H288=0,"",(H288*'Combined forecast'!H81)/10^6)</f>
        <v/>
      </c>
      <c r="I351" s="67" t="str">
        <f>IF(I288=0,"",(I288*'Combined forecast'!I81)/10^6)</f>
        <v/>
      </c>
      <c r="J351" s="67" t="str">
        <f>IF(J288=0,"",(J288*'Combined forecast'!J81)/10^6)</f>
        <v/>
      </c>
      <c r="K351" s="67" t="str">
        <f>IF(K288=0,"",(K288*'Combined forecast'!K81)/10^6)</f>
        <v/>
      </c>
      <c r="L351" s="67" t="str">
        <f>IF(L288=0,"",(L288*'Combined forecast'!L81)/10^6)</f>
        <v/>
      </c>
      <c r="M351" s="67" t="str">
        <f>IF(M288=0,"",(M288*'Combined forecast'!M81)/10^6)</f>
        <v/>
      </c>
      <c r="N351" s="67" t="str">
        <f>IF(N288=0,"",(N288*'Combined forecast'!N81)/10^6)</f>
        <v/>
      </c>
      <c r="O351" s="67" t="str">
        <f>IF(O288=0,"",(O288*'Combined forecast'!O81)/10^6)</f>
        <v/>
      </c>
      <c r="P351" s="67" t="str">
        <f>IF(P288=0,"",(P288*'Combined forecast'!P81)/10^6)</f>
        <v/>
      </c>
      <c r="Q351" s="67" t="str">
        <f>IF(Q288=0,"",(Q288*'Combined forecast'!Q81)/10^6)</f>
        <v/>
      </c>
      <c r="R351" s="67" t="str">
        <f>IF(R288=0,"",(R288*'Combined forecast'!R81)/10^6)</f>
        <v/>
      </c>
    </row>
    <row r="352" spans="2:18" ht="13.8">
      <c r="B352" s="130" t="str">
        <f t="shared" si="116"/>
        <v>EOM</v>
      </c>
      <c r="C352" s="127" t="str">
        <f t="shared" si="116"/>
        <v>100G-600G</v>
      </c>
      <c r="D352" s="127" t="str">
        <f t="shared" si="116"/>
        <v>25-28G</v>
      </c>
      <c r="E352" s="127" t="str">
        <f t="shared" si="116"/>
        <v>4,8,12,16,24</v>
      </c>
      <c r="F352" s="128" t="str">
        <f t="shared" si="116"/>
        <v>XCVR</v>
      </c>
      <c r="G352" s="67">
        <f>IF(G289=0,"",(G289*'Combined forecast'!G82)/10^6)</f>
        <v>9.7155998471150689</v>
      </c>
      <c r="H352" s="67">
        <f>IF(H289=0,"",(H289*'Combined forecast'!H82)/10^6)</f>
        <v>24.740064499999992</v>
      </c>
      <c r="I352" s="67" t="str">
        <f>IF(I289=0,"",(I289*'Combined forecast'!I82)/10^6)</f>
        <v/>
      </c>
      <c r="J352" s="67" t="str">
        <f>IF(J289=0,"",(J289*'Combined forecast'!J82)/10^6)</f>
        <v/>
      </c>
      <c r="K352" s="67" t="str">
        <f>IF(K289=0,"",(K289*'Combined forecast'!K82)/10^6)</f>
        <v/>
      </c>
      <c r="L352" s="67" t="str">
        <f>IF(L289=0,"",(L289*'Combined forecast'!L82)/10^6)</f>
        <v/>
      </c>
      <c r="M352" s="67" t="str">
        <f>IF(M289=0,"",(M289*'Combined forecast'!M82)/10^6)</f>
        <v/>
      </c>
      <c r="N352" s="67" t="str">
        <f>IF(N289=0,"",(N289*'Combined forecast'!N82)/10^6)</f>
        <v/>
      </c>
      <c r="O352" s="67" t="str">
        <f>IF(O289=0,"",(O289*'Combined forecast'!O82)/10^6)</f>
        <v/>
      </c>
      <c r="P352" s="67" t="str">
        <f>IF(P289=0,"",(P289*'Combined forecast'!P82)/10^6)</f>
        <v/>
      </c>
      <c r="Q352" s="67" t="str">
        <f>IF(Q289=0,"",(Q289*'Combined forecast'!Q82)/10^6)</f>
        <v/>
      </c>
      <c r="R352" s="67" t="str">
        <f>IF(R289=0,"",(R289*'Combined forecast'!R82)/10^6)</f>
        <v/>
      </c>
    </row>
    <row r="353" spans="2:18" ht="13.8">
      <c r="B353" s="130" t="str">
        <f t="shared" si="116"/>
        <v>EOM</v>
      </c>
      <c r="C353" s="127" t="str">
        <f t="shared" si="116"/>
        <v>300G</v>
      </c>
      <c r="D353" s="127" t="str">
        <f t="shared" si="116"/>
        <v>25-28G</v>
      </c>
      <c r="E353" s="127">
        <f t="shared" si="116"/>
        <v>12</v>
      </c>
      <c r="F353" s="128" t="str">
        <f t="shared" si="116"/>
        <v>XCVR - CXP28</v>
      </c>
      <c r="G353" s="67" t="str">
        <f>IF(G290=0,"",(G290*'Combined forecast'!G83)/10^6)</f>
        <v/>
      </c>
      <c r="H353" s="67" t="str">
        <f>IF(H290=0,"",(H290*'Combined forecast'!H83)/10^6)</f>
        <v/>
      </c>
      <c r="I353" s="67" t="str">
        <f>IF(I290=0,"",(I290*'Combined forecast'!I83)/10^6)</f>
        <v/>
      </c>
      <c r="J353" s="67" t="str">
        <f>IF(J290=0,"",(J290*'Combined forecast'!J83)/10^6)</f>
        <v/>
      </c>
      <c r="K353" s="67" t="str">
        <f>IF(K290=0,"",(K290*'Combined forecast'!K83)/10^6)</f>
        <v/>
      </c>
      <c r="L353" s="67" t="str">
        <f>IF(L290=0,"",(L290*'Combined forecast'!L83)/10^6)</f>
        <v/>
      </c>
      <c r="M353" s="67" t="str">
        <f>IF(M290=0,"",(M290*'Combined forecast'!M83)/10^6)</f>
        <v/>
      </c>
      <c r="N353" s="67" t="str">
        <f>IF(N290=0,"",(N290*'Combined forecast'!N83)/10^6)</f>
        <v/>
      </c>
      <c r="O353" s="67" t="str">
        <f>IF(O290=0,"",(O290*'Combined forecast'!O83)/10^6)</f>
        <v/>
      </c>
      <c r="P353" s="67" t="str">
        <f>IF(P290=0,"",(P290*'Combined forecast'!P83)/10^6)</f>
        <v/>
      </c>
      <c r="Q353" s="67" t="str">
        <f>IF(Q290=0,"",(Q290*'Combined forecast'!Q83)/10^6)</f>
        <v/>
      </c>
      <c r="R353" s="67" t="str">
        <f>IF(R290=0,"",(R290*'Combined forecast'!R83)/10^6)</f>
        <v/>
      </c>
    </row>
    <row r="354" spans="2:18" ht="13.8">
      <c r="B354" s="130" t="str">
        <f t="shared" si="116"/>
        <v>AOC</v>
      </c>
      <c r="C354" s="127" t="str">
        <f t="shared" si="116"/>
        <v>50G</v>
      </c>
      <c r="D354" s="127" t="str">
        <f t="shared" si="116"/>
        <v>50-56G</v>
      </c>
      <c r="E354" s="127">
        <f t="shared" si="116"/>
        <v>1</v>
      </c>
      <c r="F354" s="128" t="str">
        <f t="shared" si="116"/>
        <v>SFP56</v>
      </c>
      <c r="G354" s="67" t="str">
        <f>IF(G291=0,"",(G291*'Combined forecast'!G84)/10^6)</f>
        <v/>
      </c>
      <c r="H354" s="67" t="str">
        <f>IF(H291=0,"",(H291*'Combined forecast'!H84)/10^6)</f>
        <v/>
      </c>
      <c r="I354" s="67" t="str">
        <f>IF(I291=0,"",(I291*'Combined forecast'!I84)/10^6)</f>
        <v/>
      </c>
      <c r="J354" s="67" t="str">
        <f>IF(J291=0,"",(J291*'Combined forecast'!J84)/10^6)</f>
        <v/>
      </c>
      <c r="K354" s="67" t="str">
        <f>IF(K291=0,"",(K291*'Combined forecast'!K84)/10^6)</f>
        <v/>
      </c>
      <c r="L354" s="67" t="str">
        <f>IF(L291=0,"",(L291*'Combined forecast'!L84)/10^6)</f>
        <v/>
      </c>
      <c r="M354" s="67" t="str">
        <f>IF(M291=0,"",(M291*'Combined forecast'!M84)/10^6)</f>
        <v/>
      </c>
      <c r="N354" s="67" t="str">
        <f>IF(N291=0,"",(N291*'Combined forecast'!N84)/10^6)</f>
        <v/>
      </c>
      <c r="O354" s="67" t="str">
        <f>IF(O291=0,"",(O291*'Combined forecast'!O84)/10^6)</f>
        <v/>
      </c>
      <c r="P354" s="67" t="str">
        <f>IF(P291=0,"",(P291*'Combined forecast'!P84)/10^6)</f>
        <v/>
      </c>
      <c r="Q354" s="67" t="str">
        <f>IF(Q291=0,"",(Q291*'Combined forecast'!Q84)/10^6)</f>
        <v/>
      </c>
      <c r="R354" s="67" t="str">
        <f>IF(R291=0,"",(R291*'Combined forecast'!R84)/10^6)</f>
        <v/>
      </c>
    </row>
    <row r="355" spans="2:18" ht="13.8">
      <c r="B355" s="130" t="str">
        <f t="shared" si="116"/>
        <v>AOC</v>
      </c>
      <c r="C355" s="127" t="str">
        <f t="shared" si="116"/>
        <v>200G</v>
      </c>
      <c r="D355" s="127" t="str">
        <f t="shared" si="116"/>
        <v>50-56G</v>
      </c>
      <c r="E355" s="127">
        <f t="shared" si="116"/>
        <v>4</v>
      </c>
      <c r="F355" s="128" t="str">
        <f t="shared" si="116"/>
        <v>QSFP56</v>
      </c>
      <c r="G355" s="67" t="str">
        <f>IF(G292=0,"",(G292*'Combined forecast'!G85)/10^6)</f>
        <v/>
      </c>
      <c r="H355" s="67" t="str">
        <f>IF(H292=0,"",(H292*'Combined forecast'!H85)/10^6)</f>
        <v/>
      </c>
      <c r="I355" s="67" t="str">
        <f>IF(I292=0,"",(I292*'Combined forecast'!I85)/10^6)</f>
        <v/>
      </c>
      <c r="J355" s="67" t="str">
        <f>IF(J292=0,"",(J292*'Combined forecast'!J85)/10^6)</f>
        <v/>
      </c>
      <c r="K355" s="67" t="str">
        <f>IF(K292=0,"",(K292*'Combined forecast'!K85)/10^6)</f>
        <v/>
      </c>
      <c r="L355" s="67" t="str">
        <f>IF(L292=0,"",(L292*'Combined forecast'!L85)/10^6)</f>
        <v/>
      </c>
      <c r="M355" s="67" t="str">
        <f>IF(M292=0,"",(M292*'Combined forecast'!M85)/10^6)</f>
        <v/>
      </c>
      <c r="N355" s="67" t="str">
        <f>IF(N292=0,"",(N292*'Combined forecast'!N85)/10^6)</f>
        <v/>
      </c>
      <c r="O355" s="67" t="str">
        <f>IF(O292=0,"",(O292*'Combined forecast'!O85)/10^6)</f>
        <v/>
      </c>
      <c r="P355" s="67" t="str">
        <f>IF(P292=0,"",(P292*'Combined forecast'!P85)/10^6)</f>
        <v/>
      </c>
      <c r="Q355" s="67" t="str">
        <f>IF(Q292=0,"",(Q292*'Combined forecast'!Q85)/10^6)</f>
        <v/>
      </c>
      <c r="R355" s="67" t="str">
        <f>IF(R292=0,"",(R292*'Combined forecast'!R85)/10^6)</f>
        <v/>
      </c>
    </row>
    <row r="356" spans="2:18" ht="13.8">
      <c r="B356" s="130" t="str">
        <f t="shared" si="116"/>
        <v>EOM</v>
      </c>
      <c r="C356" s="127" t="str">
        <f t="shared" si="116"/>
        <v>200G - 3.2T</v>
      </c>
      <c r="D356" s="127" t="str">
        <f t="shared" si="116"/>
        <v>50-56G, 100G</v>
      </c>
      <c r="E356" s="127" t="str">
        <f t="shared" si="116"/>
        <v>8,12,16,24</v>
      </c>
      <c r="F356" s="128" t="str">
        <f t="shared" si="116"/>
        <v>TBD</v>
      </c>
      <c r="G356" s="67" t="str">
        <f>IF(G293=0,"",(G293*'Combined forecast'!G86)/10^6)</f>
        <v/>
      </c>
      <c r="H356" s="67" t="str">
        <f>IF(H293=0,"",(H293*'Combined forecast'!H86)/10^6)</f>
        <v/>
      </c>
      <c r="I356" s="67" t="str">
        <f>IF(I293=0,"",(I293*'Combined forecast'!I86)/10^6)</f>
        <v/>
      </c>
      <c r="J356" s="67" t="str">
        <f>IF(J293=0,"",(J293*'Combined forecast'!J86)/10^6)</f>
        <v/>
      </c>
      <c r="K356" s="67" t="str">
        <f>IF(K293=0,"",(K293*'Combined forecast'!K86)/10^6)</f>
        <v/>
      </c>
      <c r="L356" s="67" t="str">
        <f>IF(L293=0,"",(L293*'Combined forecast'!L86)/10^6)</f>
        <v/>
      </c>
      <c r="M356" s="67" t="str">
        <f>IF(M293=0,"",(M293*'Combined forecast'!M86)/10^6)</f>
        <v/>
      </c>
      <c r="N356" s="67" t="str">
        <f>IF(N293=0,"",(N293*'Combined forecast'!N86)/10^6)</f>
        <v/>
      </c>
      <c r="O356" s="67" t="str">
        <f>IF(O293=0,"",(O293*'Combined forecast'!O86)/10^6)</f>
        <v/>
      </c>
      <c r="P356" s="67" t="str">
        <f>IF(P293=0,"",(P293*'Combined forecast'!P86)/10^6)</f>
        <v/>
      </c>
      <c r="Q356" s="67" t="str">
        <f>IF(Q293=0,"",(Q293*'Combined forecast'!Q86)/10^6)</f>
        <v/>
      </c>
      <c r="R356" s="67" t="str">
        <f>IF(R293=0,"",(R293*'Combined forecast'!R86)/10^6)</f>
        <v/>
      </c>
    </row>
    <row r="357" spans="2:18" ht="13.8">
      <c r="B357" s="130" t="str">
        <f t="shared" si="116"/>
        <v>AOC</v>
      </c>
      <c r="C357" s="127" t="str">
        <f t="shared" si="116"/>
        <v>400G, 2x200G</v>
      </c>
      <c r="D357" s="127" t="str">
        <f t="shared" si="116"/>
        <v>50-56G, 100G</v>
      </c>
      <c r="E357" s="127" t="str">
        <f t="shared" si="116"/>
        <v>4 or 8</v>
      </c>
      <c r="F357" s="128" t="str">
        <f t="shared" si="116"/>
        <v>QSFP-DD, OSFP, QSFP112</v>
      </c>
      <c r="G357" s="67" t="str">
        <f>IF(G294=0,"",(G294*'Combined forecast'!G87)/10^6)</f>
        <v/>
      </c>
      <c r="H357" s="67" t="str">
        <f>IF(H294=0,"",(H294*'Combined forecast'!H87)/10^6)</f>
        <v/>
      </c>
      <c r="I357" s="67" t="str">
        <f>IF(I294=0,"",(I294*'Combined forecast'!I87)/10^6)</f>
        <v/>
      </c>
      <c r="J357" s="67" t="str">
        <f>IF(J294=0,"",(J294*'Combined forecast'!J87)/10^6)</f>
        <v/>
      </c>
      <c r="K357" s="67" t="str">
        <f>IF(K294=0,"",(K294*'Combined forecast'!K87)/10^6)</f>
        <v/>
      </c>
      <c r="L357" s="67" t="str">
        <f>IF(L294=0,"",(L294*'Combined forecast'!L87)/10^6)</f>
        <v/>
      </c>
      <c r="M357" s="67" t="str">
        <f>IF(M294=0,"",(M294*'Combined forecast'!M87)/10^6)</f>
        <v/>
      </c>
      <c r="N357" s="67" t="str">
        <f>IF(N294=0,"",(N294*'Combined forecast'!N87)/10^6)</f>
        <v/>
      </c>
      <c r="O357" s="67" t="str">
        <f>IF(O294=0,"",(O294*'Combined forecast'!O87)/10^6)</f>
        <v/>
      </c>
      <c r="P357" s="67" t="str">
        <f>IF(P294=0,"",(P294*'Combined forecast'!P87)/10^6)</f>
        <v/>
      </c>
      <c r="Q357" s="67" t="str">
        <f>IF(Q294=0,"",(Q294*'Combined forecast'!Q87)/10^6)</f>
        <v/>
      </c>
      <c r="R357" s="67" t="str">
        <f>IF(R294=0,"",(R294*'Combined forecast'!R87)/10^6)</f>
        <v/>
      </c>
    </row>
    <row r="358" spans="2:18" ht="13.8">
      <c r="B358" s="130" t="str">
        <f t="shared" si="116"/>
        <v>AOC</v>
      </c>
      <c r="C358" s="127" t="str">
        <f t="shared" si="116"/>
        <v>400G, 2x200G</v>
      </c>
      <c r="D358" s="127" t="str">
        <f t="shared" si="116"/>
        <v>50-56G, 100G</v>
      </c>
      <c r="E358" s="127" t="str">
        <f t="shared" si="116"/>
        <v>4:1 or 8:1</v>
      </c>
      <c r="F358" s="128" t="str">
        <f t="shared" si="116"/>
        <v>QSFP-DD, OSFP, QSFP112</v>
      </c>
      <c r="G358" s="67" t="str">
        <f>IF(G295=0,"",(G295*'Combined forecast'!G88)/10^6)</f>
        <v/>
      </c>
      <c r="H358" s="67" t="str">
        <f>IF(H295=0,"",(H295*'Combined forecast'!H88)/10^6)</f>
        <v/>
      </c>
      <c r="I358" s="67" t="str">
        <f>IF(I295=0,"",(I295*'Combined forecast'!I88)/10^6)</f>
        <v/>
      </c>
      <c r="J358" s="67" t="str">
        <f>IF(J295=0,"",(J295*'Combined forecast'!J88)/10^6)</f>
        <v/>
      </c>
      <c r="K358" s="67" t="str">
        <f>IF(K295=0,"",(K295*'Combined forecast'!K88)/10^6)</f>
        <v/>
      </c>
      <c r="L358" s="67" t="str">
        <f>IF(L295=0,"",(L295*'Combined forecast'!L88)/10^6)</f>
        <v/>
      </c>
      <c r="M358" s="67" t="str">
        <f>IF(M295=0,"",(M295*'Combined forecast'!M88)/10^6)</f>
        <v/>
      </c>
      <c r="N358" s="67" t="str">
        <f>IF(N295=0,"",(N295*'Combined forecast'!N88)/10^6)</f>
        <v/>
      </c>
      <c r="O358" s="67" t="str">
        <f>IF(O295=0,"",(O295*'Combined forecast'!O88)/10^6)</f>
        <v/>
      </c>
      <c r="P358" s="67" t="str">
        <f>IF(P295=0,"",(P295*'Combined forecast'!P88)/10^6)</f>
        <v/>
      </c>
      <c r="Q358" s="67" t="str">
        <f>IF(Q295=0,"",(Q295*'Combined forecast'!Q88)/10^6)</f>
        <v/>
      </c>
      <c r="R358" s="67" t="str">
        <f>IF(R295=0,"",(R295*'Combined forecast'!R88)/10^6)</f>
        <v/>
      </c>
    </row>
    <row r="359" spans="2:18" ht="13.8">
      <c r="B359" s="130" t="str">
        <f t="shared" si="116"/>
        <v>AOC</v>
      </c>
      <c r="C359" s="127" t="str">
        <f t="shared" si="116"/>
        <v>800G</v>
      </c>
      <c r="D359" s="127" t="str">
        <f t="shared" si="116"/>
        <v>100G</v>
      </c>
      <c r="E359" s="127" t="str">
        <f t="shared" si="116"/>
        <v>8:1</v>
      </c>
      <c r="F359" s="128" t="str">
        <f t="shared" si="116"/>
        <v xml:space="preserve">QSFP-DD800, OSFP </v>
      </c>
      <c r="G359" s="67" t="str">
        <f>IF(G300=0,"",(G300*'Combined forecast'!G93)/10^6)</f>
        <v/>
      </c>
      <c r="H359" s="67" t="str">
        <f>IF(H300=0,"",(H300*'Combined forecast'!H93)/10^6)</f>
        <v/>
      </c>
      <c r="I359" s="67" t="str">
        <f>IF(I300=0,"",(I300*'Combined forecast'!I93)/10^6)</f>
        <v/>
      </c>
      <c r="J359" s="67" t="str">
        <f>IF(J296=0,"",(J296*'Combined forecast'!J89)/10^6)</f>
        <v/>
      </c>
      <c r="K359" s="67" t="str">
        <f>IF(K296=0,"",(K296*'Combined forecast'!K89)/10^6)</f>
        <v/>
      </c>
      <c r="L359" s="67" t="str">
        <f>IF(L296=0,"",(L296*'Combined forecast'!L89)/10^6)</f>
        <v/>
      </c>
      <c r="M359" s="67" t="str">
        <f>IF(M296=0,"",(M296*'Combined forecast'!M89)/10^6)</f>
        <v/>
      </c>
      <c r="N359" s="67" t="str">
        <f>IF(N296=0,"",(N296*'Combined forecast'!N89)/10^6)</f>
        <v/>
      </c>
      <c r="O359" s="67" t="str">
        <f>IF(O296=0,"",(O296*'Combined forecast'!O89)/10^6)</f>
        <v/>
      </c>
      <c r="P359" s="67" t="str">
        <f>IF(P296=0,"",(P296*'Combined forecast'!P89)/10^6)</f>
        <v/>
      </c>
      <c r="Q359" s="67" t="str">
        <f>IF(Q300=0,"",(Q300*'Combined forecast'!Q93)/10^6)</f>
        <v/>
      </c>
      <c r="R359" s="67" t="str">
        <f>IF(R300=0,"",(R300*'Combined forecast'!R93)/10^6)</f>
        <v/>
      </c>
    </row>
    <row r="360" spans="2:18" ht="13.8">
      <c r="B360" s="307" t="str">
        <f t="shared" ref="B360:F369" si="117">B297</f>
        <v>AOC</v>
      </c>
      <c r="C360" s="308" t="str">
        <f t="shared" si="117"/>
        <v>1.6T</v>
      </c>
      <c r="D360" s="308" t="str">
        <f t="shared" si="117"/>
        <v>100G</v>
      </c>
      <c r="E360" s="308">
        <f t="shared" si="117"/>
        <v>16</v>
      </c>
      <c r="F360" s="309" t="str">
        <f t="shared" si="117"/>
        <v>OSFP-XD</v>
      </c>
      <c r="G360" s="45" t="str">
        <f>IF(G301=0,"",(G301*'Combined forecast'!G94)/10^6)</f>
        <v/>
      </c>
      <c r="H360" s="45" t="str">
        <f>IF(H301=0,"",(H301*'Combined forecast'!H94)/10^6)</f>
        <v/>
      </c>
      <c r="I360" s="45" t="str">
        <f>IF(I301=0,"",(I301*'Combined forecast'!I94)/10^6)</f>
        <v/>
      </c>
      <c r="J360" s="45" t="str">
        <f>IF(J297=0,"",(J297*'Combined forecast'!J90)/10^6)</f>
        <v/>
      </c>
      <c r="K360" s="45" t="str">
        <f>IF(K297=0,"",(K297*'Combined forecast'!K90)/10^6)</f>
        <v/>
      </c>
      <c r="L360" s="45" t="str">
        <f>IF(L297=0,"",(L297*'Combined forecast'!L90)/10^6)</f>
        <v/>
      </c>
      <c r="M360" s="45" t="str">
        <f>IF(M297=0,"",(M297*'Combined forecast'!M90)/10^6)</f>
        <v/>
      </c>
      <c r="N360" s="45" t="str">
        <f>IF(N297=0,"",(N297*'Combined forecast'!N90)/10^6)</f>
        <v/>
      </c>
      <c r="O360" s="45" t="str">
        <f>IF(O297=0,"",(O297*'Combined forecast'!O90)/10^6)</f>
        <v/>
      </c>
      <c r="P360" s="45" t="str">
        <f>IF(P297=0,"",(P297*'Combined forecast'!P90)/10^6)</f>
        <v/>
      </c>
      <c r="Q360" s="45" t="str">
        <f>IF(Q301=0,"",(Q301*'Combined forecast'!Q94)/10^6)</f>
        <v/>
      </c>
      <c r="R360" s="45" t="str">
        <f>IF(R301=0,"",(R301*'Combined forecast'!R94)/10^6)</f>
        <v/>
      </c>
    </row>
    <row r="361" spans="2:18" ht="13.8">
      <c r="B361" s="130" t="str">
        <f t="shared" si="117"/>
        <v>CPO</v>
      </c>
      <c r="C361" s="127" t="str">
        <f t="shared" si="117"/>
        <v>800 Gbps</v>
      </c>
      <c r="D361" s="127" t="str">
        <f t="shared" si="117"/>
        <v>100G</v>
      </c>
      <c r="E361" s="127" t="str">
        <f t="shared" si="117"/>
        <v>30m</v>
      </c>
      <c r="F361" s="128" t="str">
        <f t="shared" si="117"/>
        <v>TBD</v>
      </c>
      <c r="G361" s="411"/>
      <c r="H361" s="120"/>
      <c r="I361" s="120"/>
      <c r="J361" s="120" t="str">
        <f>IF(J298=0,"",(J298*'Combined forecast'!J91)/10^6)</f>
        <v/>
      </c>
      <c r="K361" s="120" t="str">
        <f>IF(K298=0,"",(K298*'Combined forecast'!K91)/10^6)</f>
        <v/>
      </c>
      <c r="L361" s="120" t="str">
        <f>IF(L298=0,"",(L298*'Combined forecast'!L91)/10^6)</f>
        <v/>
      </c>
      <c r="M361" s="120" t="str">
        <f>IF(M298=0,"",(M298*'Combined forecast'!M91)/10^6)</f>
        <v/>
      </c>
      <c r="N361" s="120" t="str">
        <f>IF(N298=0,"",(N298*'Combined forecast'!N91)/10^6)</f>
        <v/>
      </c>
      <c r="O361" s="120" t="str">
        <f>IF(O298=0,"",(O298*'Combined forecast'!O91)/10^6)</f>
        <v/>
      </c>
      <c r="P361" s="120" t="str">
        <f>IF(P298=0,"",(P298*'Combined forecast'!P91)/10^6)</f>
        <v/>
      </c>
      <c r="Q361" s="120" t="str">
        <f>IF(Q298=0,"",(Q298*'Combined forecast'!Q91)/10^6)</f>
        <v/>
      </c>
      <c r="R361" s="120" t="str">
        <f>IF(R298=0,"",(R298*'Combined forecast'!R91)/10^6)</f>
        <v/>
      </c>
    </row>
    <row r="362" spans="2:18" ht="13.8">
      <c r="B362" s="130" t="str">
        <f t="shared" si="117"/>
        <v>CPO</v>
      </c>
      <c r="C362" s="127" t="str">
        <f t="shared" si="117"/>
        <v>800 Gbps</v>
      </c>
      <c r="D362" s="127" t="str">
        <f t="shared" si="117"/>
        <v>100G</v>
      </c>
      <c r="E362" s="127" t="str">
        <f t="shared" si="117"/>
        <v>100 m</v>
      </c>
      <c r="F362" s="128" t="str">
        <f t="shared" si="117"/>
        <v>TBD</v>
      </c>
      <c r="G362" s="139"/>
      <c r="H362" s="67"/>
      <c r="I362" s="67"/>
      <c r="J362" s="67" t="str">
        <f>IF(J299=0,"",(J299*'Combined forecast'!J92)/10^6)</f>
        <v/>
      </c>
      <c r="K362" s="67" t="str">
        <f>IF(K299=0,"",(K299*'Combined forecast'!K92)/10^6)</f>
        <v/>
      </c>
      <c r="L362" s="67" t="str">
        <f>IF(L299=0,"",(L299*'Combined forecast'!L92)/10^6)</f>
        <v/>
      </c>
      <c r="M362" s="67" t="str">
        <f>IF(M299=0,"",(M299*'Combined forecast'!M92)/10^6)</f>
        <v/>
      </c>
      <c r="N362" s="67" t="str">
        <f>IF(N299=0,"",(N299*'Combined forecast'!N92)/10^6)</f>
        <v/>
      </c>
      <c r="O362" s="67" t="str">
        <f>IF(O299=0,"",(O299*'Combined forecast'!O92)/10^6)</f>
        <v/>
      </c>
      <c r="P362" s="67" t="str">
        <f>IF(P299=0,"",(P299*'Combined forecast'!P92)/10^6)</f>
        <v/>
      </c>
      <c r="Q362" s="67" t="str">
        <f>IF(Q299=0,"",(Q299*'Combined forecast'!Q92)/10^6)</f>
        <v/>
      </c>
      <c r="R362" s="67" t="str">
        <f>IF(R299=0,"",(R299*'Combined forecast'!R92)/10^6)</f>
        <v/>
      </c>
    </row>
    <row r="363" spans="2:18" ht="13.8">
      <c r="B363" s="130" t="str">
        <f t="shared" si="117"/>
        <v>CPO</v>
      </c>
      <c r="C363" s="127" t="str">
        <f t="shared" si="117"/>
        <v>800 Gbps</v>
      </c>
      <c r="D363" s="127" t="str">
        <f t="shared" si="117"/>
        <v>100G</v>
      </c>
      <c r="E363" s="127" t="str">
        <f t="shared" si="117"/>
        <v>500 m</v>
      </c>
      <c r="F363" s="128" t="str">
        <f t="shared" si="117"/>
        <v>TBD</v>
      </c>
      <c r="G363" s="139"/>
      <c r="H363" s="67"/>
      <c r="I363" s="67"/>
      <c r="J363" s="67" t="str">
        <f>IF(J300=0,"",(J300*'Combined forecast'!J93)/10^6)</f>
        <v/>
      </c>
      <c r="K363" s="67" t="str">
        <f>IF(K300=0,"",(K300*'Combined forecast'!K93)/10^6)</f>
        <v/>
      </c>
      <c r="L363" s="67" t="str">
        <f>IF(L300=0,"",(L300*'Combined forecast'!L93)/10^6)</f>
        <v/>
      </c>
      <c r="M363" s="67" t="str">
        <f>IF(M300=0,"",(M300*'Combined forecast'!M93)/10^6)</f>
        <v/>
      </c>
      <c r="N363" s="67" t="str">
        <f>IF(N300=0,"",(N300*'Combined forecast'!N93)/10^6)</f>
        <v/>
      </c>
      <c r="O363" s="67" t="str">
        <f>IF(O300=0,"",(O300*'Combined forecast'!O93)/10^6)</f>
        <v/>
      </c>
      <c r="P363" s="67" t="str">
        <f>IF(P300=0,"",(P300*'Combined forecast'!P93)/10^6)</f>
        <v/>
      </c>
      <c r="Q363" s="67" t="str">
        <f>IF(Q300=0,"",(Q300*'Combined forecast'!Q93)/10^6)</f>
        <v/>
      </c>
      <c r="R363" s="67" t="str">
        <f>IF(R300=0,"",(R300*'Combined forecast'!R93)/10^6)</f>
        <v/>
      </c>
    </row>
    <row r="364" spans="2:18" ht="13.8">
      <c r="B364" s="130" t="str">
        <f t="shared" si="117"/>
        <v>CPO</v>
      </c>
      <c r="C364" s="127" t="str">
        <f t="shared" si="117"/>
        <v>800 Gbps</v>
      </c>
      <c r="D364" s="127" t="str">
        <f t="shared" si="117"/>
        <v>100G</v>
      </c>
      <c r="E364" s="127" t="str">
        <f t="shared" si="117"/>
        <v>2 km</v>
      </c>
      <c r="F364" s="128" t="str">
        <f t="shared" si="117"/>
        <v>TBD</v>
      </c>
      <c r="G364" s="139"/>
      <c r="H364" s="67"/>
      <c r="I364" s="67"/>
      <c r="J364" s="67" t="str">
        <f>IF(J301=0,"",(J301*'Combined forecast'!J94)/10^6)</f>
        <v/>
      </c>
      <c r="K364" s="67" t="str">
        <f>IF(K301=0,"",(K301*'Combined forecast'!K94)/10^6)</f>
        <v/>
      </c>
      <c r="L364" s="67" t="str">
        <f>IF(L301=0,"",(L301*'Combined forecast'!L94)/10^6)</f>
        <v/>
      </c>
      <c r="M364" s="67" t="str">
        <f>IF(M301=0,"",(M301*'Combined forecast'!M94)/10^6)</f>
        <v/>
      </c>
      <c r="N364" s="67" t="str">
        <f>IF(N301=0,"",(N301*'Combined forecast'!N94)/10^6)</f>
        <v/>
      </c>
      <c r="O364" s="67" t="str">
        <f>IF(O301=0,"",(O301*'Combined forecast'!O94)/10^6)</f>
        <v/>
      </c>
      <c r="P364" s="67" t="str">
        <f>IF(P301=0,"",(P301*'Combined forecast'!P94)/10^6)</f>
        <v/>
      </c>
      <c r="Q364" s="67" t="str">
        <f>IF(Q301=0,"",(Q301*'Combined forecast'!Q94)/10^6)</f>
        <v/>
      </c>
      <c r="R364" s="67" t="str">
        <f>IF(R301=0,"",(R301*'Combined forecast'!R94)/10^6)</f>
        <v/>
      </c>
    </row>
    <row r="365" spans="2:18" ht="13.8">
      <c r="B365" s="130" t="str">
        <f t="shared" si="117"/>
        <v>CPO</v>
      </c>
      <c r="C365" s="127" t="str">
        <f t="shared" si="117"/>
        <v>800 Gbps</v>
      </c>
      <c r="D365" s="127" t="str">
        <f t="shared" si="117"/>
        <v>100G</v>
      </c>
      <c r="E365" s="127" t="str">
        <f t="shared" si="117"/>
        <v>10 km</v>
      </c>
      <c r="F365" s="128" t="str">
        <f t="shared" si="117"/>
        <v>TBD</v>
      </c>
      <c r="G365" s="139"/>
      <c r="H365" s="67"/>
      <c r="I365" s="67"/>
      <c r="J365" s="67" t="str">
        <f>IF(J302=0,"",(J302*'Combined forecast'!J95)/10^6)</f>
        <v/>
      </c>
      <c r="K365" s="67" t="str">
        <f>IF(K302=0,"",(K302*'Combined forecast'!K95)/10^6)</f>
        <v/>
      </c>
      <c r="L365" s="67" t="str">
        <f>IF(L302=0,"",(L302*'Combined forecast'!L95)/10^6)</f>
        <v/>
      </c>
      <c r="M365" s="67" t="str">
        <f>IF(M302=0,"",(M302*'Combined forecast'!M95)/10^6)</f>
        <v/>
      </c>
      <c r="N365" s="67" t="str">
        <f>IF(N302=0,"",(N302*'Combined forecast'!N95)/10^6)</f>
        <v/>
      </c>
      <c r="O365" s="67" t="str">
        <f>IF(O302=0,"",(O302*'Combined forecast'!O95)/10^6)</f>
        <v/>
      </c>
      <c r="P365" s="67" t="str">
        <f>IF(P302=0,"",(P302*'Combined forecast'!P95)/10^6)</f>
        <v/>
      </c>
      <c r="Q365" s="67" t="str">
        <f>IF(Q302=0,"",(Q302*'Combined forecast'!Q95)/10^6)</f>
        <v/>
      </c>
      <c r="R365" s="67" t="str">
        <f>IF(R302=0,"",(R302*'Combined forecast'!R95)/10^6)</f>
        <v/>
      </c>
    </row>
    <row r="366" spans="2:18" ht="13.8">
      <c r="B366" s="130" t="str">
        <f t="shared" si="117"/>
        <v>CPO</v>
      </c>
      <c r="C366" s="127" t="str">
        <f t="shared" si="117"/>
        <v>1.6 Tbps</v>
      </c>
      <c r="D366" s="127" t="str">
        <f t="shared" si="117"/>
        <v>100G</v>
      </c>
      <c r="E366" s="127" t="str">
        <f t="shared" si="117"/>
        <v>30m</v>
      </c>
      <c r="F366" s="128" t="str">
        <f t="shared" si="117"/>
        <v>TBD</v>
      </c>
      <c r="G366" s="139"/>
      <c r="H366" s="67"/>
      <c r="I366" s="67"/>
      <c r="J366" s="67" t="str">
        <f>IF(J303=0,"",(J303*'Combined forecast'!J96)/10^6)</f>
        <v/>
      </c>
      <c r="K366" s="67" t="str">
        <f>IF(K303=0,"",(K303*'Combined forecast'!K96)/10^6)</f>
        <v/>
      </c>
      <c r="L366" s="67" t="str">
        <f>IF(L303=0,"",(L303*'Combined forecast'!L96)/10^6)</f>
        <v/>
      </c>
      <c r="M366" s="67" t="str">
        <f>IF(M303=0,"",(M303*'Combined forecast'!M96)/10^6)</f>
        <v/>
      </c>
      <c r="N366" s="67" t="str">
        <f>IF(N303=0,"",(N303*'Combined forecast'!N96)/10^6)</f>
        <v/>
      </c>
      <c r="O366" s="67" t="str">
        <f>IF(O303=0,"",(O303*'Combined forecast'!O96)/10^6)</f>
        <v/>
      </c>
      <c r="P366" s="67" t="str">
        <f>IF(P303=0,"",(P303*'Combined forecast'!P96)/10^6)</f>
        <v/>
      </c>
      <c r="Q366" s="67" t="str">
        <f>IF(Q303=0,"",(Q303*'Combined forecast'!Q96)/10^6)</f>
        <v/>
      </c>
      <c r="R366" s="67" t="str">
        <f>IF(R303=0,"",(R303*'Combined forecast'!R96)/10^6)</f>
        <v/>
      </c>
    </row>
    <row r="367" spans="2:18" ht="13.8">
      <c r="B367" s="130" t="str">
        <f t="shared" si="117"/>
        <v>CPO</v>
      </c>
      <c r="C367" s="127" t="str">
        <f t="shared" si="117"/>
        <v>1.6 Tbps</v>
      </c>
      <c r="D367" s="127" t="str">
        <f t="shared" si="117"/>
        <v>100G</v>
      </c>
      <c r="E367" s="127" t="str">
        <f t="shared" si="117"/>
        <v>100 m</v>
      </c>
      <c r="F367" s="128" t="str">
        <f t="shared" si="117"/>
        <v>TBD</v>
      </c>
      <c r="G367" s="139"/>
      <c r="H367" s="67"/>
      <c r="I367" s="67"/>
      <c r="J367" s="67" t="str">
        <f>IF(J304=0,"",(J304*'Combined forecast'!J97)/10^6)</f>
        <v/>
      </c>
      <c r="K367" s="67" t="str">
        <f>IF(K304=0,"",(K304*'Combined forecast'!K97)/10^6)</f>
        <v/>
      </c>
      <c r="L367" s="67" t="str">
        <f>IF(L304=0,"",(L304*'Combined forecast'!L97)/10^6)</f>
        <v/>
      </c>
      <c r="M367" s="67" t="str">
        <f>IF(M304=0,"",(M304*'Combined forecast'!M97)/10^6)</f>
        <v/>
      </c>
      <c r="N367" s="67" t="str">
        <f>IF(N304=0,"",(N304*'Combined forecast'!N97)/10^6)</f>
        <v/>
      </c>
      <c r="O367" s="67" t="str">
        <f>IF(O304=0,"",(O304*'Combined forecast'!O97)/10^6)</f>
        <v/>
      </c>
      <c r="P367" s="67" t="str">
        <f>IF(P304=0,"",(P304*'Combined forecast'!P97)/10^6)</f>
        <v/>
      </c>
      <c r="Q367" s="67" t="str">
        <f>IF(Q304=0,"",(Q304*'Combined forecast'!Q97)/10^6)</f>
        <v/>
      </c>
      <c r="R367" s="67" t="str">
        <f>IF(R304=0,"",(R304*'Combined forecast'!R97)/10^6)</f>
        <v/>
      </c>
    </row>
    <row r="368" spans="2:18" ht="13.8">
      <c r="B368" s="130" t="str">
        <f t="shared" si="117"/>
        <v>CPO</v>
      </c>
      <c r="C368" s="127" t="str">
        <f t="shared" si="117"/>
        <v>1.6 Tbps</v>
      </c>
      <c r="D368" s="127" t="str">
        <f t="shared" si="117"/>
        <v>100G</v>
      </c>
      <c r="E368" s="127" t="str">
        <f t="shared" si="117"/>
        <v>500 m</v>
      </c>
      <c r="F368" s="128" t="str">
        <f t="shared" si="117"/>
        <v>TBD</v>
      </c>
      <c r="G368" s="139"/>
      <c r="H368" s="67"/>
      <c r="I368" s="67"/>
      <c r="J368" s="67" t="str">
        <f>IF(J305=0,"",(J305*'Combined forecast'!J98)/10^6)</f>
        <v/>
      </c>
      <c r="K368" s="67" t="str">
        <f>IF(K305=0,"",(K305*'Combined forecast'!K98)/10^6)</f>
        <v/>
      </c>
      <c r="L368" s="67" t="str">
        <f>IF(L305=0,"",(L305*'Combined forecast'!L98)/10^6)</f>
        <v/>
      </c>
      <c r="M368" s="67" t="str">
        <f>IF(M305=0,"",(M305*'Combined forecast'!M98)/10^6)</f>
        <v/>
      </c>
      <c r="N368" s="67" t="str">
        <f>IF(N305=0,"",(N305*'Combined forecast'!N98)/10^6)</f>
        <v/>
      </c>
      <c r="O368" s="67" t="str">
        <f>IF(O305=0,"",(O305*'Combined forecast'!O98)/10^6)</f>
        <v/>
      </c>
      <c r="P368" s="67" t="str">
        <f>IF(P305=0,"",(P305*'Combined forecast'!P98)/10^6)</f>
        <v/>
      </c>
      <c r="Q368" s="67" t="str">
        <f>IF(Q305=0,"",(Q305*'Combined forecast'!Q98)/10^6)</f>
        <v/>
      </c>
      <c r="R368" s="67" t="str">
        <f>IF(R305=0,"",(R305*'Combined forecast'!R98)/10^6)</f>
        <v/>
      </c>
    </row>
    <row r="369" spans="2:18" ht="13.8">
      <c r="B369" s="130" t="str">
        <f t="shared" si="117"/>
        <v>CPO</v>
      </c>
      <c r="C369" s="127" t="str">
        <f t="shared" si="117"/>
        <v>1.6 Tbps</v>
      </c>
      <c r="D369" s="127" t="str">
        <f t="shared" si="117"/>
        <v>100G</v>
      </c>
      <c r="E369" s="127" t="str">
        <f t="shared" si="117"/>
        <v>2 km</v>
      </c>
      <c r="F369" s="128" t="str">
        <f t="shared" si="117"/>
        <v>TBD</v>
      </c>
      <c r="G369" s="139"/>
      <c r="H369" s="67"/>
      <c r="I369" s="67"/>
      <c r="J369" s="67" t="str">
        <f>IF(J306=0,"",(J306*'Combined forecast'!J99)/10^6)</f>
        <v/>
      </c>
      <c r="K369" s="67" t="str">
        <f>IF(K306=0,"",(K306*'Combined forecast'!K99)/10^6)</f>
        <v/>
      </c>
      <c r="L369" s="67" t="str">
        <f>IF(L306=0,"",(L306*'Combined forecast'!L99)/10^6)</f>
        <v/>
      </c>
      <c r="M369" s="67" t="str">
        <f>IF(M306=0,"",(M306*'Combined forecast'!M99)/10^6)</f>
        <v/>
      </c>
      <c r="N369" s="67" t="str">
        <f>IF(N306=0,"",(N306*'Combined forecast'!N99)/10^6)</f>
        <v/>
      </c>
      <c r="O369" s="67" t="str">
        <f>IF(O306=0,"",(O306*'Combined forecast'!O99)/10^6)</f>
        <v/>
      </c>
      <c r="P369" s="67" t="str">
        <f>IF(P306=0,"",(P306*'Combined forecast'!P99)/10^6)</f>
        <v/>
      </c>
      <c r="Q369" s="67" t="str">
        <f>IF(Q306=0,"",(Q306*'Combined forecast'!Q99)/10^6)</f>
        <v/>
      </c>
      <c r="R369" s="67" t="str">
        <f>IF(R306=0,"",(R306*'Combined forecast'!R99)/10^6)</f>
        <v/>
      </c>
    </row>
    <row r="370" spans="2:18" ht="13.8">
      <c r="B370" s="373" t="str">
        <f t="shared" ref="B370:F370" si="118">B307</f>
        <v>CPO</v>
      </c>
      <c r="C370" s="374" t="str">
        <f t="shared" si="118"/>
        <v>1.6 Tbps</v>
      </c>
      <c r="D370" s="374" t="str">
        <f t="shared" si="118"/>
        <v>100G</v>
      </c>
      <c r="E370" s="374" t="str">
        <f t="shared" si="118"/>
        <v>10 km</v>
      </c>
      <c r="F370" s="375" t="str">
        <f t="shared" si="118"/>
        <v>TBD</v>
      </c>
      <c r="G370" s="27"/>
      <c r="H370" s="27"/>
      <c r="I370" s="27"/>
      <c r="J370" s="27"/>
      <c r="K370" s="27"/>
      <c r="L370" s="27"/>
      <c r="M370" s="27"/>
      <c r="N370" s="27"/>
      <c r="O370" s="27"/>
      <c r="P370" s="27" t="str">
        <f>IF(P307=0,"",(P307*'Combined forecast'!P100)/10^6)</f>
        <v/>
      </c>
      <c r="Q370" s="27" t="str">
        <f>IF(Q307=0,"",(Q307*'Combined forecast'!Q100)/10^6)</f>
        <v/>
      </c>
      <c r="R370" s="27" t="str">
        <f>IF(R307=0,"",(R307*'Combined forecast'!R100)/10^6)</f>
        <v/>
      </c>
    </row>
    <row r="371" spans="2:18" ht="13.8">
      <c r="B371" s="436" t="str">
        <f t="shared" ref="B371:B374" si="119">B308</f>
        <v>External laser module (Comb) -LP</v>
      </c>
      <c r="C371" s="127"/>
      <c r="D371" s="127"/>
      <c r="E371" s="127"/>
      <c r="F371" s="128"/>
      <c r="G371" s="67" t="str">
        <f>IF(G308=0,"",(G308*'Combined forecast'!G101)/10^6)</f>
        <v/>
      </c>
      <c r="H371" s="67" t="str">
        <f>IF(H308=0,"",(H308*'Combined forecast'!H101)/10^6)</f>
        <v/>
      </c>
      <c r="I371" s="67" t="str">
        <f>IF(I308=0,"",(I308*'Combined forecast'!I101)/10^6)</f>
        <v/>
      </c>
      <c r="J371" s="67" t="str">
        <f>IF(J308=0,"",(J308*'Combined forecast'!J101)/10^6)</f>
        <v/>
      </c>
      <c r="K371" s="67" t="str">
        <f>IF(K308=0,"",(K308*'Combined forecast'!K101)/10^6)</f>
        <v/>
      </c>
      <c r="L371" s="67" t="str">
        <f>IF(L308=0,"",(L308*'Combined forecast'!L101)/10^6)</f>
        <v/>
      </c>
      <c r="M371" s="67" t="str">
        <f>IF(M308=0,"",(M308*'Combined forecast'!M101)/10^6)</f>
        <v/>
      </c>
      <c r="N371" s="67" t="str">
        <f>IF(N308=0,"",(N308*'Combined forecast'!N101)/10^6)</f>
        <v/>
      </c>
      <c r="O371" s="67" t="str">
        <f>IF(O308=0,"",(O308*'Combined forecast'!O101)/10^6)</f>
        <v/>
      </c>
      <c r="P371" s="67" t="str">
        <f>IF(P308=0,"",(P308*'Combined forecast'!P101)/10^6)</f>
        <v/>
      </c>
      <c r="Q371" s="67" t="str">
        <f>IF(Q308=0,"",(Q308*'Combined forecast'!Q101)/10^6)</f>
        <v/>
      </c>
      <c r="R371" s="67" t="str">
        <f>IF(R308=0,"",(R308*'Combined forecast'!R101)/10^6)</f>
        <v/>
      </c>
    </row>
    <row r="372" spans="2:18" ht="13.8">
      <c r="B372" s="436" t="str">
        <f t="shared" si="119"/>
        <v>External laser module (Comb) - HP</v>
      </c>
      <c r="C372" s="127"/>
      <c r="D372" s="127"/>
      <c r="E372" s="127"/>
      <c r="F372" s="128"/>
      <c r="G372" s="67" t="str">
        <f>IF(G309=0,"",(G309*'Combined forecast'!G102)/10^6)</f>
        <v/>
      </c>
      <c r="H372" s="67" t="str">
        <f>IF(H309=0,"",(H309*'Combined forecast'!H102)/10^6)</f>
        <v/>
      </c>
      <c r="I372" s="67" t="str">
        <f>IF(I309=0,"",(I309*'Combined forecast'!I102)/10^6)</f>
        <v/>
      </c>
      <c r="J372" s="67" t="str">
        <f>IF(J309=0,"",(J309*'Combined forecast'!J102)/10^6)</f>
        <v/>
      </c>
      <c r="K372" s="67" t="str">
        <f>IF(K309=0,"",(K309*'Combined forecast'!K102)/10^6)</f>
        <v/>
      </c>
      <c r="L372" s="67" t="str">
        <f>IF(L309=0,"",(L309*'Combined forecast'!L102)/10^6)</f>
        <v/>
      </c>
      <c r="M372" s="67" t="str">
        <f>IF(M309=0,"",(M309*'Combined forecast'!M102)/10^6)</f>
        <v/>
      </c>
      <c r="N372" s="67" t="str">
        <f>IF(N309=0,"",(N309*'Combined forecast'!N102)/10^6)</f>
        <v/>
      </c>
      <c r="O372" s="67" t="str">
        <f>IF(O309=0,"",(O309*'Combined forecast'!O102)/10^6)</f>
        <v/>
      </c>
      <c r="P372" s="67" t="str">
        <f>IF(P309=0,"",(P309*'Combined forecast'!P102)/10^6)</f>
        <v/>
      </c>
      <c r="Q372" s="67" t="str">
        <f>IF(Q309=0,"",(Q309*'Combined forecast'!Q102)/10^6)</f>
        <v/>
      </c>
      <c r="R372" s="67" t="str">
        <f>IF(R309=0,"",(R309*'Combined forecast'!R102)/10^6)</f>
        <v/>
      </c>
    </row>
    <row r="373" spans="2:18" ht="13.8">
      <c r="B373" s="436" t="str">
        <f t="shared" si="119"/>
        <v>External laser module (4xDR4)</v>
      </c>
      <c r="C373" s="127"/>
      <c r="D373" s="127"/>
      <c r="E373" s="127"/>
      <c r="F373" s="128"/>
      <c r="G373" s="67" t="str">
        <f>IF(G310=0,"",(G310*'Combined forecast'!G103)/10^6)</f>
        <v/>
      </c>
      <c r="H373" s="67" t="str">
        <f>IF(H310=0,"",(H310*'Combined forecast'!H103)/10^6)</f>
        <v/>
      </c>
      <c r="I373" s="67" t="str">
        <f>IF(I310=0,"",(I310*'Combined forecast'!I103)/10^6)</f>
        <v/>
      </c>
      <c r="J373" s="67" t="str">
        <f>IF(J310=0,"",(J310*'Combined forecast'!J103)/10^6)</f>
        <v/>
      </c>
      <c r="K373" s="67" t="str">
        <f>IF(K310=0,"",(K310*'Combined forecast'!K103)/10^6)</f>
        <v/>
      </c>
      <c r="L373" s="67" t="str">
        <f>IF(L310=0,"",(L310*'Combined forecast'!L103)/10^6)</f>
        <v/>
      </c>
      <c r="M373" s="67" t="str">
        <f>IF(M310=0,"",(M310*'Combined forecast'!M103)/10^6)</f>
        <v/>
      </c>
      <c r="N373" s="67" t="str">
        <f>IF(N310=0,"",(N310*'Combined forecast'!N103)/10^6)</f>
        <v/>
      </c>
      <c r="O373" s="67" t="str">
        <f>IF(O310=0,"",(O310*'Combined forecast'!O103)/10^6)</f>
        <v/>
      </c>
      <c r="P373" s="67" t="str">
        <f>IF(P310=0,"",(P310*'Combined forecast'!P103)/10^6)</f>
        <v/>
      </c>
      <c r="Q373" s="67" t="str">
        <f>IF(Q310=0,"",(Q310*'Combined forecast'!Q103)/10^6)</f>
        <v/>
      </c>
      <c r="R373" s="67" t="str">
        <f>IF(R310=0,"",(R310*'Combined forecast'!R103)/10^6)</f>
        <v/>
      </c>
    </row>
    <row r="374" spans="2:18" ht="13.8">
      <c r="B374" s="434" t="str">
        <f t="shared" si="119"/>
        <v>External laser module (4xFR4)</v>
      </c>
      <c r="C374" s="374"/>
      <c r="D374" s="374"/>
      <c r="E374" s="374"/>
      <c r="F374" s="375"/>
      <c r="G374" s="68" t="str">
        <f>IF(G311=0,"",(G311*'Combined forecast'!G104)/10^6)</f>
        <v/>
      </c>
      <c r="H374" s="68" t="str">
        <f>IF(H311=0,"",(H311*'Combined forecast'!H104)/10^6)</f>
        <v/>
      </c>
      <c r="I374" s="68" t="str">
        <f>IF(I311=0,"",(I311*'Combined forecast'!I104)/10^6)</f>
        <v/>
      </c>
      <c r="J374" s="68" t="str">
        <f>IF(J311=0,"",(J311*'Combined forecast'!J104)/10^6)</f>
        <v/>
      </c>
      <c r="K374" s="68" t="str">
        <f>IF(K311=0,"",(K311*'Combined forecast'!K104)/10^6)</f>
        <v/>
      </c>
      <c r="L374" s="68" t="str">
        <f>IF(L311=0,"",(L311*'Combined forecast'!L104)/10^6)</f>
        <v/>
      </c>
      <c r="M374" s="68" t="str">
        <f>IF(M311=0,"",(M311*'Combined forecast'!M104)/10^6)</f>
        <v/>
      </c>
      <c r="N374" s="68" t="str">
        <f>IF(N311=0,"",(N311*'Combined forecast'!N104)/10^6)</f>
        <v/>
      </c>
      <c r="O374" s="68" t="str">
        <f>IF(O311=0,"",(O311*'Combined forecast'!O104)/10^6)</f>
        <v/>
      </c>
      <c r="P374" s="68" t="str">
        <f>IF(P311=0,"",(P311*'Combined forecast'!P104)/10^6)</f>
        <v/>
      </c>
      <c r="Q374" s="68" t="str">
        <f>IF(Q311=0,"",(Q311*'Combined forecast'!Q104)/10^6)</f>
        <v/>
      </c>
      <c r="R374" s="68" t="str">
        <f>IF(R311=0,"",(R311*'Combined forecast'!R104)/10^6)</f>
        <v/>
      </c>
    </row>
    <row r="375" spans="2:18" ht="13.8">
      <c r="B375" s="145" t="str">
        <f t="shared" ref="B375:F388" si="120">B312</f>
        <v>DAC</v>
      </c>
      <c r="C375" s="146" t="str">
        <f t="shared" si="120"/>
        <v>10G</v>
      </c>
      <c r="D375" s="146" t="str">
        <f t="shared" si="120"/>
        <v>TBD</v>
      </c>
      <c r="E375" s="146" t="str">
        <f t="shared" si="120"/>
        <v>30m</v>
      </c>
      <c r="F375" s="147" t="str">
        <f t="shared" si="120"/>
        <v>SFP</v>
      </c>
      <c r="G375" s="411">
        <f>IF(G312=0,"",(G312*'Combined forecast'!G105)/10^6)</f>
        <v>63.606538944402843</v>
      </c>
      <c r="H375" s="120">
        <f>IF(H312=0,"",(H312*'Combined forecast'!H105)/10^6)</f>
        <v>45.905869547897233</v>
      </c>
      <c r="I375" s="120" t="str">
        <f>IF(I312=0,"",(I312*'Combined forecast'!I105)/10^6)</f>
        <v/>
      </c>
      <c r="J375" s="120" t="str">
        <f>IF(J312=0,"",(J312*'Combined forecast'!J105)/10^6)</f>
        <v/>
      </c>
      <c r="K375" s="120" t="str">
        <f>IF(K312=0,"",(K312*'Combined forecast'!K105)/10^6)</f>
        <v/>
      </c>
      <c r="L375" s="120" t="str">
        <f>IF(L312=0,"",(L312*'Combined forecast'!L105)/10^6)</f>
        <v/>
      </c>
      <c r="M375" s="120" t="str">
        <f>IF(M312=0,"",(M312*'Combined forecast'!M105)/10^6)</f>
        <v/>
      </c>
      <c r="N375" s="120" t="str">
        <f>IF(N312=0,"",(N312*'Combined forecast'!N105)/10^6)</f>
        <v/>
      </c>
      <c r="O375" s="120" t="str">
        <f>IF(O312=0,"",(O312*'Combined forecast'!O105)/10^6)</f>
        <v/>
      </c>
      <c r="P375" s="120" t="str">
        <f>IF(P312=0,"",(P312*'Combined forecast'!P105)/10^6)</f>
        <v/>
      </c>
      <c r="Q375" s="120" t="str">
        <f>IF(Q312=0,"",(Q312*'Combined forecast'!Q105)/10^6)</f>
        <v/>
      </c>
      <c r="R375" s="120" t="str">
        <f>IF(R312=0,"",(R312*'Combined forecast'!R105)/10^6)</f>
        <v/>
      </c>
    </row>
    <row r="376" spans="2:18" ht="13.8">
      <c r="B376" s="130" t="str">
        <f t="shared" si="120"/>
        <v>DAC</v>
      </c>
      <c r="C376" s="127" t="str">
        <f t="shared" si="120"/>
        <v>25G</v>
      </c>
      <c r="D376" s="127" t="str">
        <f t="shared" si="120"/>
        <v>TBD</v>
      </c>
      <c r="E376" s="127" t="str">
        <f t="shared" si="120"/>
        <v>30m</v>
      </c>
      <c r="F376" s="128" t="str">
        <f t="shared" si="120"/>
        <v>SFP+</v>
      </c>
      <c r="G376" s="139">
        <f>IF(G313=0,"",(G313*'Combined forecast'!G106)/10^6)</f>
        <v>26.269862850000003</v>
      </c>
      <c r="H376" s="67">
        <f>IF(H313=0,"",(H313*'Combined forecast'!H106)/10^6)</f>
        <v>39.762240153347605</v>
      </c>
      <c r="I376" s="67" t="str">
        <f>IF(I313=0,"",(I313*'Combined forecast'!I106)/10^6)</f>
        <v/>
      </c>
      <c r="J376" s="67" t="str">
        <f>IF(J313=0,"",(J313*'Combined forecast'!J106)/10^6)</f>
        <v/>
      </c>
      <c r="K376" s="67" t="str">
        <f>IF(K313=0,"",(K313*'Combined forecast'!K106)/10^6)</f>
        <v/>
      </c>
      <c r="L376" s="67" t="str">
        <f>IF(L313=0,"",(L313*'Combined forecast'!L106)/10^6)</f>
        <v/>
      </c>
      <c r="M376" s="67" t="str">
        <f>IF(M313=0,"",(M313*'Combined forecast'!M106)/10^6)</f>
        <v/>
      </c>
      <c r="N376" s="67" t="str">
        <f>IF(N313=0,"",(N313*'Combined forecast'!N106)/10^6)</f>
        <v/>
      </c>
      <c r="O376" s="67" t="str">
        <f>IF(O313=0,"",(O313*'Combined forecast'!O106)/10^6)</f>
        <v/>
      </c>
      <c r="P376" s="67" t="str">
        <f>IF(P313=0,"",(P313*'Combined forecast'!P106)/10^6)</f>
        <v/>
      </c>
      <c r="Q376" s="67" t="str">
        <f>IF(Q313=0,"",(Q313*'Combined forecast'!Q106)/10^6)</f>
        <v/>
      </c>
      <c r="R376" s="67" t="str">
        <f>IF(R313=0,"",(R313*'Combined forecast'!R106)/10^6)</f>
        <v/>
      </c>
    </row>
    <row r="377" spans="2:18" ht="13.8">
      <c r="B377" s="130" t="str">
        <f t="shared" si="120"/>
        <v>DAC</v>
      </c>
      <c r="C377" s="127" t="str">
        <f t="shared" si="120"/>
        <v>40G</v>
      </c>
      <c r="D377" s="127" t="str">
        <f t="shared" si="120"/>
        <v>10G</v>
      </c>
      <c r="E377" s="127" t="str">
        <f t="shared" si="120"/>
        <v>30m</v>
      </c>
      <c r="F377" s="128" t="str">
        <f t="shared" si="120"/>
        <v>QSFP</v>
      </c>
      <c r="G377" s="139">
        <f>IF(G314=0,"",(G314*'Combined forecast'!G107)/10^6)</f>
        <v>51.089768536960221</v>
      </c>
      <c r="H377" s="67">
        <f>IF(H314=0,"",(H314*'Combined forecast'!H107)/10^6)</f>
        <v>35.533012745017665</v>
      </c>
      <c r="I377" s="67" t="str">
        <f>IF(I314=0,"",(I314*'Combined forecast'!I107)/10^6)</f>
        <v/>
      </c>
      <c r="J377" s="67" t="str">
        <f>IF(J314=0,"",(J314*'Combined forecast'!J107)/10^6)</f>
        <v/>
      </c>
      <c r="K377" s="67" t="str">
        <f>IF(K314=0,"",(K314*'Combined forecast'!K107)/10^6)</f>
        <v/>
      </c>
      <c r="L377" s="67" t="str">
        <f>IF(L314=0,"",(L314*'Combined forecast'!L107)/10^6)</f>
        <v/>
      </c>
      <c r="M377" s="67" t="str">
        <f>IF(M314=0,"",(M314*'Combined forecast'!M107)/10^6)</f>
        <v/>
      </c>
      <c r="N377" s="67" t="str">
        <f>IF(N314=0,"",(N314*'Combined forecast'!N107)/10^6)</f>
        <v/>
      </c>
      <c r="O377" s="67" t="str">
        <f>IF(O314=0,"",(O314*'Combined forecast'!O107)/10^6)</f>
        <v/>
      </c>
      <c r="P377" s="67" t="str">
        <f>IF(P314=0,"",(P314*'Combined forecast'!P107)/10^6)</f>
        <v/>
      </c>
      <c r="Q377" s="67" t="str">
        <f>IF(Q314=0,"",(Q314*'Combined forecast'!Q107)/10^6)</f>
        <v/>
      </c>
      <c r="R377" s="67" t="str">
        <f>IF(R314=0,"",(R314*'Combined forecast'!R107)/10^6)</f>
        <v/>
      </c>
    </row>
    <row r="378" spans="2:18" ht="13.8">
      <c r="B378" s="130" t="str">
        <f t="shared" si="120"/>
        <v>DAC</v>
      </c>
      <c r="C378" s="127" t="str">
        <f t="shared" si="120"/>
        <v>56G</v>
      </c>
      <c r="D378" s="127" t="str">
        <f t="shared" si="120"/>
        <v>14G</v>
      </c>
      <c r="E378" s="127" t="str">
        <f t="shared" si="120"/>
        <v>30m</v>
      </c>
      <c r="F378" s="128" t="str">
        <f t="shared" si="120"/>
        <v>QSFP</v>
      </c>
      <c r="G378" s="139" t="str">
        <f>IF(G315=0,"",(G315*'Combined forecast'!G108)/10^6)</f>
        <v/>
      </c>
      <c r="H378" s="67" t="str">
        <f>IF(H315=0,"",(H315*'Combined forecast'!H108)/10^6)</f>
        <v/>
      </c>
      <c r="I378" s="67" t="str">
        <f>IF(I315=0,"",(I315*'Combined forecast'!I108)/10^6)</f>
        <v/>
      </c>
      <c r="J378" s="67" t="str">
        <f>IF(J315=0,"",(J315*'Combined forecast'!J108)/10^6)</f>
        <v/>
      </c>
      <c r="K378" s="67" t="str">
        <f>IF(K315=0,"",(K315*'Combined forecast'!K108)/10^6)</f>
        <v/>
      </c>
      <c r="L378" s="67" t="str">
        <f>IF(L315=0,"",(L315*'Combined forecast'!L108)/10^6)</f>
        <v/>
      </c>
      <c r="M378" s="67" t="str">
        <f>IF(M315=0,"",(M315*'Combined forecast'!M108)/10^6)</f>
        <v/>
      </c>
      <c r="N378" s="67" t="str">
        <f>IF(N315=0,"",(N315*'Combined forecast'!N108)/10^6)</f>
        <v/>
      </c>
      <c r="O378" s="67" t="str">
        <f>IF(O315=0,"",(O315*'Combined forecast'!O108)/10^6)</f>
        <v/>
      </c>
      <c r="P378" s="67" t="str">
        <f>IF(P315=0,"",(P315*'Combined forecast'!P108)/10^6)</f>
        <v/>
      </c>
      <c r="Q378" s="67" t="str">
        <f>IF(Q315=0,"",(Q315*'Combined forecast'!Q108)/10^6)</f>
        <v/>
      </c>
      <c r="R378" s="67" t="str">
        <f>IF(R315=0,"",(R315*'Combined forecast'!R108)/10^6)</f>
        <v/>
      </c>
    </row>
    <row r="379" spans="2:18" ht="13.8">
      <c r="B379" s="130" t="str">
        <f t="shared" si="120"/>
        <v>AEC</v>
      </c>
      <c r="C379" s="127" t="str">
        <f t="shared" si="120"/>
        <v>100G</v>
      </c>
      <c r="D379" s="127" t="str">
        <f t="shared" si="120"/>
        <v>TBD</v>
      </c>
      <c r="E379" s="127" t="str">
        <f t="shared" si="120"/>
        <v>30m</v>
      </c>
      <c r="F379" s="128" t="str">
        <f t="shared" si="120"/>
        <v>QSFP28</v>
      </c>
      <c r="G379" s="139">
        <f>IF(G316=0,"",(G316*'Combined forecast'!G109)/10^6)</f>
        <v>2.1100349663999998</v>
      </c>
      <c r="H379" s="67">
        <f>IF(H316=0,"",(H316*'Combined forecast'!H109)/10^6)</f>
        <v>3.4099950153599989</v>
      </c>
      <c r="I379" s="67" t="str">
        <f>IF(I316=0,"",(I316*'Combined forecast'!I109)/10^6)</f>
        <v/>
      </c>
      <c r="J379" s="67" t="str">
        <f>IF(J316=0,"",(J316*'Combined forecast'!J109)/10^6)</f>
        <v/>
      </c>
      <c r="K379" s="67" t="str">
        <f>IF(K316=0,"",(K316*'Combined forecast'!K109)/10^6)</f>
        <v/>
      </c>
      <c r="L379" s="67" t="str">
        <f>IF(L316=0,"",(L316*'Combined forecast'!L109)/10^6)</f>
        <v/>
      </c>
      <c r="M379" s="67" t="str">
        <f>IF(M316=0,"",(M316*'Combined forecast'!M109)/10^6)</f>
        <v/>
      </c>
      <c r="N379" s="67" t="str">
        <f>IF(N316=0,"",(N316*'Combined forecast'!N109)/10^6)</f>
        <v/>
      </c>
      <c r="O379" s="67" t="str">
        <f>IF(O316=0,"",(O316*'Combined forecast'!O109)/10^6)</f>
        <v/>
      </c>
      <c r="P379" s="67" t="str">
        <f>IF(P316=0,"",(P316*'Combined forecast'!P109)/10^6)</f>
        <v/>
      </c>
      <c r="Q379" s="67" t="str">
        <f>IF(Q316=0,"",(Q316*'Combined forecast'!Q109)/10^6)</f>
        <v/>
      </c>
      <c r="R379" s="67" t="str">
        <f>IF(R316=0,"",(R316*'Combined forecast'!R109)/10^6)</f>
        <v/>
      </c>
    </row>
    <row r="380" spans="2:18" ht="13.8">
      <c r="B380" s="130" t="str">
        <f t="shared" si="120"/>
        <v>DAC/ACC</v>
      </c>
      <c r="C380" s="127" t="str">
        <f t="shared" si="120"/>
        <v>100G</v>
      </c>
      <c r="D380" s="127" t="str">
        <f t="shared" si="120"/>
        <v>TBD</v>
      </c>
      <c r="E380" s="127" t="str">
        <f t="shared" si="120"/>
        <v>30m</v>
      </c>
      <c r="F380" s="128" t="str">
        <f t="shared" si="120"/>
        <v>QSFP28</v>
      </c>
      <c r="G380" s="139">
        <f>IF(G317=0,"",(G317*'Combined forecast'!G110)/10^6)</f>
        <v>7.0334498880000025</v>
      </c>
      <c r="H380" s="67">
        <f>IF(H317=0,"",(H317*'Combined forecast'!H110)/10^6)</f>
        <v>11.366650051200002</v>
      </c>
      <c r="I380" s="67" t="str">
        <f>IF(I317=0,"",(I317*'Combined forecast'!I110)/10^6)</f>
        <v/>
      </c>
      <c r="J380" s="67" t="str">
        <f>IF(J317=0,"",(J317*'Combined forecast'!J110)/10^6)</f>
        <v/>
      </c>
      <c r="K380" s="67" t="str">
        <f>IF(K317=0,"",(K317*'Combined forecast'!K110)/10^6)</f>
        <v/>
      </c>
      <c r="L380" s="67" t="str">
        <f>IF(L317=0,"",(L317*'Combined forecast'!L110)/10^6)</f>
        <v/>
      </c>
      <c r="M380" s="67" t="str">
        <f>IF(M317=0,"",(M317*'Combined forecast'!M110)/10^6)</f>
        <v/>
      </c>
      <c r="N380" s="67" t="str">
        <f>IF(N317=0,"",(N317*'Combined forecast'!N110)/10^6)</f>
        <v/>
      </c>
      <c r="O380" s="67" t="str">
        <f>IF(O317=0,"",(O317*'Combined forecast'!O110)/10^6)</f>
        <v/>
      </c>
      <c r="P380" s="67" t="str">
        <f>IF(P317=0,"",(P317*'Combined forecast'!P110)/10^6)</f>
        <v/>
      </c>
      <c r="Q380" s="67" t="str">
        <f>IF(Q317=0,"",(Q317*'Combined forecast'!Q110)/10^6)</f>
        <v/>
      </c>
      <c r="R380" s="67" t="str">
        <f>IF(R317=0,"",(R317*'Combined forecast'!R110)/10^6)</f>
        <v/>
      </c>
    </row>
    <row r="381" spans="2:18" ht="13.8">
      <c r="B381" s="130" t="str">
        <f t="shared" si="120"/>
        <v>AEC</v>
      </c>
      <c r="C381" s="127" t="str">
        <f t="shared" si="120"/>
        <v>200G</v>
      </c>
      <c r="D381" s="127" t="str">
        <f t="shared" si="120"/>
        <v>TBD</v>
      </c>
      <c r="E381" s="127" t="str">
        <f t="shared" si="120"/>
        <v>30m</v>
      </c>
      <c r="F381" s="128" t="str">
        <f t="shared" si="120"/>
        <v>QSFP56</v>
      </c>
      <c r="G381" s="139" t="str">
        <f>IF(G318=0,"",(G318*'Combined forecast'!G111)/10^6)</f>
        <v/>
      </c>
      <c r="H381" s="67" t="str">
        <f>IF(H318=0,"",(H318*'Combined forecast'!H111)/10^6)</f>
        <v/>
      </c>
      <c r="I381" s="67" t="str">
        <f>IF(I318=0,"",(I318*'Combined forecast'!I111)/10^6)</f>
        <v/>
      </c>
      <c r="J381" s="67" t="str">
        <f>IF(J318=0,"",(J318*'Combined forecast'!J111)/10^6)</f>
        <v/>
      </c>
      <c r="K381" s="67" t="str">
        <f>IF(K318=0,"",(K318*'Combined forecast'!K111)/10^6)</f>
        <v/>
      </c>
      <c r="L381" s="67" t="str">
        <f>IF(L318=0,"",(L318*'Combined forecast'!L111)/10^6)</f>
        <v/>
      </c>
      <c r="M381" s="67" t="str">
        <f>IF(M318=0,"",(M318*'Combined forecast'!M111)/10^6)</f>
        <v/>
      </c>
      <c r="N381" s="67" t="str">
        <f>IF(N318=0,"",(N318*'Combined forecast'!N111)/10^6)</f>
        <v/>
      </c>
      <c r="O381" s="67" t="str">
        <f>IF(O318=0,"",(O318*'Combined forecast'!O111)/10^6)</f>
        <v/>
      </c>
      <c r="P381" s="67" t="str">
        <f>IF(P318=0,"",(P318*'Combined forecast'!P111)/10^6)</f>
        <v/>
      </c>
      <c r="Q381" s="67" t="str">
        <f>IF(Q318=0,"",(Q318*'Combined forecast'!Q111)/10^6)</f>
        <v/>
      </c>
      <c r="R381" s="67" t="str">
        <f>IF(R318=0,"",(R318*'Combined forecast'!R111)/10^6)</f>
        <v/>
      </c>
    </row>
    <row r="382" spans="2:18" ht="13.8">
      <c r="B382" s="130" t="str">
        <f t="shared" si="120"/>
        <v>DAC/ACC</v>
      </c>
      <c r="C382" s="127" t="str">
        <f t="shared" si="120"/>
        <v>200G</v>
      </c>
      <c r="D382" s="127" t="str">
        <f t="shared" si="120"/>
        <v>TBD</v>
      </c>
      <c r="E382" s="127" t="str">
        <f t="shared" si="120"/>
        <v>30m</v>
      </c>
      <c r="F382" s="128" t="str">
        <f t="shared" si="120"/>
        <v>QSFP56</v>
      </c>
      <c r="G382" s="139" t="str">
        <f>IF(G319=0,"",(G319*'Combined forecast'!G112)/10^6)</f>
        <v/>
      </c>
      <c r="H382" s="67" t="str">
        <f>IF(H319=0,"",(H319*'Combined forecast'!H112)/10^6)</f>
        <v/>
      </c>
      <c r="I382" s="67" t="str">
        <f>IF(I319=0,"",(I319*'Combined forecast'!I112)/10^6)</f>
        <v/>
      </c>
      <c r="J382" s="67" t="str">
        <f>IF(J319=0,"",(J319*'Combined forecast'!J112)/10^6)</f>
        <v/>
      </c>
      <c r="K382" s="67" t="str">
        <f>IF(K319=0,"",(K319*'Combined forecast'!K112)/10^6)</f>
        <v/>
      </c>
      <c r="L382" s="67" t="str">
        <f>IF(L319=0,"",(L319*'Combined forecast'!L112)/10^6)</f>
        <v/>
      </c>
      <c r="M382" s="67" t="str">
        <f>IF(M319=0,"",(M319*'Combined forecast'!M112)/10^6)</f>
        <v/>
      </c>
      <c r="N382" s="67" t="str">
        <f>IF(N319=0,"",(N319*'Combined forecast'!N112)/10^6)</f>
        <v/>
      </c>
      <c r="O382" s="67" t="str">
        <f>IF(O319=0,"",(O319*'Combined forecast'!O112)/10^6)</f>
        <v/>
      </c>
      <c r="P382" s="67" t="str">
        <f>IF(P319=0,"",(P319*'Combined forecast'!P112)/10^6)</f>
        <v/>
      </c>
      <c r="Q382" s="67" t="str">
        <f>IF(Q319=0,"",(Q319*'Combined forecast'!Q112)/10^6)</f>
        <v/>
      </c>
      <c r="R382" s="67" t="str">
        <f>IF(R319=0,"",(R319*'Combined forecast'!R112)/10^6)</f>
        <v/>
      </c>
    </row>
    <row r="383" spans="2:18" ht="13.8">
      <c r="B383" s="130" t="str">
        <f t="shared" si="120"/>
        <v>AEC</v>
      </c>
      <c r="C383" s="127" t="str">
        <f t="shared" si="120"/>
        <v>400G</v>
      </c>
      <c r="D383" s="127" t="str">
        <f t="shared" si="120"/>
        <v>TBD</v>
      </c>
      <c r="E383" s="127" t="str">
        <f t="shared" si="120"/>
        <v>30m</v>
      </c>
      <c r="F383" s="128" t="str">
        <f t="shared" si="120"/>
        <v>TBD</v>
      </c>
      <c r="G383" s="139" t="str">
        <f>IF(G320=0,"",(G320*'Combined forecast'!G113)/10^6)</f>
        <v/>
      </c>
      <c r="H383" s="67" t="str">
        <f>IF(H320=0,"",(H320*'Combined forecast'!H113)/10^6)</f>
        <v/>
      </c>
      <c r="I383" s="67" t="str">
        <f>IF(I320=0,"",(I320*'Combined forecast'!I113)/10^6)</f>
        <v/>
      </c>
      <c r="J383" s="67" t="str">
        <f>IF(J320=0,"",(J320*'Combined forecast'!J113)/10^6)</f>
        <v/>
      </c>
      <c r="K383" s="67" t="str">
        <f>IF(K320=0,"",(K320*'Combined forecast'!K113)/10^6)</f>
        <v/>
      </c>
      <c r="L383" s="67" t="str">
        <f>IF(L320=0,"",(L320*'Combined forecast'!L113)/10^6)</f>
        <v/>
      </c>
      <c r="M383" s="67" t="str">
        <f>IF(M320=0,"",(M320*'Combined forecast'!M113)/10^6)</f>
        <v/>
      </c>
      <c r="N383" s="67" t="str">
        <f>IF(N320=0,"",(N320*'Combined forecast'!N113)/10^6)</f>
        <v/>
      </c>
      <c r="O383" s="67" t="str">
        <f>IF(O320=0,"",(O320*'Combined forecast'!O113)/10^6)</f>
        <v/>
      </c>
      <c r="P383" s="67" t="str">
        <f>IF(P320=0,"",(P320*'Combined forecast'!P113)/10^6)</f>
        <v/>
      </c>
      <c r="Q383" s="67" t="str">
        <f>IF(Q320=0,"",(Q320*'Combined forecast'!Q113)/10^6)</f>
        <v/>
      </c>
      <c r="R383" s="67" t="str">
        <f>IF(R320=0,"",(R320*'Combined forecast'!R113)/10^6)</f>
        <v/>
      </c>
    </row>
    <row r="384" spans="2:18" ht="13.8">
      <c r="B384" s="130" t="str">
        <f t="shared" si="120"/>
        <v>DAC/ACC</v>
      </c>
      <c r="C384" s="127" t="str">
        <f t="shared" si="120"/>
        <v>400G</v>
      </c>
      <c r="D384" s="127" t="str">
        <f t="shared" si="120"/>
        <v>TBD</v>
      </c>
      <c r="E384" s="127" t="str">
        <f t="shared" si="120"/>
        <v>30m</v>
      </c>
      <c r="F384" s="128" t="str">
        <f t="shared" si="120"/>
        <v>TBD</v>
      </c>
      <c r="G384" s="139" t="str">
        <f>IF(G321=0,"",(G321*'Combined forecast'!G114)/10^6)</f>
        <v/>
      </c>
      <c r="H384" s="67" t="str">
        <f>IF(H321=0,"",(H321*'Combined forecast'!H114)/10^6)</f>
        <v/>
      </c>
      <c r="I384" s="67" t="str">
        <f>IF(I321=0,"",(I321*'Combined forecast'!I114)/10^6)</f>
        <v/>
      </c>
      <c r="J384" s="67" t="str">
        <f>IF(J321=0,"",(J321*'Combined forecast'!J114)/10^6)</f>
        <v/>
      </c>
      <c r="K384" s="67" t="str">
        <f>IF(K321=0,"",(K321*'Combined forecast'!K114)/10^6)</f>
        <v/>
      </c>
      <c r="L384" s="67" t="str">
        <f>IF(L321=0,"",(L321*'Combined forecast'!L114)/10^6)</f>
        <v/>
      </c>
      <c r="M384" s="67" t="str">
        <f>IF(M321=0,"",(M321*'Combined forecast'!M114)/10^6)</f>
        <v/>
      </c>
      <c r="N384" s="67" t="str">
        <f>IF(N321=0,"",(N321*'Combined forecast'!N114)/10^6)</f>
        <v/>
      </c>
      <c r="O384" s="67" t="str">
        <f>IF(O321=0,"",(O321*'Combined forecast'!O114)/10^6)</f>
        <v/>
      </c>
      <c r="P384" s="67" t="str">
        <f>IF(P321=0,"",(P321*'Combined forecast'!P114)/10^6)</f>
        <v/>
      </c>
      <c r="Q384" s="67" t="str">
        <f>IF(Q321=0,"",(Q321*'Combined forecast'!Q114)/10^6)</f>
        <v/>
      </c>
      <c r="R384" s="67" t="str">
        <f>IF(R321=0,"",(R321*'Combined forecast'!R114)/10^6)</f>
        <v/>
      </c>
    </row>
    <row r="385" spans="2:18" ht="13.8">
      <c r="B385" s="130" t="str">
        <f t="shared" si="120"/>
        <v>AEC</v>
      </c>
      <c r="C385" s="127" t="str">
        <f t="shared" si="120"/>
        <v>800G</v>
      </c>
      <c r="D385" s="127" t="str">
        <f t="shared" si="120"/>
        <v>TBD</v>
      </c>
      <c r="E385" s="127" t="str">
        <f t="shared" si="120"/>
        <v>30m</v>
      </c>
      <c r="F385" s="128" t="str">
        <f t="shared" si="120"/>
        <v>TBD</v>
      </c>
      <c r="G385" s="139" t="str">
        <f>IF(G322=0,"",(G322*'Combined forecast'!G115)/10^6)</f>
        <v/>
      </c>
      <c r="H385" s="67" t="str">
        <f>IF(H322=0,"",(H322*'Combined forecast'!H115)/10^6)</f>
        <v/>
      </c>
      <c r="I385" s="67" t="str">
        <f>IF(I322=0,"",(I322*'Combined forecast'!I115)/10^6)</f>
        <v/>
      </c>
      <c r="J385" s="67" t="str">
        <f>IF(J322=0,"",(J322*'Combined forecast'!J115)/10^6)</f>
        <v/>
      </c>
      <c r="K385" s="67" t="str">
        <f>IF(K322=0,"",(K322*'Combined forecast'!K115)/10^6)</f>
        <v/>
      </c>
      <c r="L385" s="67" t="str">
        <f>IF(L322=0,"",(L322*'Combined forecast'!L115)/10^6)</f>
        <v/>
      </c>
      <c r="M385" s="67" t="str">
        <f>IF(M322=0,"",(M322*'Combined forecast'!M115)/10^6)</f>
        <v/>
      </c>
      <c r="N385" s="67" t="str">
        <f>IF(N322=0,"",(N322*'Combined forecast'!N115)/10^6)</f>
        <v/>
      </c>
      <c r="O385" s="67" t="str">
        <f>IF(O322=0,"",(O322*'Combined forecast'!O115)/10^6)</f>
        <v/>
      </c>
      <c r="P385" s="67" t="str">
        <f>IF(P322=0,"",(P322*'Combined forecast'!P115)/10^6)</f>
        <v/>
      </c>
      <c r="Q385" s="67" t="str">
        <f>IF(Q322=0,"",(Q322*'Combined forecast'!Q115)/10^6)</f>
        <v/>
      </c>
      <c r="R385" s="67" t="str">
        <f>IF(R322=0,"",(R322*'Combined forecast'!R115)/10^6)</f>
        <v/>
      </c>
    </row>
    <row r="386" spans="2:18" ht="13.8">
      <c r="B386" s="130" t="str">
        <f t="shared" si="120"/>
        <v>DAC/ACC</v>
      </c>
      <c r="C386" s="127" t="str">
        <f t="shared" si="120"/>
        <v>800G</v>
      </c>
      <c r="D386" s="127" t="str">
        <f t="shared" si="120"/>
        <v>TBD</v>
      </c>
      <c r="E386" s="127" t="str">
        <f t="shared" si="120"/>
        <v>30m</v>
      </c>
      <c r="F386" s="128" t="str">
        <f t="shared" si="120"/>
        <v>TBD</v>
      </c>
      <c r="G386" s="139" t="str">
        <f>IF(G323=0,"",(G323*'Combined forecast'!G116)/10^6)</f>
        <v/>
      </c>
      <c r="H386" s="67" t="str">
        <f>IF(H323=0,"",(H323*'Combined forecast'!H116)/10^6)</f>
        <v/>
      </c>
      <c r="I386" s="67" t="str">
        <f>IF(I323=0,"",(I323*'Combined forecast'!I116)/10^6)</f>
        <v/>
      </c>
      <c r="J386" s="67" t="str">
        <f>IF(J323=0,"",(J323*'Combined forecast'!J116)/10^6)</f>
        <v/>
      </c>
      <c r="K386" s="67" t="str">
        <f>IF(K323=0,"",(K323*'Combined forecast'!K116)/10^6)</f>
        <v/>
      </c>
      <c r="L386" s="67" t="str">
        <f>IF(L323=0,"",(L323*'Combined forecast'!L116)/10^6)</f>
        <v/>
      </c>
      <c r="M386" s="67" t="str">
        <f>IF(M323=0,"",(M323*'Combined forecast'!M116)/10^6)</f>
        <v/>
      </c>
      <c r="N386" s="67" t="str">
        <f>IF(N323=0,"",(N323*'Combined forecast'!N116)/10^6)</f>
        <v/>
      </c>
      <c r="O386" s="67" t="str">
        <f>IF(O323=0,"",(O323*'Combined forecast'!O116)/10^6)</f>
        <v/>
      </c>
      <c r="P386" s="67" t="str">
        <f>IF(P323=0,"",(P323*'Combined forecast'!P116)/10^6)</f>
        <v/>
      </c>
      <c r="Q386" s="67" t="str">
        <f>IF(Q323=0,"",(Q323*'Combined forecast'!Q116)/10^6)</f>
        <v/>
      </c>
      <c r="R386" s="67" t="str">
        <f>IF(R323=0,"",(R323*'Combined forecast'!R116)/10^6)</f>
        <v/>
      </c>
    </row>
    <row r="387" spans="2:18" ht="13.8">
      <c r="B387" s="130" t="str">
        <f t="shared" si="120"/>
        <v>AEC</v>
      </c>
      <c r="C387" s="127" t="str">
        <f t="shared" si="120"/>
        <v>1.6 Tbps</v>
      </c>
      <c r="D387" s="127" t="str">
        <f t="shared" si="120"/>
        <v>TBD</v>
      </c>
      <c r="E387" s="127" t="str">
        <f t="shared" si="120"/>
        <v>30m</v>
      </c>
      <c r="F387" s="128" t="str">
        <f t="shared" si="120"/>
        <v>TBD</v>
      </c>
      <c r="G387" s="139" t="str">
        <f>IF(G324=0,"",(G324*'Combined forecast'!G117)/10^6)</f>
        <v/>
      </c>
      <c r="H387" s="67" t="str">
        <f>IF(H324=0,"",(H324*'Combined forecast'!H117)/10^6)</f>
        <v/>
      </c>
      <c r="I387" s="67" t="str">
        <f>IF(I324=0,"",(I324*'Combined forecast'!I117)/10^6)</f>
        <v/>
      </c>
      <c r="J387" s="67" t="str">
        <f>IF(J324=0,"",(J324*'Combined forecast'!J117)/10^6)</f>
        <v/>
      </c>
      <c r="K387" s="67" t="str">
        <f>IF(K324=0,"",(K324*'Combined forecast'!K117)/10^6)</f>
        <v/>
      </c>
      <c r="L387" s="67" t="str">
        <f>IF(L324=0,"",(L324*'Combined forecast'!L117)/10^6)</f>
        <v/>
      </c>
      <c r="M387" s="67" t="str">
        <f>IF(M324=0,"",(M324*'Combined forecast'!M117)/10^6)</f>
        <v/>
      </c>
      <c r="N387" s="67" t="str">
        <f>IF(N324=0,"",(N324*'Combined forecast'!N117)/10^6)</f>
        <v/>
      </c>
      <c r="O387" s="67" t="str">
        <f>IF(O324=0,"",(O324*'Combined forecast'!O117)/10^6)</f>
        <v/>
      </c>
      <c r="P387" s="67" t="str">
        <f>IF(P324=0,"",(P324*'Combined forecast'!P117)/10^6)</f>
        <v/>
      </c>
      <c r="Q387" s="67" t="str">
        <f>IF(Q324=0,"",(Q324*'Combined forecast'!Q117)/10^6)</f>
        <v/>
      </c>
      <c r="R387" s="67" t="str">
        <f>IF(R324=0,"",(R324*'Combined forecast'!R117)/10^6)</f>
        <v/>
      </c>
    </row>
    <row r="388" spans="2:18" ht="13.8">
      <c r="B388" s="373" t="str">
        <f t="shared" si="120"/>
        <v>DAC/ACC</v>
      </c>
      <c r="C388" s="374" t="str">
        <f t="shared" si="120"/>
        <v>1.6 Tbps</v>
      </c>
      <c r="D388" s="374" t="str">
        <f t="shared" si="120"/>
        <v>TBD</v>
      </c>
      <c r="E388" s="374" t="str">
        <f t="shared" si="120"/>
        <v>30m</v>
      </c>
      <c r="F388" s="375" t="str">
        <f t="shared" si="120"/>
        <v>TBD</v>
      </c>
      <c r="G388" s="140" t="str">
        <f>IF(G325=0,"",(G325*'Combined forecast'!G118)/10^6)</f>
        <v/>
      </c>
      <c r="H388" s="68" t="str">
        <f>IF(H325=0,"",(H325*'Combined forecast'!H118)/10^6)</f>
        <v/>
      </c>
      <c r="I388" s="68" t="str">
        <f>IF(I325=0,"",(I325*'Combined forecast'!I118)/10^6)</f>
        <v/>
      </c>
      <c r="J388" s="68" t="str">
        <f>IF(J325=0,"",(J325*'Combined forecast'!J118)/10^6)</f>
        <v/>
      </c>
      <c r="K388" s="68" t="str">
        <f>IF(K325=0,"",(K325*'Combined forecast'!K118)/10^6)</f>
        <v/>
      </c>
      <c r="L388" s="68" t="str">
        <f>IF(L325=0,"",(L325*'Combined forecast'!L118)/10^6)</f>
        <v/>
      </c>
      <c r="M388" s="68" t="str">
        <f>IF(M325=0,"",(M325*'Combined forecast'!M118)/10^6)</f>
        <v/>
      </c>
      <c r="N388" s="68" t="str">
        <f>IF(N325=0,"",(N325*'Combined forecast'!N118)/10^6)</f>
        <v/>
      </c>
      <c r="O388" s="68" t="str">
        <f>IF(O325=0,"",(O325*'Combined forecast'!O118)/10^6)</f>
        <v/>
      </c>
      <c r="P388" s="68" t="str">
        <f>IF(P325=0,"",(P325*'Combined forecast'!P118)/10^6)</f>
        <v/>
      </c>
      <c r="Q388" s="68" t="str">
        <f>IF(Q325=0,"",(Q325*'Combined forecast'!Q118)/10^6)</f>
        <v/>
      </c>
      <c r="R388" s="68" t="str">
        <f>IF(R325=0,"",(R325*'Combined forecast'!R118)/10^6)</f>
        <v/>
      </c>
    </row>
    <row r="389" spans="2:18" ht="13.8">
      <c r="B389" s="148" t="s">
        <v>254</v>
      </c>
      <c r="C389" s="260"/>
      <c r="D389" s="260"/>
      <c r="E389" s="259"/>
      <c r="F389" s="261"/>
      <c r="G389" s="412">
        <f t="shared" ref="G389:R389" si="121">SUM(G340:G388)</f>
        <v>243.67043798657107</v>
      </c>
      <c r="H389" s="178">
        <f t="shared" si="121"/>
        <v>267.71486106736791</v>
      </c>
      <c r="I389" s="178">
        <f t="shared" si="121"/>
        <v>0</v>
      </c>
      <c r="J389" s="178">
        <f t="shared" si="121"/>
        <v>0</v>
      </c>
      <c r="K389" s="178">
        <f t="shared" si="121"/>
        <v>0</v>
      </c>
      <c r="L389" s="178">
        <f t="shared" si="121"/>
        <v>0</v>
      </c>
      <c r="M389" s="178">
        <f t="shared" si="121"/>
        <v>0</v>
      </c>
      <c r="N389" s="178">
        <f t="shared" si="121"/>
        <v>0</v>
      </c>
      <c r="O389" s="178">
        <f t="shared" si="121"/>
        <v>0</v>
      </c>
      <c r="P389" s="178">
        <f t="shared" si="121"/>
        <v>0</v>
      </c>
      <c r="Q389" s="178">
        <f t="shared" si="121"/>
        <v>0</v>
      </c>
      <c r="R389" s="178">
        <f t="shared" si="121"/>
        <v>0</v>
      </c>
    </row>
    <row r="391" spans="2:18">
      <c r="G391" s="376">
        <f>G339</f>
        <v>2016</v>
      </c>
      <c r="H391" s="377">
        <f t="shared" ref="H391:R391" si="122">H339</f>
        <v>2017</v>
      </c>
      <c r="I391" s="377">
        <f t="shared" si="122"/>
        <v>2018</v>
      </c>
      <c r="J391" s="377">
        <f t="shared" si="122"/>
        <v>2019</v>
      </c>
      <c r="K391" s="377">
        <f t="shared" si="122"/>
        <v>2020</v>
      </c>
      <c r="L391" s="377">
        <f t="shared" si="122"/>
        <v>2021</v>
      </c>
      <c r="M391" s="377">
        <f t="shared" si="122"/>
        <v>2022</v>
      </c>
      <c r="N391" s="377">
        <f t="shared" si="122"/>
        <v>2023</v>
      </c>
      <c r="O391" s="377">
        <f t="shared" si="122"/>
        <v>2024</v>
      </c>
      <c r="P391" s="377">
        <f t="shared" si="122"/>
        <v>2025</v>
      </c>
      <c r="Q391" s="377">
        <f t="shared" si="122"/>
        <v>2026</v>
      </c>
      <c r="R391" s="377">
        <f t="shared" si="122"/>
        <v>2027</v>
      </c>
    </row>
    <row r="392" spans="2:18">
      <c r="B392" s="415" t="s">
        <v>255</v>
      </c>
      <c r="C392" s="413"/>
      <c r="D392" s="413"/>
      <c r="E392" s="413"/>
      <c r="F392" s="414"/>
      <c r="G392" s="437">
        <f>SUM(G340:G374)</f>
        <v>93.560782800807957</v>
      </c>
      <c r="H392" s="438">
        <f t="shared" ref="H392:R392" si="123">SUM(H340:H374)</f>
        <v>131.73709355454542</v>
      </c>
      <c r="I392" s="438">
        <f t="shared" si="123"/>
        <v>0</v>
      </c>
      <c r="J392" s="438">
        <f t="shared" si="123"/>
        <v>0</v>
      </c>
      <c r="K392" s="438">
        <f t="shared" si="123"/>
        <v>0</v>
      </c>
      <c r="L392" s="438">
        <f t="shared" si="123"/>
        <v>0</v>
      </c>
      <c r="M392" s="438">
        <f t="shared" si="123"/>
        <v>0</v>
      </c>
      <c r="N392" s="438">
        <f t="shared" si="123"/>
        <v>0</v>
      </c>
      <c r="O392" s="438">
        <f t="shared" si="123"/>
        <v>0</v>
      </c>
      <c r="P392" s="438">
        <f t="shared" si="123"/>
        <v>0</v>
      </c>
      <c r="Q392" s="438">
        <f t="shared" si="123"/>
        <v>0</v>
      </c>
      <c r="R392" s="438">
        <f t="shared" si="123"/>
        <v>0</v>
      </c>
    </row>
    <row r="393" spans="2:18">
      <c r="B393" s="416" t="s">
        <v>256</v>
      </c>
      <c r="C393" s="20"/>
      <c r="D393" s="20"/>
      <c r="E393" s="20"/>
      <c r="F393" s="227"/>
      <c r="G393" s="417">
        <f>SUM(G375:G388)</f>
        <v>150.10965518576307</v>
      </c>
      <c r="H393" s="418">
        <f t="shared" ref="H393:R393" si="124">SUM(H375:H388)</f>
        <v>135.97776751282251</v>
      </c>
      <c r="I393" s="418">
        <f t="shared" si="124"/>
        <v>0</v>
      </c>
      <c r="J393" s="418">
        <f t="shared" si="124"/>
        <v>0</v>
      </c>
      <c r="K393" s="418">
        <f t="shared" si="124"/>
        <v>0</v>
      </c>
      <c r="L393" s="418">
        <f t="shared" si="124"/>
        <v>0</v>
      </c>
      <c r="M393" s="418">
        <f t="shared" si="124"/>
        <v>0</v>
      </c>
      <c r="N393" s="418">
        <f t="shared" si="124"/>
        <v>0</v>
      </c>
      <c r="O393" s="418">
        <f t="shared" si="124"/>
        <v>0</v>
      </c>
      <c r="P393" s="418">
        <f t="shared" si="124"/>
        <v>0</v>
      </c>
      <c r="Q393" s="418">
        <f t="shared" si="124"/>
        <v>0</v>
      </c>
      <c r="R393" s="418">
        <f t="shared" si="124"/>
        <v>0</v>
      </c>
    </row>
    <row r="394" spans="2:18">
      <c r="G394" s="21"/>
      <c r="H394" s="21"/>
      <c r="I394" s="21"/>
      <c r="J394" s="21"/>
      <c r="K394" s="21"/>
      <c r="L394" s="21"/>
      <c r="M394" s="21"/>
      <c r="N394" s="21"/>
      <c r="O394" s="21"/>
      <c r="P394" s="21"/>
      <c r="Q394" s="21"/>
      <c r="R394" s="21"/>
    </row>
  </sheetData>
  <mergeCells count="72">
    <mergeCell ref="B84:F84"/>
    <mergeCell ref="B85:F85"/>
    <mergeCell ref="B86:F86"/>
    <mergeCell ref="B79:F79"/>
    <mergeCell ref="B80:F80"/>
    <mergeCell ref="B81:F81"/>
    <mergeCell ref="B82:F82"/>
    <mergeCell ref="B83:F83"/>
    <mergeCell ref="B74:F74"/>
    <mergeCell ref="B75:F75"/>
    <mergeCell ref="B76:F76"/>
    <mergeCell ref="B77:F77"/>
    <mergeCell ref="B78:F78"/>
    <mergeCell ref="B69:F69"/>
    <mergeCell ref="B70:F70"/>
    <mergeCell ref="B71:F71"/>
    <mergeCell ref="B72:F72"/>
    <mergeCell ref="B73:F73"/>
    <mergeCell ref="B14:F14"/>
    <mergeCell ref="B9:F9"/>
    <mergeCell ref="B10:F10"/>
    <mergeCell ref="B11:F11"/>
    <mergeCell ref="B12:F12"/>
    <mergeCell ref="B13:F13"/>
    <mergeCell ref="B21:F21"/>
    <mergeCell ref="B15:F15"/>
    <mergeCell ref="B16:F16"/>
    <mergeCell ref="B17:F17"/>
    <mergeCell ref="B18:F18"/>
    <mergeCell ref="B19:F19"/>
    <mergeCell ref="B20:F20"/>
    <mergeCell ref="B22:F22"/>
    <mergeCell ref="B26:F26"/>
    <mergeCell ref="B25:F25"/>
    <mergeCell ref="B24:F24"/>
    <mergeCell ref="B23:F23"/>
    <mergeCell ref="B29:F29"/>
    <mergeCell ref="B30:F30"/>
    <mergeCell ref="B31:F31"/>
    <mergeCell ref="B32:F32"/>
    <mergeCell ref="B33:F33"/>
    <mergeCell ref="B34:F34"/>
    <mergeCell ref="B35:F35"/>
    <mergeCell ref="B36:F36"/>
    <mergeCell ref="B37:F37"/>
    <mergeCell ref="B38:F38"/>
    <mergeCell ref="B39:F39"/>
    <mergeCell ref="B40:F40"/>
    <mergeCell ref="B41:F41"/>
    <mergeCell ref="B46:F46"/>
    <mergeCell ref="B42:F42"/>
    <mergeCell ref="B43:F43"/>
    <mergeCell ref="B44:F44"/>
    <mergeCell ref="B45:F45"/>
    <mergeCell ref="B49:F49"/>
    <mergeCell ref="B50:F50"/>
    <mergeCell ref="B51:F51"/>
    <mergeCell ref="B52:F52"/>
    <mergeCell ref="B53:F53"/>
    <mergeCell ref="B54:F54"/>
    <mergeCell ref="B55:F55"/>
    <mergeCell ref="B56:F56"/>
    <mergeCell ref="B57:F57"/>
    <mergeCell ref="B58:F58"/>
    <mergeCell ref="B59:F59"/>
    <mergeCell ref="B60:F60"/>
    <mergeCell ref="B61:F61"/>
    <mergeCell ref="B66:F66"/>
    <mergeCell ref="B62:F62"/>
    <mergeCell ref="B63:F63"/>
    <mergeCell ref="B64:F64"/>
    <mergeCell ref="B65:F65"/>
  </mergeCells>
  <conditionalFormatting sqref="P5">
    <cfRule type="expression" dxfId="1" priority="2">
      <formula>P4&lt;&gt;P5</formula>
    </cfRule>
  </conditionalFormatting>
  <conditionalFormatting sqref="Q5:R5">
    <cfRule type="expression" dxfId="0" priority="1">
      <formula>ROUND(Q4,-2)&lt;&gt;ROUND(Q5,-2)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M79"/>
  <sheetViews>
    <sheetView showGridLines="0" zoomScale="80" zoomScaleNormal="80" zoomScalePageLayoutView="80" workbookViewId="0"/>
  </sheetViews>
  <sheetFormatPr defaultColWidth="9.21875" defaultRowHeight="13.8"/>
  <cols>
    <col min="1" max="1" width="4.44140625" style="65" customWidth="1"/>
    <col min="2" max="3" width="15" style="65" customWidth="1"/>
    <col min="4" max="4" width="14.21875" style="65" customWidth="1"/>
    <col min="5" max="5" width="13.44140625" style="65" customWidth="1"/>
    <col min="6" max="6" width="24.44140625" style="65" customWidth="1"/>
    <col min="7" max="7" width="27.44140625" style="65" customWidth="1"/>
    <col min="8" max="8" width="25.21875" style="65" customWidth="1"/>
    <col min="9" max="9" width="28.21875" style="65" customWidth="1"/>
    <col min="10" max="10" width="18.44140625" style="65" customWidth="1"/>
    <col min="11" max="14" width="11.44140625" style="65" customWidth="1"/>
    <col min="15" max="16384" width="9.21875" style="65"/>
  </cols>
  <sheetData>
    <row r="1" spans="1:9">
      <c r="A1" s="104"/>
      <c r="B1" s="104"/>
      <c r="C1" s="104"/>
      <c r="D1" s="104"/>
      <c r="E1" s="104"/>
      <c r="F1" s="104"/>
      <c r="G1" s="104"/>
      <c r="H1" s="104"/>
      <c r="I1" s="104"/>
    </row>
    <row r="2" spans="1:9" ht="18">
      <c r="A2" s="104"/>
      <c r="B2" s="446" t="str">
        <f>Introduction!$B$2</f>
        <v>LightCounting High-Speed Cables Forecast</v>
      </c>
      <c r="C2" s="105"/>
      <c r="D2" s="104"/>
      <c r="E2" s="104"/>
      <c r="F2" s="104"/>
      <c r="G2" s="104"/>
      <c r="H2" s="104"/>
      <c r="I2" s="104"/>
    </row>
    <row r="3" spans="1:9" ht="15.6">
      <c r="A3" s="104"/>
      <c r="B3" s="189" t="str">
        <f>Introduction!$B$3</f>
        <v>December 2022 - sample template</v>
      </c>
      <c r="C3" s="189"/>
      <c r="D3" s="104"/>
      <c r="E3" s="104"/>
      <c r="F3" s="104"/>
      <c r="G3" s="104"/>
      <c r="H3" s="104"/>
      <c r="I3" s="104"/>
    </row>
    <row r="4" spans="1:9">
      <c r="A4" s="104"/>
      <c r="D4" s="104"/>
      <c r="E4" s="104"/>
      <c r="F4" s="104"/>
      <c r="G4" s="104"/>
      <c r="H4" s="104"/>
      <c r="I4" s="104"/>
    </row>
    <row r="5" spans="1:9" ht="22.05" customHeight="1">
      <c r="B5" s="348" t="s">
        <v>251</v>
      </c>
      <c r="C5" s="349"/>
      <c r="D5" s="349"/>
      <c r="E5" s="348" t="s">
        <v>252</v>
      </c>
      <c r="F5" s="349"/>
      <c r="G5" s="350"/>
    </row>
    <row r="6" spans="1:9" ht="18">
      <c r="B6" s="351" t="s">
        <v>189</v>
      </c>
      <c r="C6" s="168"/>
      <c r="D6" s="168"/>
      <c r="E6" s="403" t="s">
        <v>248</v>
      </c>
      <c r="F6" s="396"/>
      <c r="G6" s="404"/>
    </row>
    <row r="7" spans="1:9" ht="18">
      <c r="B7" s="351" t="s">
        <v>190</v>
      </c>
      <c r="C7" s="168"/>
      <c r="D7" s="168"/>
      <c r="E7" s="399" t="s">
        <v>192</v>
      </c>
      <c r="F7" s="398"/>
      <c r="G7" s="405"/>
    </row>
    <row r="8" spans="1:9" ht="18">
      <c r="B8" s="351" t="s">
        <v>191</v>
      </c>
      <c r="C8" s="168"/>
      <c r="D8" s="168"/>
      <c r="E8" s="397" t="s">
        <v>249</v>
      </c>
      <c r="F8" s="398"/>
      <c r="G8" s="405"/>
    </row>
    <row r="9" spans="1:9" ht="18">
      <c r="B9" s="351" t="s">
        <v>250</v>
      </c>
      <c r="C9" s="168"/>
      <c r="D9" s="168"/>
      <c r="E9" s="401" t="s">
        <v>193</v>
      </c>
      <c r="F9" s="398"/>
      <c r="G9" s="405"/>
    </row>
    <row r="10" spans="1:9" ht="18">
      <c r="B10" s="386"/>
      <c r="C10" s="352"/>
      <c r="D10" s="352"/>
      <c r="E10" s="402" t="s">
        <v>194</v>
      </c>
      <c r="F10" s="400"/>
      <c r="G10" s="406"/>
    </row>
    <row r="12" spans="1:9" ht="21">
      <c r="A12" s="104"/>
      <c r="B12" s="154" t="s">
        <v>253</v>
      </c>
      <c r="C12" s="154"/>
      <c r="D12" s="104"/>
      <c r="E12" s="104"/>
      <c r="F12" s="104"/>
      <c r="G12" s="104"/>
      <c r="H12" s="104"/>
    </row>
    <row r="13" spans="1:9" ht="26.25" customHeight="1">
      <c r="B13" s="112" t="s">
        <v>55</v>
      </c>
      <c r="C13" s="112" t="s">
        <v>126</v>
      </c>
      <c r="D13" s="112" t="s">
        <v>56</v>
      </c>
      <c r="E13" s="112" t="s">
        <v>52</v>
      </c>
      <c r="F13" s="112" t="s">
        <v>53</v>
      </c>
      <c r="G13" s="112" t="s">
        <v>59</v>
      </c>
      <c r="H13" s="112" t="s">
        <v>58</v>
      </c>
    </row>
    <row r="14" spans="1:9" ht="14.4">
      <c r="B14" s="113" t="s">
        <v>47</v>
      </c>
      <c r="C14" s="250" t="s">
        <v>64</v>
      </c>
      <c r="D14" s="121" t="s">
        <v>68</v>
      </c>
      <c r="E14" s="113">
        <v>1</v>
      </c>
      <c r="F14" s="169" t="s">
        <v>82</v>
      </c>
      <c r="G14" s="114" t="s">
        <v>43</v>
      </c>
      <c r="H14" s="114" t="str">
        <f>B14&amp;" "&amp;E14&amp;"x"&amp;D14&amp;" "&amp;F14</f>
        <v>AOC 1x≤10G SFP+</v>
      </c>
    </row>
    <row r="15" spans="1:9" ht="14.4">
      <c r="B15" s="113" t="s">
        <v>47</v>
      </c>
      <c r="C15" s="250" t="s">
        <v>71</v>
      </c>
      <c r="D15" s="121" t="s">
        <v>68</v>
      </c>
      <c r="E15" s="113">
        <v>4</v>
      </c>
      <c r="F15" s="194" t="s">
        <v>42</v>
      </c>
      <c r="G15" s="114" t="s">
        <v>96</v>
      </c>
      <c r="H15" s="114" t="str">
        <f>B15&amp;" "&amp;E15&amp;"x"&amp;D15&amp;" "&amp;F15</f>
        <v>AOC 4x≤10G QSFP+</v>
      </c>
    </row>
    <row r="16" spans="1:9" ht="14.4">
      <c r="B16" s="113" t="s">
        <v>47</v>
      </c>
      <c r="C16" s="121" t="s">
        <v>71</v>
      </c>
      <c r="D16" s="121" t="s">
        <v>68</v>
      </c>
      <c r="E16" s="221" t="s">
        <v>99</v>
      </c>
      <c r="F16" s="194" t="s">
        <v>104</v>
      </c>
      <c r="G16" s="212" t="s">
        <v>101</v>
      </c>
      <c r="H16" s="65" t="s">
        <v>100</v>
      </c>
    </row>
    <row r="17" spans="2:13" ht="14.4">
      <c r="B17" s="113" t="s">
        <v>47</v>
      </c>
      <c r="C17" s="210" t="s">
        <v>127</v>
      </c>
      <c r="D17" s="210" t="s">
        <v>77</v>
      </c>
      <c r="E17" s="113">
        <v>12</v>
      </c>
      <c r="F17" s="113" t="s">
        <v>19</v>
      </c>
      <c r="G17" s="114" t="s">
        <v>48</v>
      </c>
      <c r="H17" s="114" t="str">
        <f>B17&amp;" "&amp;E17&amp;"x"&amp;D17&amp;" "&amp;F17</f>
        <v>AOC 12x≤12.5G CXP</v>
      </c>
    </row>
    <row r="18" spans="2:13" ht="14.4">
      <c r="B18" s="277" t="s">
        <v>45</v>
      </c>
      <c r="C18" s="152" t="s">
        <v>127</v>
      </c>
      <c r="D18" s="152" t="s">
        <v>78</v>
      </c>
      <c r="E18" s="113">
        <v>12</v>
      </c>
      <c r="F18" s="277" t="s">
        <v>211</v>
      </c>
      <c r="G18" s="114"/>
      <c r="H18" s="114" t="str">
        <f>B18&amp;" "&amp;E18&amp;"x"&amp;D18&amp;" "&amp;F18</f>
        <v>EOM 12x≤12.5G XCVR - CXP</v>
      </c>
    </row>
    <row r="19" spans="2:13" ht="14.4">
      <c r="B19" s="113" t="s">
        <v>47</v>
      </c>
      <c r="C19" s="222" t="s">
        <v>128</v>
      </c>
      <c r="D19" s="222" t="s">
        <v>65</v>
      </c>
      <c r="E19" s="113">
        <v>4</v>
      </c>
      <c r="F19" s="113" t="s">
        <v>42</v>
      </c>
      <c r="G19" s="114" t="s">
        <v>97</v>
      </c>
      <c r="H19" s="114" t="str">
        <f>B19&amp;" "&amp;E19&amp;"x"&amp;D19&amp;" "&amp;F19</f>
        <v>AOC 4x12-14G QSFP+</v>
      </c>
    </row>
    <row r="20" spans="2:13" ht="14.4">
      <c r="B20" s="113" t="s">
        <v>47</v>
      </c>
      <c r="C20" s="223" t="s">
        <v>72</v>
      </c>
      <c r="D20" s="223" t="s">
        <v>113</v>
      </c>
      <c r="E20" s="113">
        <v>4</v>
      </c>
      <c r="F20" s="113" t="s">
        <v>54</v>
      </c>
      <c r="G20" s="212" t="s">
        <v>105</v>
      </c>
      <c r="H20" s="114" t="str">
        <f>B20&amp;" "&amp;E20&amp;"x"&amp;D20&amp;" "&amp;F20</f>
        <v>AOC 4x12G Mini-SAS HD</v>
      </c>
    </row>
    <row r="21" spans="2:13" ht="14.4">
      <c r="B21" s="113" t="s">
        <v>47</v>
      </c>
      <c r="C21" s="121" t="s">
        <v>70</v>
      </c>
      <c r="D21" s="121" t="s">
        <v>66</v>
      </c>
      <c r="E21" s="113">
        <v>1</v>
      </c>
      <c r="F21" s="169" t="s">
        <v>81</v>
      </c>
      <c r="G21" s="114"/>
      <c r="H21" s="114" t="str">
        <f>B21&amp;" "&amp;E21&amp;"x"&amp;D21&amp;" "&amp;F21</f>
        <v>AOC 1x25-28G SFP28</v>
      </c>
    </row>
    <row r="22" spans="2:13" ht="14.4">
      <c r="B22" s="113" t="s">
        <v>47</v>
      </c>
      <c r="C22" s="121" t="s">
        <v>74</v>
      </c>
      <c r="D22" s="277" t="s">
        <v>141</v>
      </c>
      <c r="E22" s="277" t="s">
        <v>142</v>
      </c>
      <c r="F22" s="277" t="s">
        <v>143</v>
      </c>
      <c r="G22" s="281" t="s">
        <v>146</v>
      </c>
      <c r="H22" s="281" t="s">
        <v>147</v>
      </c>
    </row>
    <row r="23" spans="2:13" ht="14.4">
      <c r="B23" s="113" t="s">
        <v>47</v>
      </c>
      <c r="C23" s="121" t="s">
        <v>74</v>
      </c>
      <c r="D23" s="121" t="s">
        <v>66</v>
      </c>
      <c r="E23" s="221" t="s">
        <v>99</v>
      </c>
      <c r="F23" s="194" t="s">
        <v>103</v>
      </c>
      <c r="G23" s="212" t="s">
        <v>102</v>
      </c>
      <c r="H23" s="65" t="s">
        <v>151</v>
      </c>
    </row>
    <row r="24" spans="2:13" ht="14.4">
      <c r="B24" s="113" t="s">
        <v>47</v>
      </c>
      <c r="C24" s="194" t="s">
        <v>129</v>
      </c>
      <c r="D24" s="194" t="s">
        <v>114</v>
      </c>
      <c r="E24" s="113">
        <v>4</v>
      </c>
      <c r="F24" s="113" t="s">
        <v>54</v>
      </c>
      <c r="G24" s="212" t="s">
        <v>106</v>
      </c>
      <c r="H24" s="114" t="str">
        <f t="shared" ref="H24:H29" si="0">B24&amp;" "&amp;E24&amp;"x"&amp;D24&amp;" "&amp;F24</f>
        <v>AOC 4x24G Mini-SAS HD</v>
      </c>
    </row>
    <row r="25" spans="2:13" ht="14.4">
      <c r="B25" s="113" t="s">
        <v>47</v>
      </c>
      <c r="C25" s="121" t="s">
        <v>76</v>
      </c>
      <c r="D25" s="121" t="s">
        <v>66</v>
      </c>
      <c r="E25" s="113">
        <v>12</v>
      </c>
      <c r="F25" s="180" t="s">
        <v>86</v>
      </c>
      <c r="G25" s="114"/>
      <c r="H25" s="114" t="str">
        <f t="shared" si="0"/>
        <v>AOC 12x25-28G CXP28</v>
      </c>
    </row>
    <row r="26" spans="2:13" ht="14.4">
      <c r="B26" s="113" t="s">
        <v>45</v>
      </c>
      <c r="C26" s="121" t="s">
        <v>130</v>
      </c>
      <c r="D26" s="121" t="s">
        <v>66</v>
      </c>
      <c r="E26" s="250" t="s">
        <v>125</v>
      </c>
      <c r="F26" s="113" t="s">
        <v>46</v>
      </c>
      <c r="G26" s="209" t="s">
        <v>80</v>
      </c>
      <c r="H26" s="114" t="str">
        <f t="shared" si="0"/>
        <v>EOM 4,8,12,16,24x25-28G XCVR</v>
      </c>
    </row>
    <row r="27" spans="2:13" ht="14.4">
      <c r="B27" s="277" t="s">
        <v>45</v>
      </c>
      <c r="C27" s="121" t="s">
        <v>76</v>
      </c>
      <c r="D27" s="121" t="s">
        <v>66</v>
      </c>
      <c r="E27" s="113">
        <v>12</v>
      </c>
      <c r="F27" s="277" t="s">
        <v>210</v>
      </c>
      <c r="G27" s="114"/>
      <c r="H27" s="114" t="str">
        <f t="shared" si="0"/>
        <v>EOM 12x25-28G XCVR - CXP28</v>
      </c>
      <c r="M27" s="73"/>
    </row>
    <row r="28" spans="2:13" ht="14.4">
      <c r="B28" s="113" t="s">
        <v>47</v>
      </c>
      <c r="C28" s="121" t="s">
        <v>73</v>
      </c>
      <c r="D28" s="121" t="s">
        <v>67</v>
      </c>
      <c r="E28" s="113">
        <v>1</v>
      </c>
      <c r="F28" s="113" t="s">
        <v>60</v>
      </c>
      <c r="G28" s="114"/>
      <c r="H28" s="114" t="str">
        <f t="shared" si="0"/>
        <v>AOC 1x50-56G SFP56</v>
      </c>
    </row>
    <row r="29" spans="2:13" ht="14.4">
      <c r="B29" s="113" t="s">
        <v>47</v>
      </c>
      <c r="C29" s="121" t="s">
        <v>75</v>
      </c>
      <c r="D29" s="121" t="s">
        <v>67</v>
      </c>
      <c r="E29" s="113">
        <v>4</v>
      </c>
      <c r="F29" s="113" t="s">
        <v>61</v>
      </c>
      <c r="G29" s="192" t="s">
        <v>98</v>
      </c>
      <c r="H29" s="114" t="str">
        <f t="shared" si="0"/>
        <v>AOC 4x50-56G QSFP56</v>
      </c>
    </row>
    <row r="30" spans="2:13" ht="14.4">
      <c r="B30" s="113" t="s">
        <v>45</v>
      </c>
      <c r="C30" s="277" t="s">
        <v>213</v>
      </c>
      <c r="D30" s="277" t="s">
        <v>139</v>
      </c>
      <c r="E30" s="194" t="s">
        <v>107</v>
      </c>
      <c r="F30" s="113" t="s">
        <v>44</v>
      </c>
      <c r="G30" s="281" t="s">
        <v>212</v>
      </c>
      <c r="H30" s="281" t="s">
        <v>212</v>
      </c>
    </row>
    <row r="31" spans="2:13" ht="14.4">
      <c r="B31" s="113" t="s">
        <v>47</v>
      </c>
      <c r="C31" s="277" t="s">
        <v>136</v>
      </c>
      <c r="D31" s="277" t="s">
        <v>139</v>
      </c>
      <c r="E31" s="280" t="s">
        <v>140</v>
      </c>
      <c r="F31" s="277" t="s">
        <v>138</v>
      </c>
      <c r="G31" s="281" t="s">
        <v>209</v>
      </c>
      <c r="H31" s="281" t="s">
        <v>148</v>
      </c>
      <c r="J31" s="73"/>
    </row>
    <row r="32" spans="2:13" ht="14.4">
      <c r="B32" s="113" t="s">
        <v>47</v>
      </c>
      <c r="C32" s="277" t="s">
        <v>136</v>
      </c>
      <c r="D32" s="277" t="s">
        <v>139</v>
      </c>
      <c r="E32" s="280" t="s">
        <v>144</v>
      </c>
      <c r="F32" s="277" t="s">
        <v>138</v>
      </c>
      <c r="G32" s="281" t="s">
        <v>145</v>
      </c>
      <c r="H32" s="281" t="s">
        <v>150</v>
      </c>
      <c r="J32" s="73"/>
    </row>
    <row r="33" spans="2:10" ht="14.4">
      <c r="B33" s="250" t="s">
        <v>47</v>
      </c>
      <c r="C33" s="250" t="s">
        <v>117</v>
      </c>
      <c r="D33" s="250" t="s">
        <v>74</v>
      </c>
      <c r="E33" s="356" t="s">
        <v>118</v>
      </c>
      <c r="F33" s="277" t="s">
        <v>137</v>
      </c>
      <c r="G33" s="228" t="s">
        <v>119</v>
      </c>
      <c r="H33" s="281" t="s">
        <v>149</v>
      </c>
      <c r="J33" s="73"/>
    </row>
    <row r="34" spans="2:10" ht="14.4">
      <c r="B34" s="391" t="s">
        <v>47</v>
      </c>
      <c r="C34" s="390" t="s">
        <v>224</v>
      </c>
      <c r="D34" s="390" t="s">
        <v>74</v>
      </c>
      <c r="E34" s="392">
        <v>16</v>
      </c>
      <c r="F34" s="390" t="s">
        <v>239</v>
      </c>
      <c r="G34" s="265"/>
      <c r="H34" s="393" t="s">
        <v>240</v>
      </c>
      <c r="J34" s="73"/>
    </row>
    <row r="35" spans="2:10" ht="14.4">
      <c r="B35" s="277" t="s">
        <v>188</v>
      </c>
      <c r="C35" s="250" t="s">
        <v>115</v>
      </c>
      <c r="D35" s="250" t="s">
        <v>74</v>
      </c>
      <c r="E35" s="249" t="s">
        <v>121</v>
      </c>
      <c r="F35" s="250" t="s">
        <v>44</v>
      </c>
      <c r="G35" s="228"/>
      <c r="H35" s="228" t="str">
        <f t="shared" ref="H35:H63" si="1">B35&amp;" "&amp;C35&amp;" "&amp;E35</f>
        <v>CPO 800 Gbps 30m</v>
      </c>
      <c r="J35" s="73"/>
    </row>
    <row r="36" spans="2:10" ht="14.4">
      <c r="B36" s="250" t="s">
        <v>188</v>
      </c>
      <c r="C36" s="250" t="s">
        <v>115</v>
      </c>
      <c r="D36" s="250" t="s">
        <v>74</v>
      </c>
      <c r="E36" s="250" t="s">
        <v>108</v>
      </c>
      <c r="F36" s="250" t="s">
        <v>44</v>
      </c>
      <c r="G36" s="165"/>
      <c r="H36" s="228" t="str">
        <f t="shared" si="1"/>
        <v>CPO 800 Gbps 100 m</v>
      </c>
    </row>
    <row r="37" spans="2:10" ht="14.4">
      <c r="B37" s="250" t="s">
        <v>188</v>
      </c>
      <c r="C37" s="250" t="s">
        <v>115</v>
      </c>
      <c r="D37" s="250" t="s">
        <v>74</v>
      </c>
      <c r="E37" s="250" t="s">
        <v>109</v>
      </c>
      <c r="F37" s="250" t="s">
        <v>44</v>
      </c>
      <c r="G37" s="165"/>
      <c r="H37" s="228" t="str">
        <f t="shared" si="1"/>
        <v>CPO 800 Gbps 500 m</v>
      </c>
    </row>
    <row r="38" spans="2:10" ht="14.4">
      <c r="B38" s="250" t="s">
        <v>188</v>
      </c>
      <c r="C38" s="250" t="s">
        <v>115</v>
      </c>
      <c r="D38" s="250" t="s">
        <v>74</v>
      </c>
      <c r="E38" s="280" t="s">
        <v>110</v>
      </c>
      <c r="F38" s="250" t="s">
        <v>44</v>
      </c>
      <c r="G38" s="228"/>
      <c r="H38" s="228" t="str">
        <f t="shared" si="1"/>
        <v>CPO 800 Gbps 2 km</v>
      </c>
      <c r="J38" s="73"/>
    </row>
    <row r="39" spans="2:10" ht="14.4">
      <c r="B39" s="250" t="s">
        <v>188</v>
      </c>
      <c r="C39" s="250" t="s">
        <v>115</v>
      </c>
      <c r="D39" s="250" t="s">
        <v>74</v>
      </c>
      <c r="E39" s="277" t="s">
        <v>111</v>
      </c>
      <c r="F39" s="250" t="s">
        <v>44</v>
      </c>
      <c r="G39" s="165"/>
      <c r="H39" s="228" t="str">
        <f t="shared" si="1"/>
        <v>CPO 800 Gbps 10 km</v>
      </c>
    </row>
    <row r="40" spans="2:10" ht="14.4">
      <c r="B40" s="250" t="s">
        <v>188</v>
      </c>
      <c r="C40" s="250" t="s">
        <v>116</v>
      </c>
      <c r="D40" s="250" t="s">
        <v>74</v>
      </c>
      <c r="E40" s="249" t="s">
        <v>121</v>
      </c>
      <c r="F40" s="250" t="s">
        <v>44</v>
      </c>
      <c r="G40" s="165"/>
      <c r="H40" s="228" t="str">
        <f t="shared" si="1"/>
        <v>CPO 1.6 Tbps 30m</v>
      </c>
    </row>
    <row r="41" spans="2:10" ht="14.4">
      <c r="B41" s="250" t="s">
        <v>188</v>
      </c>
      <c r="C41" s="250" t="s">
        <v>116</v>
      </c>
      <c r="D41" s="250" t="s">
        <v>74</v>
      </c>
      <c r="E41" s="250" t="s">
        <v>108</v>
      </c>
      <c r="F41" s="250" t="s">
        <v>44</v>
      </c>
      <c r="G41" s="228"/>
      <c r="H41" s="228" t="str">
        <f t="shared" si="1"/>
        <v>CPO 1.6 Tbps 100 m</v>
      </c>
      <c r="J41" s="73"/>
    </row>
    <row r="42" spans="2:10" ht="14.4">
      <c r="B42" s="250" t="s">
        <v>188</v>
      </c>
      <c r="C42" s="250" t="s">
        <v>116</v>
      </c>
      <c r="D42" s="250" t="s">
        <v>74</v>
      </c>
      <c r="E42" s="250" t="s">
        <v>109</v>
      </c>
      <c r="F42" s="250" t="s">
        <v>44</v>
      </c>
      <c r="G42" s="165"/>
      <c r="H42" s="228" t="str">
        <f t="shared" si="1"/>
        <v>CPO 1.6 Tbps 500 m</v>
      </c>
    </row>
    <row r="43" spans="2:10" ht="14.4">
      <c r="B43" s="250" t="s">
        <v>188</v>
      </c>
      <c r="C43" s="250" t="s">
        <v>116</v>
      </c>
      <c r="D43" s="250" t="s">
        <v>74</v>
      </c>
      <c r="E43" s="280" t="s">
        <v>110</v>
      </c>
      <c r="F43" s="250" t="s">
        <v>44</v>
      </c>
      <c r="G43" s="165"/>
      <c r="H43" s="228" t="str">
        <f t="shared" si="1"/>
        <v>CPO 1.6 Tbps 2 km</v>
      </c>
    </row>
    <row r="44" spans="2:10" ht="14.4">
      <c r="B44" s="250" t="s">
        <v>188</v>
      </c>
      <c r="C44" s="250" t="s">
        <v>116</v>
      </c>
      <c r="D44" s="250" t="s">
        <v>74</v>
      </c>
      <c r="E44" s="277" t="s">
        <v>111</v>
      </c>
      <c r="F44" s="250" t="s">
        <v>44</v>
      </c>
      <c r="G44" s="228"/>
      <c r="H44" s="228" t="str">
        <f t="shared" si="1"/>
        <v>CPO 1.6 Tbps 10 km</v>
      </c>
      <c r="J44" s="73"/>
    </row>
    <row r="45" spans="2:10" ht="14.4">
      <c r="B45" s="425" t="s">
        <v>260</v>
      </c>
      <c r="C45" s="277"/>
      <c r="D45" s="380"/>
      <c r="E45" s="249"/>
      <c r="F45" s="250"/>
      <c r="G45" s="165"/>
      <c r="H45" s="228" t="str">
        <f t="shared" si="1"/>
        <v xml:space="preserve">External laser module (Comb) -LP  </v>
      </c>
    </row>
    <row r="46" spans="2:10" ht="14.4">
      <c r="B46" s="425" t="s">
        <v>261</v>
      </c>
      <c r="C46" s="250"/>
      <c r="D46" s="380"/>
      <c r="E46" s="250"/>
      <c r="F46" s="250"/>
      <c r="G46" s="228"/>
      <c r="H46" s="228" t="str">
        <f t="shared" si="1"/>
        <v xml:space="preserve">External laser module (Comb) - HP  </v>
      </c>
      <c r="J46" s="73"/>
    </row>
    <row r="47" spans="2:10" ht="14.4">
      <c r="B47" s="425" t="s">
        <v>258</v>
      </c>
      <c r="C47" s="250"/>
      <c r="D47" s="380"/>
      <c r="E47" s="250"/>
      <c r="F47" s="250"/>
      <c r="G47" s="165"/>
      <c r="H47" s="228" t="str">
        <f t="shared" si="1"/>
        <v xml:space="preserve">External laser module (4xDR4)  </v>
      </c>
    </row>
    <row r="48" spans="2:10" ht="14.4">
      <c r="B48" s="425" t="s">
        <v>259</v>
      </c>
      <c r="C48" s="250"/>
      <c r="D48" s="380"/>
      <c r="E48" s="280"/>
      <c r="F48" s="250"/>
      <c r="G48" s="165"/>
      <c r="H48" s="228" t="str">
        <f t="shared" si="1"/>
        <v xml:space="preserve">External laser module (4xFR4)  </v>
      </c>
    </row>
    <row r="49" spans="1:10" ht="14.4">
      <c r="B49" s="390"/>
      <c r="C49" s="390"/>
      <c r="D49" s="394"/>
      <c r="E49" s="391"/>
      <c r="F49" s="390"/>
      <c r="G49" s="265"/>
      <c r="H49" s="265"/>
    </row>
    <row r="50" spans="1:10" customFormat="1" ht="14.4">
      <c r="B50" s="250" t="s">
        <v>232</v>
      </c>
      <c r="C50" s="250" t="s">
        <v>64</v>
      </c>
      <c r="D50" s="380" t="s">
        <v>44</v>
      </c>
      <c r="E50" s="280" t="s">
        <v>121</v>
      </c>
      <c r="F50" s="250" t="s">
        <v>233</v>
      </c>
      <c r="G50" s="165"/>
      <c r="H50" s="330" t="str">
        <f t="shared" si="1"/>
        <v>DAC 10G 30m</v>
      </c>
      <c r="I50" s="65"/>
    </row>
    <row r="51" spans="1:10" customFormat="1" ht="14.4">
      <c r="B51" s="250" t="s">
        <v>232</v>
      </c>
      <c r="C51" s="250" t="s">
        <v>70</v>
      </c>
      <c r="D51" s="380" t="s">
        <v>44</v>
      </c>
      <c r="E51" s="280" t="s">
        <v>121</v>
      </c>
      <c r="F51" s="250" t="s">
        <v>82</v>
      </c>
      <c r="G51" s="165"/>
      <c r="H51" s="228" t="str">
        <f t="shared" si="1"/>
        <v>DAC 25G 30m</v>
      </c>
      <c r="I51" s="65"/>
    </row>
    <row r="52" spans="1:10" customFormat="1" ht="14.4">
      <c r="B52" s="250" t="s">
        <v>232</v>
      </c>
      <c r="C52" s="250" t="s">
        <v>71</v>
      </c>
      <c r="D52" s="380" t="s">
        <v>64</v>
      </c>
      <c r="E52" s="280" t="s">
        <v>121</v>
      </c>
      <c r="F52" s="250" t="s">
        <v>234</v>
      </c>
      <c r="G52" s="165"/>
      <c r="H52" s="228" t="str">
        <f t="shared" si="1"/>
        <v>DAC 40G 30m</v>
      </c>
      <c r="I52" s="65"/>
    </row>
    <row r="53" spans="1:10" customFormat="1" ht="14.4">
      <c r="B53" s="250" t="s">
        <v>232</v>
      </c>
      <c r="C53" s="250" t="s">
        <v>128</v>
      </c>
      <c r="D53" s="380" t="s">
        <v>235</v>
      </c>
      <c r="E53" s="280" t="s">
        <v>121</v>
      </c>
      <c r="F53" s="250" t="s">
        <v>234</v>
      </c>
      <c r="G53" s="165"/>
      <c r="H53" s="228" t="str">
        <f t="shared" si="1"/>
        <v>DAC 56G 30m</v>
      </c>
      <c r="I53" s="65"/>
    </row>
    <row r="54" spans="1:10" customFormat="1" ht="14.4">
      <c r="B54" s="277" t="s">
        <v>276</v>
      </c>
      <c r="C54" s="250" t="s">
        <v>74</v>
      </c>
      <c r="D54" s="380" t="s">
        <v>44</v>
      </c>
      <c r="E54" s="280" t="s">
        <v>121</v>
      </c>
      <c r="F54" s="250" t="s">
        <v>50</v>
      </c>
      <c r="G54" s="165"/>
      <c r="H54" s="228" t="str">
        <f t="shared" si="1"/>
        <v>AEC 100G 30m</v>
      </c>
      <c r="I54" s="65"/>
    </row>
    <row r="55" spans="1:10" customFormat="1" ht="14.4">
      <c r="B55" s="277" t="s">
        <v>277</v>
      </c>
      <c r="C55" s="250" t="s">
        <v>74</v>
      </c>
      <c r="D55" s="380" t="s">
        <v>44</v>
      </c>
      <c r="E55" s="280" t="s">
        <v>121</v>
      </c>
      <c r="F55" s="250" t="s">
        <v>50</v>
      </c>
      <c r="G55" s="165"/>
      <c r="H55" s="228" t="str">
        <f t="shared" si="1"/>
        <v>DAC/ACC 100G 30m</v>
      </c>
      <c r="I55" s="65"/>
    </row>
    <row r="56" spans="1:10" customFormat="1" ht="14.4">
      <c r="B56" s="277" t="s">
        <v>276</v>
      </c>
      <c r="C56" s="250" t="s">
        <v>75</v>
      </c>
      <c r="D56" s="380" t="s">
        <v>44</v>
      </c>
      <c r="E56" s="280" t="s">
        <v>121</v>
      </c>
      <c r="F56" s="250" t="s">
        <v>61</v>
      </c>
      <c r="G56" s="165"/>
      <c r="H56" s="228" t="str">
        <f t="shared" si="1"/>
        <v>AEC 200G 30m</v>
      </c>
      <c r="I56" s="65"/>
    </row>
    <row r="57" spans="1:10" customFormat="1" ht="14.4">
      <c r="B57" s="277" t="s">
        <v>277</v>
      </c>
      <c r="C57" s="250" t="s">
        <v>75</v>
      </c>
      <c r="D57" s="380" t="s">
        <v>44</v>
      </c>
      <c r="E57" s="280" t="s">
        <v>121</v>
      </c>
      <c r="F57" s="250" t="s">
        <v>61</v>
      </c>
      <c r="G57" s="165"/>
      <c r="H57" s="228" t="str">
        <f t="shared" si="1"/>
        <v>DAC/ACC 200G 30m</v>
      </c>
      <c r="I57" s="65"/>
    </row>
    <row r="58" spans="1:10" customFormat="1" ht="14.4">
      <c r="B58" s="277" t="s">
        <v>276</v>
      </c>
      <c r="C58" s="250" t="s">
        <v>112</v>
      </c>
      <c r="D58" s="380" t="s">
        <v>44</v>
      </c>
      <c r="E58" s="280" t="s">
        <v>121</v>
      </c>
      <c r="F58" s="250" t="s">
        <v>44</v>
      </c>
      <c r="G58" s="165"/>
      <c r="H58" s="228" t="str">
        <f t="shared" si="1"/>
        <v>AEC 400G 30m</v>
      </c>
      <c r="I58" s="65"/>
    </row>
    <row r="59" spans="1:10" customFormat="1" ht="14.4">
      <c r="B59" s="277" t="s">
        <v>277</v>
      </c>
      <c r="C59" s="250" t="s">
        <v>112</v>
      </c>
      <c r="D59" s="380" t="s">
        <v>44</v>
      </c>
      <c r="E59" s="280" t="s">
        <v>121</v>
      </c>
      <c r="F59" s="250" t="s">
        <v>44</v>
      </c>
      <c r="G59" s="165"/>
      <c r="H59" s="228" t="str">
        <f t="shared" si="1"/>
        <v>DAC/ACC 400G 30m</v>
      </c>
      <c r="I59" s="65"/>
    </row>
    <row r="60" spans="1:10" customFormat="1" ht="14.4">
      <c r="B60" s="277" t="s">
        <v>276</v>
      </c>
      <c r="C60" s="250" t="s">
        <v>117</v>
      </c>
      <c r="D60" s="380" t="s">
        <v>44</v>
      </c>
      <c r="E60" s="280" t="s">
        <v>121</v>
      </c>
      <c r="F60" s="250" t="s">
        <v>44</v>
      </c>
      <c r="G60" s="165"/>
      <c r="H60" s="228" t="str">
        <f t="shared" si="1"/>
        <v>AEC 800G 30m</v>
      </c>
      <c r="I60" s="65"/>
    </row>
    <row r="61" spans="1:10" customFormat="1" ht="14.4">
      <c r="B61" s="277" t="s">
        <v>277</v>
      </c>
      <c r="C61" s="250" t="str">
        <f>C60</f>
        <v>800G</v>
      </c>
      <c r="D61" s="380" t="s">
        <v>44</v>
      </c>
      <c r="E61" s="280" t="s">
        <v>121</v>
      </c>
      <c r="F61" s="250" t="s">
        <v>44</v>
      </c>
      <c r="G61" s="165"/>
      <c r="H61" s="228" t="str">
        <f t="shared" si="1"/>
        <v>DAC/ACC 800G 30m</v>
      </c>
      <c r="I61" s="65"/>
    </row>
    <row r="62" spans="1:10" customFormat="1" ht="14.4">
      <c r="B62" s="277" t="s">
        <v>276</v>
      </c>
      <c r="C62" s="250" t="s">
        <v>116</v>
      </c>
      <c r="D62" s="380" t="s">
        <v>44</v>
      </c>
      <c r="E62" s="280" t="s">
        <v>121</v>
      </c>
      <c r="F62" s="250" t="s">
        <v>44</v>
      </c>
      <c r="G62" s="165"/>
      <c r="H62" s="228" t="str">
        <f t="shared" si="1"/>
        <v>AEC 1.6 Tbps 30m</v>
      </c>
      <c r="I62" s="65"/>
    </row>
    <row r="63" spans="1:10" customFormat="1" ht="14.4">
      <c r="B63" s="391" t="s">
        <v>277</v>
      </c>
      <c r="C63" s="390" t="s">
        <v>116</v>
      </c>
      <c r="D63" s="394" t="s">
        <v>44</v>
      </c>
      <c r="E63" s="395" t="s">
        <v>121</v>
      </c>
      <c r="F63" s="390" t="s">
        <v>44</v>
      </c>
      <c r="G63" s="364"/>
      <c r="H63" s="265" t="str">
        <f t="shared" si="1"/>
        <v>DAC/ACC 1.6 Tbps 30m</v>
      </c>
      <c r="I63" s="65"/>
    </row>
    <row r="64" spans="1:10" ht="14.4">
      <c r="A64" s="250"/>
      <c r="B64" s="250"/>
      <c r="D64" s="250"/>
      <c r="E64" s="250"/>
      <c r="F64" s="250"/>
      <c r="G64" s="228"/>
      <c r="H64" s="228"/>
      <c r="J64" s="73"/>
    </row>
    <row r="66" spans="2:11" ht="18.75" customHeight="1">
      <c r="B66" s="154" t="s">
        <v>83</v>
      </c>
      <c r="C66" s="154"/>
    </row>
    <row r="67" spans="2:11" ht="14.4">
      <c r="B67" s="240" t="s">
        <v>122</v>
      </c>
      <c r="C67" s="240"/>
      <c r="D67" s="115"/>
      <c r="E67" s="115"/>
      <c r="F67" s="115"/>
      <c r="G67" s="115"/>
      <c r="H67" s="115"/>
      <c r="I67" s="115"/>
      <c r="J67" s="114"/>
      <c r="K67" s="114"/>
    </row>
    <row r="68" spans="2:11" ht="14.4">
      <c r="B68" s="254" t="s">
        <v>14</v>
      </c>
      <c r="C68" s="255"/>
      <c r="D68" s="255"/>
      <c r="E68" s="256"/>
      <c r="F68" s="450" t="s">
        <v>18</v>
      </c>
      <c r="G68" s="451"/>
      <c r="H68" s="115"/>
      <c r="I68" s="115"/>
      <c r="J68" s="114"/>
      <c r="K68" s="114"/>
    </row>
    <row r="69" spans="2:11" ht="15" customHeight="1">
      <c r="B69" s="123" t="s">
        <v>176</v>
      </c>
      <c r="C69" s="252"/>
      <c r="D69" s="124"/>
      <c r="E69" s="125"/>
      <c r="F69" s="452" t="s">
        <v>177</v>
      </c>
      <c r="G69" s="449"/>
      <c r="H69" s="115"/>
      <c r="I69" s="115"/>
      <c r="J69" s="114"/>
      <c r="K69" s="114"/>
    </row>
    <row r="70" spans="2:11" ht="15" customHeight="1">
      <c r="B70" s="170" t="s">
        <v>285</v>
      </c>
      <c r="C70" s="253"/>
      <c r="D70" s="124"/>
      <c r="E70" s="125"/>
      <c r="F70" s="448" t="s">
        <v>17</v>
      </c>
      <c r="G70" s="449"/>
      <c r="H70" s="115"/>
      <c r="I70" s="115"/>
      <c r="J70" s="114"/>
      <c r="K70" s="114"/>
    </row>
    <row r="71" spans="2:11" ht="15" customHeight="1">
      <c r="B71" s="126" t="s">
        <v>286</v>
      </c>
      <c r="C71" s="213"/>
      <c r="D71" s="116"/>
      <c r="E71" s="117"/>
      <c r="F71" s="453" t="s">
        <v>287</v>
      </c>
      <c r="G71" s="449"/>
      <c r="H71" s="115"/>
      <c r="I71" s="115"/>
      <c r="J71" s="114"/>
      <c r="K71" s="114"/>
    </row>
    <row r="72" spans="2:11" ht="15.75" customHeight="1">
      <c r="B72" s="126" t="s">
        <v>174</v>
      </c>
      <c r="C72" s="213"/>
      <c r="D72" s="116"/>
      <c r="E72" s="117"/>
      <c r="F72" s="453" t="s">
        <v>178</v>
      </c>
      <c r="G72" s="449"/>
      <c r="H72" s="115"/>
      <c r="I72" s="115"/>
      <c r="J72" s="114"/>
      <c r="K72" s="114"/>
    </row>
    <row r="74" spans="2:11" ht="15.75" customHeight="1"/>
    <row r="75" spans="2:11" ht="15.75" customHeight="1"/>
    <row r="79" spans="2:11">
      <c r="I79" s="66"/>
    </row>
  </sheetData>
  <mergeCells count="5">
    <mergeCell ref="F70:G70"/>
    <mergeCell ref="F68:G68"/>
    <mergeCell ref="F69:G69"/>
    <mergeCell ref="F71:G71"/>
    <mergeCell ref="F72:G7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2:O61"/>
  <sheetViews>
    <sheetView showGridLines="0" zoomScale="80" zoomScaleNormal="80" zoomScalePageLayoutView="80" workbookViewId="0"/>
  </sheetViews>
  <sheetFormatPr defaultColWidth="9.21875" defaultRowHeight="13.2"/>
  <cols>
    <col min="1" max="1" width="4.44140625" style="1" customWidth="1"/>
    <col min="2" max="2" width="16.44140625" style="1" customWidth="1"/>
    <col min="3" max="13" width="9" style="1" customWidth="1"/>
    <col min="14" max="14" width="11.44140625" style="1" bestFit="1" customWidth="1"/>
    <col min="15" max="16384" width="9.21875" style="1"/>
  </cols>
  <sheetData>
    <row r="2" spans="1:15" ht="15.6">
      <c r="B2" s="446" t="str">
        <f>Introduction!$B$2</f>
        <v>LightCounting High-Speed Cables Forecast</v>
      </c>
    </row>
    <row r="3" spans="1:15" ht="15">
      <c r="B3" s="189" t="str">
        <f>Introduction!$B$3</f>
        <v>December 2022 - sample template</v>
      </c>
    </row>
    <row r="5" spans="1:15" ht="17.399999999999999">
      <c r="B5" s="4" t="s">
        <v>0</v>
      </c>
    </row>
    <row r="6" spans="1:15">
      <c r="B6" s="47" t="s">
        <v>28</v>
      </c>
      <c r="C6" s="6"/>
      <c r="D6" s="6"/>
      <c r="E6" s="6"/>
      <c r="F6" s="6"/>
      <c r="G6" s="6"/>
      <c r="H6" s="6"/>
      <c r="I6" s="6"/>
      <c r="J6" s="6"/>
      <c r="K6" s="6"/>
      <c r="L6" s="6"/>
      <c r="M6" s="6"/>
      <c r="N6" s="6"/>
      <c r="O6" s="6"/>
    </row>
    <row r="7" spans="1:15">
      <c r="B7" s="47" t="s">
        <v>31</v>
      </c>
      <c r="C7" s="6"/>
      <c r="D7" s="6"/>
      <c r="E7" s="6"/>
      <c r="F7" s="6"/>
      <c r="G7" s="6"/>
      <c r="H7" s="6"/>
      <c r="I7" s="6"/>
      <c r="J7" s="6"/>
      <c r="K7" s="6"/>
      <c r="L7" s="6"/>
      <c r="M7" s="6"/>
      <c r="N7" s="6"/>
      <c r="O7" s="6"/>
    </row>
    <row r="8" spans="1:15">
      <c r="B8" s="47" t="s">
        <v>29</v>
      </c>
      <c r="C8" s="7"/>
      <c r="D8" s="7"/>
      <c r="E8" s="7"/>
      <c r="F8" s="7"/>
      <c r="G8" s="7"/>
      <c r="H8" s="7"/>
      <c r="I8" s="7"/>
      <c r="J8" s="6"/>
      <c r="K8" s="6"/>
      <c r="L8" s="6"/>
      <c r="M8" s="6"/>
      <c r="N8" s="6"/>
      <c r="O8" s="6"/>
    </row>
    <row r="9" spans="1:15">
      <c r="A9" s="47"/>
      <c r="B9" s="1" t="s">
        <v>30</v>
      </c>
      <c r="C9" s="6"/>
      <c r="D9" s="6"/>
      <c r="E9" s="6"/>
      <c r="F9" s="6"/>
      <c r="G9" s="6"/>
      <c r="H9" s="6"/>
      <c r="I9" s="6"/>
      <c r="J9" s="6"/>
      <c r="K9" s="6"/>
      <c r="L9" s="6"/>
      <c r="M9" s="6"/>
      <c r="N9" s="6"/>
      <c r="O9" s="6"/>
    </row>
    <row r="10" spans="1:15">
      <c r="B10" s="6"/>
      <c r="C10" s="6"/>
      <c r="D10" s="6"/>
      <c r="E10" s="6"/>
      <c r="F10" s="6"/>
      <c r="G10" s="6"/>
      <c r="H10" s="6"/>
      <c r="I10" s="6"/>
      <c r="J10" s="6"/>
      <c r="K10" s="6"/>
      <c r="L10" s="6"/>
      <c r="M10" s="6"/>
      <c r="N10" s="6"/>
      <c r="O10" s="6"/>
    </row>
    <row r="11" spans="1:15">
      <c r="B11" s="6"/>
      <c r="C11" s="6"/>
      <c r="D11" s="6"/>
      <c r="E11" s="6"/>
      <c r="F11" s="6"/>
      <c r="G11" s="6"/>
      <c r="H11" s="6"/>
      <c r="I11" s="6"/>
      <c r="J11" s="6"/>
      <c r="K11" s="6"/>
      <c r="L11" s="6"/>
      <c r="M11" s="6"/>
      <c r="N11" s="6"/>
      <c r="O11" s="6"/>
    </row>
    <row r="12" spans="1:15">
      <c r="B12" s="6"/>
      <c r="C12" s="6"/>
      <c r="D12" s="6"/>
      <c r="E12" s="6"/>
      <c r="F12" s="6"/>
      <c r="G12" s="6"/>
      <c r="H12" s="6"/>
      <c r="I12" s="6"/>
      <c r="J12" s="6"/>
      <c r="K12" s="6"/>
      <c r="L12" s="6"/>
      <c r="M12" s="6"/>
      <c r="N12" s="6"/>
      <c r="O12" s="6"/>
    </row>
    <row r="13" spans="1:15">
      <c r="B13" s="6"/>
      <c r="C13" s="6"/>
      <c r="D13" s="6"/>
      <c r="E13" s="6"/>
      <c r="F13" s="6"/>
      <c r="G13" s="6"/>
      <c r="H13" s="6"/>
      <c r="I13" s="6"/>
      <c r="J13" s="6"/>
      <c r="K13" s="6"/>
      <c r="L13" s="6"/>
      <c r="M13" s="6"/>
      <c r="N13" s="6"/>
      <c r="O13" s="6"/>
    </row>
    <row r="14" spans="1:15">
      <c r="B14" s="6"/>
      <c r="C14" s="6"/>
      <c r="D14" s="6"/>
      <c r="E14" s="6"/>
      <c r="F14" s="6"/>
      <c r="G14" s="6"/>
      <c r="H14" s="6"/>
      <c r="I14" s="6"/>
      <c r="J14" s="6"/>
      <c r="K14" s="6"/>
      <c r="L14" s="6"/>
      <c r="M14" s="6"/>
      <c r="N14" s="6"/>
      <c r="O14" s="6"/>
    </row>
    <row r="15" spans="1:15">
      <c r="B15" s="6"/>
      <c r="C15" s="6"/>
      <c r="D15" s="6"/>
      <c r="E15" s="6"/>
      <c r="F15" s="6"/>
      <c r="G15" s="6"/>
      <c r="H15" s="6"/>
      <c r="I15" s="6"/>
      <c r="J15" s="6"/>
      <c r="K15" s="6"/>
      <c r="L15" s="6"/>
      <c r="M15" s="6"/>
      <c r="N15" s="6"/>
      <c r="O15" s="6"/>
    </row>
    <row r="16" spans="1:15">
      <c r="B16" s="6"/>
      <c r="C16" s="6"/>
      <c r="D16" s="6"/>
      <c r="E16" s="6"/>
      <c r="F16" s="6"/>
      <c r="G16" s="6"/>
      <c r="H16" s="6"/>
      <c r="I16" s="6"/>
      <c r="J16" s="6"/>
      <c r="K16" s="6"/>
      <c r="L16" s="6"/>
      <c r="M16" s="6"/>
      <c r="N16" s="6"/>
      <c r="O16" s="6"/>
    </row>
    <row r="17" spans="2:15">
      <c r="B17" s="6"/>
      <c r="C17" s="6"/>
      <c r="D17" s="6"/>
      <c r="E17" s="6"/>
      <c r="F17" s="6"/>
      <c r="G17" s="6"/>
      <c r="H17" s="6"/>
      <c r="I17" s="6"/>
      <c r="J17" s="6"/>
      <c r="K17" s="6"/>
      <c r="L17" s="6"/>
      <c r="M17" s="6"/>
      <c r="N17" s="6"/>
      <c r="O17" s="6"/>
    </row>
    <row r="18" spans="2:15">
      <c r="B18" s="6"/>
      <c r="C18" s="6"/>
      <c r="D18" s="6"/>
      <c r="E18" s="6"/>
      <c r="F18" s="6"/>
      <c r="G18" s="6"/>
      <c r="H18" s="6"/>
      <c r="I18" s="6"/>
      <c r="J18" s="6"/>
      <c r="K18" s="6"/>
      <c r="L18" s="6"/>
      <c r="M18" s="6"/>
      <c r="N18" s="6"/>
      <c r="O18" s="6"/>
    </row>
    <row r="19" spans="2:15">
      <c r="B19" s="6"/>
      <c r="C19" s="6"/>
      <c r="D19" s="6"/>
      <c r="E19" s="6"/>
      <c r="F19" s="6"/>
      <c r="G19" s="6"/>
      <c r="H19" s="6"/>
      <c r="I19" s="6"/>
      <c r="J19" s="6"/>
      <c r="K19" s="6"/>
      <c r="L19" s="6"/>
      <c r="M19" s="6"/>
      <c r="N19" s="6"/>
      <c r="O19" s="6"/>
    </row>
    <row r="20" spans="2:15">
      <c r="B20" s="6"/>
      <c r="C20" s="6"/>
      <c r="D20" s="6"/>
      <c r="E20" s="6"/>
      <c r="F20" s="6"/>
      <c r="G20" s="6"/>
      <c r="H20" s="6"/>
      <c r="I20" s="6"/>
      <c r="J20" s="6"/>
      <c r="K20" s="6"/>
      <c r="L20" s="6"/>
      <c r="M20" s="6"/>
      <c r="N20" s="6"/>
      <c r="O20" s="6"/>
    </row>
    <row r="21" spans="2:15">
      <c r="B21" s="6"/>
      <c r="C21" s="6"/>
      <c r="D21" s="6"/>
      <c r="E21" s="6"/>
      <c r="F21" s="6"/>
      <c r="G21" s="6"/>
      <c r="H21" s="6"/>
      <c r="I21" s="6"/>
      <c r="J21" s="6"/>
      <c r="K21" s="6"/>
      <c r="L21" s="6"/>
      <c r="M21" s="6"/>
      <c r="N21" s="6"/>
      <c r="O21" s="6"/>
    </row>
    <row r="22" spans="2:15">
      <c r="B22" s="49" t="s">
        <v>36</v>
      </c>
      <c r="C22" s="6"/>
      <c r="D22" s="6"/>
      <c r="E22" s="6"/>
      <c r="F22" s="6"/>
      <c r="G22" s="6"/>
      <c r="H22" s="6"/>
      <c r="I22" s="6"/>
      <c r="J22" s="6"/>
      <c r="K22" s="6"/>
      <c r="L22" s="6"/>
      <c r="M22" s="6"/>
      <c r="N22" s="6"/>
      <c r="O22" s="6"/>
    </row>
    <row r="23" spans="2:15">
      <c r="B23" s="49" t="s">
        <v>32</v>
      </c>
      <c r="C23" s="6"/>
      <c r="D23" s="6"/>
      <c r="E23" s="6"/>
      <c r="F23" s="6"/>
      <c r="G23" s="6"/>
      <c r="H23" s="6"/>
      <c r="I23" s="6"/>
      <c r="J23" s="6"/>
      <c r="K23" s="6"/>
      <c r="L23" s="6"/>
      <c r="M23" s="6"/>
      <c r="N23" s="6"/>
      <c r="O23" s="6"/>
    </row>
    <row r="24" spans="2:15">
      <c r="B24" s="49" t="s">
        <v>33</v>
      </c>
      <c r="C24" s="6"/>
      <c r="D24" s="6"/>
      <c r="E24" s="6"/>
      <c r="F24" s="6"/>
      <c r="G24" s="6"/>
      <c r="H24" s="6"/>
      <c r="I24" s="6"/>
      <c r="J24" s="6"/>
      <c r="K24" s="6"/>
      <c r="L24" s="6"/>
      <c r="M24" s="6"/>
      <c r="N24" s="6"/>
      <c r="O24" s="6"/>
    </row>
    <row r="25" spans="2:15">
      <c r="B25" s="5"/>
      <c r="C25" s="6"/>
      <c r="D25" s="6"/>
      <c r="E25" s="6"/>
      <c r="F25" s="6"/>
      <c r="G25" s="6"/>
      <c r="H25" s="6"/>
      <c r="I25" s="6"/>
      <c r="J25" s="6"/>
      <c r="K25" s="6"/>
      <c r="L25" s="6"/>
      <c r="M25" s="6"/>
      <c r="N25" s="6"/>
      <c r="O25" s="6"/>
    </row>
    <row r="26" spans="2:15">
      <c r="B26" s="5"/>
      <c r="C26" s="6"/>
      <c r="D26" s="6"/>
      <c r="E26" s="6"/>
      <c r="F26" s="6"/>
      <c r="G26" s="6"/>
      <c r="H26" s="6"/>
      <c r="I26" s="6"/>
      <c r="J26" s="6"/>
      <c r="K26" s="6"/>
      <c r="L26" s="6"/>
      <c r="M26" s="6"/>
      <c r="N26" s="6"/>
      <c r="O26" s="6"/>
    </row>
    <row r="27" spans="2:15">
      <c r="B27" s="48" t="s">
        <v>1</v>
      </c>
      <c r="C27" s="6"/>
      <c r="D27" s="6"/>
      <c r="E27" s="6"/>
      <c r="F27" s="6"/>
      <c r="G27" s="6"/>
      <c r="H27" s="6"/>
      <c r="I27" s="6"/>
      <c r="J27" s="6"/>
      <c r="K27" s="6"/>
      <c r="L27" s="6"/>
      <c r="M27" s="6"/>
      <c r="N27" s="6"/>
      <c r="O27" s="6"/>
    </row>
    <row r="28" spans="2:15">
      <c r="B28" s="6"/>
      <c r="C28" s="6"/>
      <c r="D28" s="6"/>
      <c r="E28" s="6"/>
      <c r="F28" s="6"/>
      <c r="G28" s="6"/>
      <c r="H28" s="6"/>
      <c r="I28" s="6"/>
      <c r="J28" s="6"/>
      <c r="K28" s="6"/>
      <c r="L28" s="6"/>
      <c r="M28" s="6"/>
      <c r="N28" s="6"/>
      <c r="O28" s="6"/>
    </row>
    <row r="29" spans="2:15">
      <c r="B29" s="47" t="s">
        <v>2</v>
      </c>
      <c r="C29" s="47"/>
      <c r="D29" s="47"/>
      <c r="E29" s="47"/>
      <c r="F29" s="47"/>
      <c r="G29" s="47"/>
      <c r="H29" s="47"/>
      <c r="I29" s="47"/>
      <c r="J29" s="6"/>
      <c r="K29" s="6"/>
      <c r="L29" s="6"/>
      <c r="M29" s="6"/>
      <c r="N29" s="6"/>
      <c r="O29" s="6"/>
    </row>
    <row r="30" spans="2:15">
      <c r="B30" s="47"/>
      <c r="C30" s="47"/>
      <c r="D30" s="47"/>
      <c r="E30" s="47"/>
      <c r="F30" s="47"/>
      <c r="G30" s="47"/>
      <c r="H30" s="47"/>
      <c r="I30" s="47"/>
      <c r="J30" s="6"/>
      <c r="K30" s="6"/>
      <c r="L30" s="6"/>
      <c r="M30" s="6"/>
      <c r="N30" s="6"/>
      <c r="O30" s="6"/>
    </row>
    <row r="31" spans="2:15">
      <c r="B31" s="48" t="s">
        <v>3</v>
      </c>
      <c r="C31" s="47"/>
      <c r="D31" s="47"/>
      <c r="E31" s="47"/>
      <c r="F31" s="47"/>
      <c r="G31" s="47"/>
      <c r="H31" s="47"/>
      <c r="I31" s="47"/>
      <c r="J31" s="6"/>
      <c r="K31" s="6"/>
      <c r="L31" s="6"/>
      <c r="M31" s="6"/>
      <c r="N31" s="6"/>
      <c r="O31" s="6"/>
    </row>
    <row r="32" spans="2:15">
      <c r="B32" s="48"/>
      <c r="C32" s="47"/>
      <c r="D32" s="47"/>
      <c r="E32" s="47"/>
      <c r="F32" s="47"/>
      <c r="G32" s="47"/>
      <c r="H32" s="47"/>
      <c r="I32" s="47"/>
      <c r="J32" s="6"/>
      <c r="K32" s="6"/>
      <c r="L32" s="6"/>
      <c r="M32" s="6"/>
      <c r="N32" s="6"/>
      <c r="O32" s="6"/>
    </row>
    <row r="33" spans="2:15" ht="13.5" customHeight="1">
      <c r="B33" s="454" t="s">
        <v>4</v>
      </c>
      <c r="C33" s="454"/>
      <c r="D33" s="454"/>
      <c r="E33" s="454"/>
      <c r="F33" s="454"/>
      <c r="G33" s="454"/>
      <c r="H33" s="454"/>
      <c r="I33" s="454"/>
      <c r="J33" s="6"/>
      <c r="K33" s="6"/>
      <c r="L33" s="6"/>
      <c r="M33" s="6"/>
      <c r="N33" s="6"/>
      <c r="O33" s="6"/>
    </row>
    <row r="34" spans="2:15">
      <c r="B34" s="454"/>
      <c r="C34" s="454"/>
      <c r="D34" s="454"/>
      <c r="E34" s="454"/>
      <c r="F34" s="454"/>
      <c r="G34" s="454"/>
      <c r="H34" s="454"/>
      <c r="I34" s="454"/>
      <c r="J34" s="6"/>
      <c r="K34" s="6"/>
      <c r="L34" s="6"/>
      <c r="M34" s="6"/>
      <c r="N34" s="6"/>
      <c r="O34" s="6"/>
    </row>
    <row r="35" spans="2:15">
      <c r="B35" s="454"/>
      <c r="C35" s="454"/>
      <c r="D35" s="454"/>
      <c r="E35" s="454"/>
      <c r="F35" s="454"/>
      <c r="G35" s="454"/>
      <c r="H35" s="454"/>
      <c r="I35" s="454"/>
      <c r="J35" s="6"/>
      <c r="K35" s="6"/>
      <c r="L35" s="6"/>
      <c r="M35" s="6"/>
      <c r="N35" s="6"/>
      <c r="O35" s="6"/>
    </row>
    <row r="36" spans="2:15">
      <c r="B36" s="454"/>
      <c r="C36" s="454"/>
      <c r="D36" s="454"/>
      <c r="E36" s="454"/>
      <c r="F36" s="454"/>
      <c r="G36" s="454"/>
      <c r="H36" s="454"/>
      <c r="I36" s="454"/>
      <c r="J36" s="6"/>
      <c r="K36" s="6"/>
      <c r="L36" s="6"/>
      <c r="M36" s="6"/>
      <c r="N36" s="6"/>
      <c r="O36" s="6"/>
    </row>
    <row r="37" spans="2:15">
      <c r="B37" s="47"/>
      <c r="C37" s="47"/>
      <c r="D37" s="47"/>
      <c r="E37" s="47"/>
      <c r="F37" s="47"/>
      <c r="G37" s="47"/>
      <c r="H37" s="47"/>
      <c r="I37" s="47"/>
      <c r="J37" s="6"/>
      <c r="K37" s="6"/>
      <c r="L37" s="6"/>
      <c r="M37" s="6"/>
      <c r="N37" s="6"/>
      <c r="O37" s="6"/>
    </row>
    <row r="38" spans="2:15">
      <c r="B38" s="48" t="s">
        <v>5</v>
      </c>
      <c r="C38" s="47"/>
      <c r="D38" s="47"/>
      <c r="E38" s="47"/>
      <c r="F38" s="47"/>
      <c r="G38" s="47"/>
      <c r="H38" s="47"/>
      <c r="I38" s="47"/>
      <c r="J38" s="6"/>
      <c r="K38" s="6"/>
      <c r="L38" s="6"/>
      <c r="M38" s="6"/>
      <c r="N38" s="6"/>
      <c r="O38" s="6"/>
    </row>
    <row r="39" spans="2:15">
      <c r="B39" s="454" t="s">
        <v>6</v>
      </c>
      <c r="C39" s="454"/>
      <c r="D39" s="454"/>
      <c r="E39" s="454"/>
      <c r="F39" s="454"/>
      <c r="G39" s="454"/>
      <c r="H39" s="454"/>
      <c r="I39" s="454"/>
      <c r="J39" s="6"/>
      <c r="K39" s="6"/>
      <c r="L39" s="6"/>
      <c r="M39" s="6"/>
      <c r="N39" s="6"/>
      <c r="O39" s="6"/>
    </row>
    <row r="40" spans="2:15">
      <c r="B40" s="454"/>
      <c r="C40" s="454"/>
      <c r="D40" s="454"/>
      <c r="E40" s="454"/>
      <c r="F40" s="454"/>
      <c r="G40" s="454"/>
      <c r="H40" s="454"/>
      <c r="I40" s="454"/>
      <c r="J40" s="6"/>
      <c r="K40" s="6"/>
      <c r="L40" s="6"/>
      <c r="M40" s="6"/>
      <c r="N40" s="6"/>
      <c r="O40" s="6"/>
    </row>
    <row r="41" spans="2:15">
      <c r="B41" s="455"/>
      <c r="C41" s="455"/>
      <c r="D41" s="455"/>
      <c r="E41" s="455"/>
      <c r="F41" s="455"/>
      <c r="G41" s="455"/>
      <c r="H41" s="455"/>
      <c r="I41" s="455"/>
      <c r="J41" s="6"/>
      <c r="K41" s="6"/>
      <c r="L41" s="6"/>
      <c r="M41" s="6"/>
      <c r="N41" s="6"/>
      <c r="O41" s="6"/>
    </row>
    <row r="42" spans="2:15">
      <c r="B42" s="455"/>
      <c r="C42" s="455"/>
      <c r="D42" s="455"/>
      <c r="E42" s="455"/>
      <c r="F42" s="455"/>
      <c r="G42" s="455"/>
      <c r="H42" s="455"/>
      <c r="I42" s="455"/>
      <c r="J42" s="6"/>
      <c r="K42" s="6"/>
      <c r="L42" s="6"/>
      <c r="M42" s="6"/>
      <c r="N42" s="6"/>
      <c r="O42" s="6"/>
    </row>
    <row r="43" spans="2:15">
      <c r="B43" s="47"/>
      <c r="C43" s="47"/>
      <c r="D43" s="47"/>
      <c r="E43" s="47"/>
      <c r="F43" s="47"/>
      <c r="G43" s="47"/>
      <c r="H43" s="47"/>
      <c r="I43" s="47"/>
      <c r="J43" s="6"/>
      <c r="K43" s="6"/>
      <c r="L43" s="6"/>
      <c r="M43" s="6"/>
      <c r="N43" s="6"/>
      <c r="O43" s="6"/>
    </row>
    <row r="44" spans="2:15">
      <c r="B44" s="48" t="s">
        <v>7</v>
      </c>
      <c r="C44" s="47"/>
      <c r="D44" s="47"/>
      <c r="E44" s="47"/>
      <c r="F44" s="47"/>
      <c r="G44" s="47"/>
      <c r="H44" s="47"/>
      <c r="I44" s="47"/>
      <c r="J44" s="6"/>
      <c r="K44" s="6"/>
      <c r="L44" s="6"/>
      <c r="M44" s="6"/>
      <c r="N44" s="6"/>
      <c r="O44" s="6"/>
    </row>
    <row r="45" spans="2:15">
      <c r="B45" s="454" t="s">
        <v>8</v>
      </c>
      <c r="C45" s="454"/>
      <c r="D45" s="454"/>
      <c r="E45" s="454"/>
      <c r="F45" s="454"/>
      <c r="G45" s="454"/>
      <c r="H45" s="454"/>
      <c r="I45" s="454"/>
      <c r="J45" s="6"/>
      <c r="K45" s="6"/>
      <c r="L45" s="6"/>
      <c r="M45" s="6"/>
      <c r="N45" s="6"/>
      <c r="O45" s="6"/>
    </row>
    <row r="46" spans="2:15">
      <c r="B46" s="454"/>
      <c r="C46" s="454"/>
      <c r="D46" s="454"/>
      <c r="E46" s="454"/>
      <c r="F46" s="454"/>
      <c r="G46" s="454"/>
      <c r="H46" s="454"/>
      <c r="I46" s="454"/>
      <c r="J46" s="6"/>
      <c r="K46" s="6"/>
      <c r="L46" s="6"/>
      <c r="M46" s="6"/>
      <c r="N46" s="6"/>
      <c r="O46" s="6"/>
    </row>
    <row r="47" spans="2:15">
      <c r="B47" s="454"/>
      <c r="C47" s="454"/>
      <c r="D47" s="454"/>
      <c r="E47" s="454"/>
      <c r="F47" s="454"/>
      <c r="G47" s="454"/>
      <c r="H47" s="454"/>
      <c r="I47" s="454"/>
      <c r="J47" s="6"/>
      <c r="K47" s="6"/>
      <c r="L47" s="6"/>
      <c r="M47" s="6"/>
      <c r="N47" s="6"/>
      <c r="O47" s="6"/>
    </row>
    <row r="48" spans="2:15">
      <c r="B48" s="455"/>
      <c r="C48" s="455"/>
      <c r="D48" s="455"/>
      <c r="E48" s="455"/>
      <c r="F48" s="455"/>
      <c r="G48" s="455"/>
      <c r="H48" s="455"/>
      <c r="I48" s="455"/>
      <c r="J48" s="6"/>
      <c r="K48" s="6"/>
      <c r="L48" s="6"/>
      <c r="M48" s="6"/>
      <c r="N48" s="6"/>
      <c r="O48" s="6"/>
    </row>
    <row r="49" spans="2:15">
      <c r="B49" s="455"/>
      <c r="C49" s="455"/>
      <c r="D49" s="455"/>
      <c r="E49" s="455"/>
      <c r="F49" s="455"/>
      <c r="G49" s="455"/>
      <c r="H49" s="455"/>
      <c r="I49" s="455"/>
      <c r="J49" s="6"/>
      <c r="K49" s="6"/>
      <c r="L49" s="6"/>
      <c r="M49" s="6"/>
      <c r="N49" s="6"/>
      <c r="O49" s="6"/>
    </row>
    <row r="50" spans="2:15">
      <c r="B50" s="47"/>
      <c r="C50" s="47"/>
      <c r="D50" s="47"/>
      <c r="E50" s="47"/>
      <c r="F50" s="47"/>
      <c r="G50" s="47"/>
      <c r="H50" s="47"/>
      <c r="I50" s="47"/>
      <c r="J50" s="6"/>
      <c r="K50" s="6"/>
      <c r="L50" s="6"/>
      <c r="M50" s="6"/>
      <c r="N50" s="6"/>
      <c r="O50" s="6"/>
    </row>
    <row r="51" spans="2:15">
      <c r="B51" s="48" t="s">
        <v>9</v>
      </c>
      <c r="C51" s="47"/>
      <c r="D51" s="47"/>
      <c r="E51" s="47"/>
      <c r="F51" s="47"/>
      <c r="G51" s="47"/>
      <c r="H51" s="47"/>
      <c r="I51" s="47"/>
      <c r="J51" s="6"/>
      <c r="K51" s="6"/>
      <c r="L51" s="6"/>
      <c r="M51" s="6"/>
      <c r="N51" s="6"/>
      <c r="O51" s="6"/>
    </row>
    <row r="52" spans="2:15">
      <c r="B52" s="454" t="s">
        <v>10</v>
      </c>
      <c r="C52" s="454"/>
      <c r="D52" s="454"/>
      <c r="E52" s="454"/>
      <c r="F52" s="454"/>
      <c r="G52" s="454"/>
      <c r="H52" s="454"/>
      <c r="I52" s="454"/>
      <c r="J52" s="6"/>
      <c r="K52" s="6"/>
      <c r="L52" s="6"/>
      <c r="M52" s="6"/>
      <c r="N52" s="6"/>
      <c r="O52" s="6"/>
    </row>
    <row r="53" spans="2:15">
      <c r="B53" s="454"/>
      <c r="C53" s="454"/>
      <c r="D53" s="454"/>
      <c r="E53" s="454"/>
      <c r="F53" s="454"/>
      <c r="G53" s="454"/>
      <c r="H53" s="454"/>
      <c r="I53" s="454"/>
      <c r="J53" s="6"/>
      <c r="K53" s="6"/>
      <c r="L53" s="6"/>
      <c r="M53" s="6"/>
      <c r="N53" s="6"/>
      <c r="O53" s="6"/>
    </row>
    <row r="54" spans="2:15">
      <c r="B54" s="455"/>
      <c r="C54" s="455"/>
      <c r="D54" s="455"/>
      <c r="E54" s="455"/>
      <c r="F54" s="455"/>
      <c r="G54" s="455"/>
      <c r="H54" s="455"/>
      <c r="I54" s="455"/>
      <c r="J54" s="6"/>
      <c r="K54" s="6"/>
      <c r="L54" s="6"/>
      <c r="M54" s="6"/>
      <c r="N54" s="6"/>
      <c r="O54" s="6"/>
    </row>
    <row r="55" spans="2:15">
      <c r="B55" s="455"/>
      <c r="C55" s="455"/>
      <c r="D55" s="455"/>
      <c r="E55" s="455"/>
      <c r="F55" s="455"/>
      <c r="G55" s="455"/>
      <c r="H55" s="455"/>
      <c r="I55" s="455"/>
      <c r="J55" s="6"/>
      <c r="K55" s="6"/>
      <c r="L55" s="6"/>
      <c r="M55" s="6"/>
      <c r="N55" s="6"/>
      <c r="O55" s="6"/>
    </row>
    <row r="56" spans="2:15">
      <c r="B56" s="47"/>
      <c r="C56" s="47"/>
      <c r="D56" s="47"/>
      <c r="E56" s="47"/>
      <c r="F56" s="47"/>
      <c r="G56" s="47"/>
      <c r="H56" s="47"/>
      <c r="I56" s="47"/>
      <c r="J56" s="6"/>
      <c r="K56" s="6"/>
      <c r="L56" s="6"/>
      <c r="M56" s="6"/>
      <c r="N56" s="6"/>
      <c r="O56" s="6"/>
    </row>
    <row r="57" spans="2:15">
      <c r="B57" s="48" t="s">
        <v>11</v>
      </c>
      <c r="C57" s="47"/>
      <c r="D57" s="47"/>
      <c r="E57" s="47"/>
      <c r="F57" s="47"/>
      <c r="G57" s="47"/>
      <c r="H57" s="47"/>
      <c r="I57" s="47"/>
      <c r="J57" s="6"/>
      <c r="K57" s="6"/>
      <c r="L57" s="6"/>
      <c r="M57" s="6"/>
      <c r="N57" s="6"/>
      <c r="O57" s="6"/>
    </row>
    <row r="58" spans="2:15">
      <c r="B58" s="454" t="s">
        <v>12</v>
      </c>
      <c r="C58" s="454"/>
      <c r="D58" s="454"/>
      <c r="E58" s="454"/>
      <c r="F58" s="454"/>
      <c r="G58" s="454"/>
      <c r="H58" s="454"/>
      <c r="I58" s="454"/>
      <c r="J58" s="6"/>
      <c r="K58" s="6"/>
      <c r="L58" s="6"/>
      <c r="M58" s="6"/>
      <c r="N58" s="6"/>
      <c r="O58" s="6"/>
    </row>
    <row r="59" spans="2:15">
      <c r="B59" s="454"/>
      <c r="C59" s="454"/>
      <c r="D59" s="454"/>
      <c r="E59" s="454"/>
      <c r="F59" s="454"/>
      <c r="G59" s="454"/>
      <c r="H59" s="454"/>
      <c r="I59" s="454"/>
      <c r="J59" s="6"/>
      <c r="K59" s="6"/>
      <c r="L59" s="6"/>
      <c r="M59" s="6"/>
      <c r="N59" s="6"/>
      <c r="O59" s="6"/>
    </row>
    <row r="60" spans="2:15">
      <c r="B60" s="455"/>
      <c r="C60" s="455"/>
      <c r="D60" s="455"/>
      <c r="E60" s="455"/>
      <c r="F60" s="455"/>
      <c r="G60" s="455"/>
      <c r="H60" s="455"/>
      <c r="I60" s="455"/>
      <c r="J60" s="6"/>
      <c r="K60" s="6"/>
      <c r="L60" s="6"/>
      <c r="M60" s="6"/>
      <c r="N60" s="6"/>
      <c r="O60" s="6"/>
    </row>
    <row r="61" spans="2:15">
      <c r="B61" s="455"/>
      <c r="C61" s="455"/>
      <c r="D61" s="455"/>
      <c r="E61" s="455"/>
      <c r="F61" s="455"/>
      <c r="G61" s="455"/>
      <c r="H61" s="455"/>
      <c r="I61" s="455"/>
      <c r="J61" s="6"/>
      <c r="K61" s="6"/>
      <c r="L61" s="6"/>
      <c r="M61" s="6"/>
      <c r="N61" s="6"/>
      <c r="O61" s="6"/>
    </row>
  </sheetData>
  <mergeCells count="5">
    <mergeCell ref="B33:I36"/>
    <mergeCell ref="B52:I55"/>
    <mergeCell ref="B58:I61"/>
    <mergeCell ref="B45:I49"/>
    <mergeCell ref="B39:I42"/>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1:P63"/>
  <sheetViews>
    <sheetView showGridLines="0" zoomScale="70" zoomScaleNormal="70" zoomScalePageLayoutView="70" workbookViewId="0"/>
  </sheetViews>
  <sheetFormatPr defaultColWidth="8.77734375" defaultRowHeight="13.8"/>
  <cols>
    <col min="1" max="1" width="4.44140625" style="54" customWidth="1"/>
    <col min="2" max="2" width="19.21875" style="54" customWidth="1"/>
    <col min="3" max="4" width="11.44140625" style="54" customWidth="1"/>
    <col min="5" max="5" width="13.44140625" style="54" customWidth="1"/>
    <col min="6" max="13" width="14.44140625" style="54" customWidth="1"/>
    <col min="14" max="16" width="13.44140625" style="54" customWidth="1"/>
    <col min="17" max="16384" width="8.77734375" style="54"/>
  </cols>
  <sheetData>
    <row r="1" spans="2:9" ht="13.5" customHeight="1"/>
    <row r="2" spans="2:9" ht="24.6">
      <c r="B2" s="3" t="str">
        <f>Introduction!B2</f>
        <v>LightCounting High-Speed Cables Forecast</v>
      </c>
      <c r="I2" s="190" t="s">
        <v>37</v>
      </c>
    </row>
    <row r="3" spans="2:9" ht="17.399999999999999">
      <c r="B3" s="347" t="str">
        <f>Introduction!$B$3</f>
        <v>December 2022 - sample template</v>
      </c>
    </row>
    <row r="24" spans="2:16">
      <c r="J24" s="55"/>
    </row>
    <row r="25" spans="2:16" ht="9" customHeight="1">
      <c r="B25" s="57"/>
      <c r="C25" s="57"/>
      <c r="J25" s="59"/>
      <c r="M25" s="56"/>
      <c r="N25" s="56"/>
      <c r="O25" s="56"/>
      <c r="P25" s="56"/>
    </row>
    <row r="26" spans="2:16" ht="26.55" customHeight="1">
      <c r="F26" s="56"/>
      <c r="G26" s="58" t="s">
        <v>69</v>
      </c>
      <c r="H26" s="456" t="s">
        <v>225</v>
      </c>
      <c r="I26" s="457"/>
      <c r="J26" s="457"/>
      <c r="K26" s="458"/>
    </row>
    <row r="27" spans="2:16" ht="5.25" customHeight="1"/>
    <row r="28" spans="2:16" ht="18">
      <c r="C28" s="61"/>
      <c r="D28" s="61"/>
      <c r="E28" s="61">
        <v>2016</v>
      </c>
      <c r="F28" s="61">
        <v>2017</v>
      </c>
      <c r="G28" s="61">
        <v>2018</v>
      </c>
      <c r="H28" s="61">
        <v>2019</v>
      </c>
      <c r="I28" s="61">
        <v>2020</v>
      </c>
      <c r="J28" s="61">
        <v>2021</v>
      </c>
      <c r="K28" s="61">
        <v>2022</v>
      </c>
      <c r="L28" s="61">
        <v>2023</v>
      </c>
      <c r="M28" s="61">
        <v>2024</v>
      </c>
      <c r="N28" s="61">
        <v>2025</v>
      </c>
      <c r="O28" s="61">
        <v>2026</v>
      </c>
      <c r="P28" s="61">
        <v>2027</v>
      </c>
    </row>
    <row r="29" spans="2:16" ht="18">
      <c r="B29" s="173"/>
      <c r="C29" s="173"/>
      <c r="D29" s="174" t="s">
        <v>24</v>
      </c>
      <c r="E29" s="107">
        <f>INDEX((VolHPC),MATCH($H$26,'Combined forecast'!$T$8:$T$67,0)+1,MATCH(E$28,$E$28:$P$28,0))</f>
        <v>1975352.3718148267</v>
      </c>
      <c r="F29" s="107">
        <f>INDEX((VolHPC),MATCH($H$26,'Combined forecast'!$T$8:$T$67,0)+1,MATCH(F$28,$E$28:$P$28,0))</f>
        <v>2006035.3363149837</v>
      </c>
      <c r="G29" s="107">
        <f>INDEX((VolHPC),MATCH($H$26,'Combined forecast'!$T$8:$T$67,0)+1,MATCH(G$28,$E$28:$P$28,0))</f>
        <v>0</v>
      </c>
      <c r="H29" s="107">
        <f>INDEX((VolHPC),MATCH($H$26,'Combined forecast'!$T$8:$T$67,0)+1,MATCH(H$28,$E$28:$P$28,0))</f>
        <v>0</v>
      </c>
      <c r="I29" s="107">
        <f>INDEX((VolHPC),MATCH($H$26,'Combined forecast'!$T$8:$T$67,0)+1,MATCH(I$28,$E$28:$P$28,0))</f>
        <v>0</v>
      </c>
      <c r="J29" s="107">
        <f>INDEX((VolHPC),MATCH($H$26,'Combined forecast'!$T$8:$T$67,0)+1,MATCH(J$28,$E$28:$P$28,0))</f>
        <v>0</v>
      </c>
      <c r="K29" s="107">
        <f>INDEX((VolHPC),MATCH($H$26,'Combined forecast'!$T$8:$T$67,0)+1,MATCH(K$28,$E$28:$P$28,0))</f>
        <v>0</v>
      </c>
      <c r="L29" s="107">
        <f>INDEX((VolHPC),MATCH($H$26,'Combined forecast'!$T$8:$T$67,0)+1,MATCH(L$28,$E$28:$P$28,0))</f>
        <v>0</v>
      </c>
      <c r="M29" s="107">
        <f>INDEX((VolHPC),MATCH($H$26,'Combined forecast'!$T$8:$T$67,0)+1,MATCH(M$28,$E$28:$P$28,0))</f>
        <v>0</v>
      </c>
      <c r="N29" s="107">
        <f>INDEX((VolHPC),MATCH($H$26,'Combined forecast'!$T$8:$T$67,0)+1,MATCH(N$28,$E$28:$P$28,0))</f>
        <v>0</v>
      </c>
      <c r="O29" s="107">
        <f>INDEX((VolHPC),MATCH($H$26,'Combined forecast'!$T$8:$T$67,0)+1,MATCH(O$28,$E$28:$P$28,0))</f>
        <v>0</v>
      </c>
      <c r="P29" s="107">
        <f>INDEX((VolHPC),MATCH($H$26,'Combined forecast'!$T$8:$T$67,0)+1,MATCH(P$28,$E$28:$P$28,0))</f>
        <v>0</v>
      </c>
    </row>
    <row r="30" spans="2:16" ht="18">
      <c r="B30" s="172"/>
      <c r="C30" s="172"/>
      <c r="D30" s="175" t="str">
        <f>'Segment forecast'!B11</f>
        <v>Core Routing</v>
      </c>
      <c r="E30" s="107">
        <f>INDEX((VolCore),MATCH($H$26,'Combined forecast'!$T$8:$T$67,0)+1,MATCH(E$28,$E$28:$P$28,0))</f>
        <v>101610.72324478533</v>
      </c>
      <c r="F30" s="107">
        <f>INDEX((VolCore),MATCH($H$26,'Combined forecast'!$T$8:$T$67,0)+1,MATCH(F$28,$E$28:$P$28,0))</f>
        <v>102275.69365487093</v>
      </c>
      <c r="G30" s="107">
        <f>INDEX((VolCore),MATCH($H$26,'Combined forecast'!$T$8:$T$67,0)+1,MATCH(G$28,$E$28:$P$28,0))</f>
        <v>0</v>
      </c>
      <c r="H30" s="107">
        <f>INDEX((VolCore),MATCH($H$26,'Combined forecast'!$T$8:$T$67,0)+1,MATCH(H$28,$E$28:$P$28,0))</f>
        <v>0</v>
      </c>
      <c r="I30" s="107">
        <f>INDEX((VolCore),MATCH($H$26,'Combined forecast'!$T$8:$T$67,0)+1,MATCH(I$28,$E$28:$P$28,0))</f>
        <v>0</v>
      </c>
      <c r="J30" s="107">
        <f>INDEX((VolCore),MATCH($H$26,'Combined forecast'!$T$8:$T$67,0)+1,MATCH(J$28,$E$28:$P$28,0))</f>
        <v>0</v>
      </c>
      <c r="K30" s="107">
        <f>INDEX((VolCore),MATCH($H$26,'Combined forecast'!$T$8:$T$67,0)+1,MATCH(K$28,$E$28:$P$28,0))</f>
        <v>0</v>
      </c>
      <c r="L30" s="107">
        <f>INDEX((VolCore),MATCH($H$26,'Combined forecast'!$T$8:$T$67,0)+1,MATCH(L$28,$E$28:$P$28,0))</f>
        <v>0</v>
      </c>
      <c r="M30" s="107">
        <f>INDEX((VolCore),MATCH($H$26,'Combined forecast'!$T$8:$T$67,0)+1,MATCH(M$28,$E$28:$P$28,0))</f>
        <v>0</v>
      </c>
      <c r="N30" s="107">
        <f>INDEX((VolCore),MATCH($H$26,'Combined forecast'!$T$8:$T$67,0)+1,MATCH(N$28,$E$28:$P$28,0))</f>
        <v>0</v>
      </c>
      <c r="O30" s="107">
        <f>INDEX((VolCore),MATCH($H$26,'Combined forecast'!$T$8:$T$67,0)+1,MATCH(O$28,$E$28:$P$28,0))</f>
        <v>0</v>
      </c>
      <c r="P30" s="107">
        <f>INDEX((VolCore),MATCH($H$26,'Combined forecast'!$T$8:$T$67,0)+1,MATCH(P$28,$E$28:$P$28,0))</f>
        <v>0</v>
      </c>
    </row>
    <row r="31" spans="2:16" ht="18">
      <c r="B31" s="171"/>
      <c r="C31" s="171"/>
      <c r="D31" s="176" t="str">
        <f>'Segment forecast'!B12</f>
        <v>DC Compute Nodes</v>
      </c>
      <c r="E31" s="107">
        <f>INDEX((VolDCS),MATCH($H$26,'Combined forecast'!$T$8:$T$67,0)+1,MATCH(E$28,$E$28:$P$28,0))</f>
        <v>7624105.3105442869</v>
      </c>
      <c r="F31" s="107">
        <f>INDEX((VolDCS),MATCH($H$26,'Combined forecast'!$T$8:$T$67,0)+1,MATCH(F$28,$E$28:$P$28,0))</f>
        <v>9372051.3657249976</v>
      </c>
      <c r="G31" s="107">
        <f>INDEX((VolDCS),MATCH($H$26,'Combined forecast'!$T$8:$T$67,0)+1,MATCH(G$28,$E$28:$P$28,0))</f>
        <v>0</v>
      </c>
      <c r="H31" s="107">
        <f>INDEX((VolDCS),MATCH($H$26,'Combined forecast'!$T$8:$T$67,0)+1,MATCH(H$28,$E$28:$P$28,0))</f>
        <v>0</v>
      </c>
      <c r="I31" s="107">
        <f>INDEX((VolDCS),MATCH($H$26,'Combined forecast'!$T$8:$T$67,0)+1,MATCH(I$28,$E$28:$P$28,0))</f>
        <v>0</v>
      </c>
      <c r="J31" s="107">
        <f>INDEX((VolDCS),MATCH($H$26,'Combined forecast'!$T$8:$T$67,0)+1,MATCH(J$28,$E$28:$P$28,0))</f>
        <v>0</v>
      </c>
      <c r="K31" s="107">
        <f>INDEX((VolDCS),MATCH($H$26,'Combined forecast'!$T$8:$T$67,0)+1,MATCH(K$28,$E$28:$P$28,0))</f>
        <v>0</v>
      </c>
      <c r="L31" s="107">
        <f>INDEX((VolDCS),MATCH($H$26,'Combined forecast'!$T$8:$T$67,0)+1,MATCH(L$28,$E$28:$P$28,0))</f>
        <v>0</v>
      </c>
      <c r="M31" s="107">
        <f>INDEX((VolDCS),MATCH($H$26,'Combined forecast'!$T$8:$T$67,0)+1,MATCH(M$28,$E$28:$P$28,0))</f>
        <v>0</v>
      </c>
      <c r="N31" s="107">
        <f>INDEX((VolDCS),MATCH($H$26,'Combined forecast'!$T$8:$T$67,0)+1,MATCH(N$28,$E$28:$P$28,0))</f>
        <v>0</v>
      </c>
      <c r="O31" s="107">
        <f>INDEX((VolDCS),MATCH($H$26,'Combined forecast'!$T$8:$T$67,0)+1,MATCH(O$28,$E$28:$P$28,0))</f>
        <v>0</v>
      </c>
      <c r="P31" s="107">
        <f>INDEX((VolDCS),MATCH($H$26,'Combined forecast'!$T$8:$T$67,0)+1,MATCH(P$28,$E$28:$P$28,0))</f>
        <v>0</v>
      </c>
    </row>
    <row r="32" spans="2:16" ht="18">
      <c r="B32" s="353"/>
      <c r="C32" s="353"/>
      <c r="D32" s="353" t="s">
        <v>174</v>
      </c>
      <c r="E32" s="354">
        <f>INDEX((VolOther),MATCH($H$26,'Combined forecast'!$T$8:$T$66,0)+1,MATCH(E$28,$E$28:$P$28,0))</f>
        <v>520454.09287999984</v>
      </c>
      <c r="F32" s="354">
        <f>INDEX((VolOther),MATCH($H$26,'Combined forecast'!$T$8:$T$66,0)+1,MATCH(F$28,$E$28:$P$28,0))</f>
        <v>652344.6944500003</v>
      </c>
      <c r="G32" s="354">
        <f>INDEX((VolOther),MATCH($H$26,'Combined forecast'!$T$8:$T$66,0)+1,MATCH(G$28,$E$28:$P$28,0))</f>
        <v>0</v>
      </c>
      <c r="H32" s="354">
        <f>INDEX((VolOther),MATCH($H$26,'Combined forecast'!$T$8:$T$66,0)+1,MATCH(H$28,$E$28:$P$28,0))</f>
        <v>0</v>
      </c>
      <c r="I32" s="354">
        <f>INDEX((VolOther),MATCH($H$26,'Combined forecast'!$T$8:$T$66,0)+1,MATCH(I$28,$E$28:$P$28,0))</f>
        <v>0</v>
      </c>
      <c r="J32" s="354">
        <f>INDEX((VolOther),MATCH($H$26,'Combined forecast'!$T$8:$T$66,0)+1,MATCH(J$28,$E$28:$P$28,0))</f>
        <v>0</v>
      </c>
      <c r="K32" s="354">
        <f>INDEX((VolOther),MATCH($H$26,'Combined forecast'!$T$8:$T$66,0)+1,MATCH(K$28,$E$28:$P$28,0))</f>
        <v>0</v>
      </c>
      <c r="L32" s="354">
        <f>INDEX((VolOther),MATCH($H$26,'Combined forecast'!$T$8:$T$66,0)+1,MATCH(L$28,$E$28:$P$28,0))</f>
        <v>0</v>
      </c>
      <c r="M32" s="354">
        <f>INDEX((VolOther),MATCH($H$26,'Combined forecast'!$T$8:$T$66,0)+1,MATCH(M$28,$E$28:$P$28,0))</f>
        <v>0</v>
      </c>
      <c r="N32" s="354">
        <f>INDEX((VolOther),MATCH($H$26,'Combined forecast'!$T$8:$T$66,0)+1,MATCH(N$28,$E$28:$P$28,0))</f>
        <v>0</v>
      </c>
      <c r="O32" s="354">
        <f>INDEX((VolOther),MATCH($H$26,'Combined forecast'!$T$8:$T$66,0)+1,MATCH(O$28,$E$28:$P$28,0))</f>
        <v>0</v>
      </c>
      <c r="P32" s="354">
        <f>INDEX((VolOther),MATCH($H$26,'Combined forecast'!$T$8:$T$66,0)+1,MATCH(P$28,$E$28:$P$28,0))</f>
        <v>0</v>
      </c>
    </row>
    <row r="33" spans="3:16" ht="15.6">
      <c r="E33" s="354"/>
      <c r="F33" s="354"/>
      <c r="G33" s="354"/>
      <c r="H33" s="354"/>
      <c r="I33" s="354"/>
      <c r="J33" s="354"/>
      <c r="K33" s="354"/>
      <c r="L33" s="354"/>
      <c r="M33" s="354"/>
      <c r="N33" s="354"/>
      <c r="O33" s="354"/>
      <c r="P33" s="355"/>
    </row>
    <row r="34" spans="3:16" ht="18">
      <c r="C34" s="60"/>
      <c r="D34" s="62" t="s">
        <v>84</v>
      </c>
      <c r="E34" s="107">
        <f>INDEX((Volume),MATCH($H$26,'Combined forecast'!$T$8:$T$67,0)+1,MATCH(E$28,$E$28:$P$28,0))</f>
        <v>10221522.4984839</v>
      </c>
      <c r="F34" s="107">
        <f>INDEX((Volume),MATCH($H$26,'Combined forecast'!$T$8:$T$67,0)+1,MATCH(F$28,$E$28:$P$28,0))</f>
        <v>12132707.090144856</v>
      </c>
      <c r="G34" s="107">
        <f>INDEX((Volume),MATCH($H$26,'Combined forecast'!$T$8:$T$67,0)+1,MATCH(G$28,$E$28:$P$28,0))</f>
        <v>0</v>
      </c>
      <c r="H34" s="107">
        <f>INDEX((Volume),MATCH($H$26,'Combined forecast'!$T$8:$T$67,0)+1,MATCH(H$28,$E$28:$P$28,0))</f>
        <v>0</v>
      </c>
      <c r="I34" s="107">
        <f>INDEX((Volume),MATCH($H$26,'Combined forecast'!$T$8:$T$67,0)+1,MATCH(I$28,$E$28:$P$28,0))</f>
        <v>0</v>
      </c>
      <c r="J34" s="107">
        <f>INDEX((Volume),MATCH($H$26,'Combined forecast'!$T$8:$T$67,0)+1,MATCH(J$28,$E$28:$P$28,0))</f>
        <v>0</v>
      </c>
      <c r="K34" s="107">
        <f>INDEX((Volume),MATCH($H$26,'Combined forecast'!$T$8:$T$67,0)+1,MATCH(K$28,$E$28:$P$28,0))</f>
        <v>0</v>
      </c>
      <c r="L34" s="107">
        <f>INDEX((Volume),MATCH($H$26,'Combined forecast'!$T$8:$T$67,0)+1,MATCH(L$28,$E$28:$P$28,0))</f>
        <v>0</v>
      </c>
      <c r="M34" s="107">
        <f>INDEX((Volume),MATCH($H$26,'Combined forecast'!$T$8:$T$67,0)+1,MATCH(M$28,$E$28:$P$28,0))</f>
        <v>0</v>
      </c>
      <c r="N34" s="107">
        <f>INDEX((Volume),MATCH($H$26,'Combined forecast'!$T$8:$T$67,0)+1,MATCH(N$28,$E$28:$P$28,0))</f>
        <v>0</v>
      </c>
      <c r="O34" s="107">
        <f>INDEX((Volume),MATCH($H$26,'Combined forecast'!$T$8:$T$67,0)+1,MATCH(O$28,$E$28:$P$28,0))</f>
        <v>0</v>
      </c>
      <c r="P34" s="107">
        <f>INDEX((Volume),MATCH($H$26,'Combined forecast'!$T$8:$T$67,0)+1,MATCH(P$28,$E$28:$P$28,0))</f>
        <v>0</v>
      </c>
    </row>
    <row r="35" spans="3:16" ht="18">
      <c r="C35" s="60"/>
      <c r="D35" s="62" t="s">
        <v>39</v>
      </c>
      <c r="E35" s="108">
        <f>IF(E34=0,0,(E36*10^6/E34))</f>
        <v>51.360739335753856</v>
      </c>
      <c r="F35" s="108">
        <f t="shared" ref="F35:M35" si="0">IF(F34=0,0,(F36*10^6/F34))</f>
        <v>42.96855815052372</v>
      </c>
      <c r="G35" s="108">
        <f t="shared" si="0"/>
        <v>0</v>
      </c>
      <c r="H35" s="108">
        <f t="shared" si="0"/>
        <v>0</v>
      </c>
      <c r="I35" s="108">
        <f t="shared" si="0"/>
        <v>0</v>
      </c>
      <c r="J35" s="108">
        <f t="shared" si="0"/>
        <v>0</v>
      </c>
      <c r="K35" s="108">
        <f t="shared" si="0"/>
        <v>0</v>
      </c>
      <c r="L35" s="108">
        <f t="shared" si="0"/>
        <v>0</v>
      </c>
      <c r="M35" s="108">
        <f t="shared" si="0"/>
        <v>0</v>
      </c>
      <c r="N35" s="108">
        <f>IF(N34=0,0,(N36*10^6/N34))</f>
        <v>0</v>
      </c>
      <c r="O35" s="108">
        <f>IF(O34=0,0,(O36*10^6/O34))</f>
        <v>0</v>
      </c>
      <c r="P35" s="108">
        <f>IF(P34=0,0,(P36*10^6/P34))</f>
        <v>0</v>
      </c>
    </row>
    <row r="36" spans="3:16" ht="18">
      <c r="C36" s="60"/>
      <c r="D36" s="62" t="s">
        <v>38</v>
      </c>
      <c r="E36" s="108">
        <f>INDEX((Revenue),MATCH($H$26,'Combined forecast'!$T$8:$T$67,0)+1,MATCH(E$28,$E$28:$P$28,0))</f>
        <v>524.98495265917506</v>
      </c>
      <c r="F36" s="108">
        <f>INDEX((Revenue),MATCH($H$26,'Combined forecast'!$T$8:$T$67,0)+1,MATCH(F$28,$E$28:$P$28,0))</f>
        <v>521.32493012616067</v>
      </c>
      <c r="G36" s="108">
        <f>INDEX((Revenue),MATCH($H$26,'Combined forecast'!$T$8:$T$67,0)+1,MATCH(G$28,$E$28:$P$28,0))</f>
        <v>0</v>
      </c>
      <c r="H36" s="108">
        <f>INDEX((Revenue),MATCH($H$26,'Combined forecast'!$T$8:$T$67,0)+1,MATCH(H$28,$E$28:$P$28,0))</f>
        <v>0</v>
      </c>
      <c r="I36" s="108">
        <f>INDEX((Revenue),MATCH($H$26,'Combined forecast'!$T$8:$T$67,0)+1,MATCH(I$28,$E$28:$P$28,0))</f>
        <v>0</v>
      </c>
      <c r="J36" s="108">
        <f>INDEX((Revenue),MATCH($H$26,'Combined forecast'!$T$8:$T$67,0)+1,MATCH(J$28,$E$28:$P$28,0))</f>
        <v>0</v>
      </c>
      <c r="K36" s="108">
        <f>INDEX((Revenue),MATCH($H$26,'Combined forecast'!$T$8:$T$67,0)+1,MATCH(K$28,$E$28:$P$28,0))</f>
        <v>0</v>
      </c>
      <c r="L36" s="108">
        <f>INDEX((Revenue),MATCH($H$26,'Combined forecast'!$T$8:$T$67,0)+1,MATCH(L$28,$E$28:$P$28,0))</f>
        <v>0</v>
      </c>
      <c r="M36" s="108">
        <f>INDEX((Revenue),MATCH($H$26,'Combined forecast'!$T$8:$T$67,0)+1,MATCH(M$28,$E$28:$P$28,0))</f>
        <v>0</v>
      </c>
      <c r="N36" s="108">
        <f>INDEX((Revenue),MATCH($H$26,'Combined forecast'!$T$8:$T$67,0)+1,MATCH(N$28,$E$28:$P$28,0))</f>
        <v>0</v>
      </c>
      <c r="O36" s="108">
        <f>INDEX((Revenue),MATCH($H$26,'Combined forecast'!$T$8:$T$67,0)+1,MATCH(O$28,$E$28:$P$28,0))</f>
        <v>0</v>
      </c>
      <c r="P36" s="108">
        <f>INDEX((Revenue),MATCH($H$26,'Combined forecast'!$T$8:$T$67,0)+1,MATCH(P$28,$E$28:$P$28,0))</f>
        <v>0</v>
      </c>
    </row>
    <row r="55" spans="6:11">
      <c r="H55" s="56"/>
      <c r="I55" s="56"/>
    </row>
    <row r="56" spans="6:11">
      <c r="H56" s="181"/>
    </row>
    <row r="57" spans="6:11">
      <c r="H57" s="181"/>
    </row>
    <row r="58" spans="6:11">
      <c r="H58" s="181"/>
    </row>
    <row r="59" spans="6:11">
      <c r="H59" s="182"/>
    </row>
    <row r="60" spans="6:11">
      <c r="H60" s="56"/>
      <c r="I60" s="56"/>
    </row>
    <row r="61" spans="6:11">
      <c r="H61" s="183"/>
      <c r="I61" s="56"/>
    </row>
    <row r="63" spans="6:11" ht="25.8">
      <c r="F63" s="184"/>
      <c r="G63" s="184"/>
      <c r="H63" s="184"/>
      <c r="I63" s="184"/>
      <c r="J63" s="184"/>
      <c r="K63" s="184"/>
    </row>
  </sheetData>
  <mergeCells count="1">
    <mergeCell ref="H26:K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'Combined forecast'!$T$8:$T$67</xm:f>
          </x14:formula1>
          <xm:sqref>H26:K26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AD310"/>
  <sheetViews>
    <sheetView showGridLines="0" zoomScale="70" zoomScaleNormal="70" zoomScalePageLayoutView="80" workbookViewId="0"/>
  </sheetViews>
  <sheetFormatPr defaultColWidth="8.77734375" defaultRowHeight="13.8"/>
  <cols>
    <col min="1" max="1" width="4.44140625" style="65" customWidth="1"/>
    <col min="2" max="2" width="60.44140625" style="65" customWidth="1"/>
    <col min="3" max="3" width="12.21875" style="65" customWidth="1"/>
    <col min="4" max="12" width="10.44140625" style="65" customWidth="1"/>
    <col min="13" max="14" width="10.21875" style="65" customWidth="1"/>
    <col min="15" max="15" width="13.44140625" style="65" customWidth="1"/>
    <col min="16" max="16" width="20.6640625" style="65" customWidth="1"/>
    <col min="17" max="17" width="12.6640625" style="65" customWidth="1"/>
    <col min="18" max="20" width="10.44140625" style="65" customWidth="1"/>
    <col min="21" max="21" width="11" style="65" customWidth="1"/>
    <col min="22" max="22" width="10.44140625" style="65" customWidth="1"/>
    <col min="23" max="26" width="8.77734375" style="65"/>
    <col min="27" max="28" width="9.21875" style="65" customWidth="1"/>
    <col min="29" max="29" width="16" style="65" customWidth="1"/>
    <col min="30" max="30" width="12.44140625" style="65" customWidth="1"/>
    <col min="31" max="16384" width="8.77734375" style="65"/>
  </cols>
  <sheetData>
    <row r="2" spans="2:23" ht="23.4">
      <c r="B2" s="3" t="str">
        <f>Introduction!B2</f>
        <v>LightCounting High-Speed Cables Forecast</v>
      </c>
      <c r="R2" s="65" t="s">
        <v>16</v>
      </c>
      <c r="V2" s="19"/>
      <c r="W2" s="19"/>
    </row>
    <row r="3" spans="2:23" ht="17.399999999999999">
      <c r="B3" s="347" t="str">
        <f>Introduction!B3</f>
        <v>December 2022 - sample template</v>
      </c>
    </row>
    <row r="6" spans="2:23" ht="23.4">
      <c r="B6" s="53"/>
    </row>
    <row r="10" spans="2:23" ht="21" customHeight="1">
      <c r="B10" s="345" t="s">
        <v>195</v>
      </c>
    </row>
    <row r="11" spans="2:23" ht="18">
      <c r="B11" s="343" t="s">
        <v>189</v>
      </c>
    </row>
    <row r="12" spans="2:23" ht="18">
      <c r="B12" s="344" t="s">
        <v>192</v>
      </c>
    </row>
    <row r="13" spans="2:23" ht="18">
      <c r="B13" s="343" t="s">
        <v>193</v>
      </c>
    </row>
    <row r="14" spans="2:23" ht="18">
      <c r="B14" s="343" t="s">
        <v>194</v>
      </c>
    </row>
    <row r="15" spans="2:23" ht="18">
      <c r="B15" s="343" t="s">
        <v>190</v>
      </c>
    </row>
    <row r="16" spans="2:23" ht="18">
      <c r="B16" s="343" t="s">
        <v>191</v>
      </c>
    </row>
    <row r="17" spans="2:25" ht="18">
      <c r="B17" s="384" t="s">
        <v>246</v>
      </c>
    </row>
    <row r="23" spans="2:25" ht="23.4">
      <c r="B23" s="53" t="s">
        <v>183</v>
      </c>
      <c r="C23" s="268"/>
      <c r="D23" s="268"/>
      <c r="E23" s="268"/>
      <c r="F23" s="268"/>
      <c r="G23" s="268"/>
      <c r="H23" s="268"/>
      <c r="I23" s="268"/>
      <c r="J23" s="268"/>
      <c r="K23" s="268"/>
      <c r="L23" s="262"/>
      <c r="P23" s="258"/>
      <c r="Q23" s="266"/>
      <c r="R23" s="266"/>
      <c r="S23" s="266"/>
      <c r="T23" s="266"/>
      <c r="U23" s="266"/>
      <c r="V23" s="266"/>
      <c r="W23" s="266"/>
      <c r="X23" s="266"/>
      <c r="Y23" s="266"/>
    </row>
    <row r="24" spans="2:25">
      <c r="L24" s="262"/>
    </row>
    <row r="33" spans="2:28" ht="12.75" customHeight="1"/>
    <row r="47" spans="2:28" ht="15.6">
      <c r="B47" s="11" t="s">
        <v>27</v>
      </c>
      <c r="C47" s="273">
        <v>2016</v>
      </c>
      <c r="D47" s="273">
        <v>2017</v>
      </c>
      <c r="E47" s="273">
        <v>2018</v>
      </c>
      <c r="F47" s="273">
        <v>2019</v>
      </c>
      <c r="G47" s="273">
        <v>2020</v>
      </c>
      <c r="H47" s="273">
        <v>2021</v>
      </c>
      <c r="I47" s="273">
        <v>2022</v>
      </c>
      <c r="J47" s="273">
        <v>2023</v>
      </c>
      <c r="K47" s="273">
        <v>2024</v>
      </c>
      <c r="L47" s="273">
        <v>2025</v>
      </c>
      <c r="M47" s="273">
        <v>2026</v>
      </c>
      <c r="N47" s="273">
        <v>2027</v>
      </c>
      <c r="P47" s="11" t="s">
        <v>20</v>
      </c>
      <c r="Q47" s="274">
        <v>2016</v>
      </c>
      <c r="R47" s="274">
        <v>2017</v>
      </c>
      <c r="S47" s="274">
        <v>2018</v>
      </c>
      <c r="T47" s="274">
        <v>2019</v>
      </c>
      <c r="U47" s="274">
        <v>2020</v>
      </c>
      <c r="V47" s="274">
        <v>2021</v>
      </c>
      <c r="W47" s="274">
        <v>2022</v>
      </c>
      <c r="X47" s="274">
        <v>2023</v>
      </c>
      <c r="Y47" s="274">
        <v>2024</v>
      </c>
      <c r="Z47" s="274">
        <v>2025</v>
      </c>
      <c r="AA47" s="274">
        <v>2026</v>
      </c>
      <c r="AB47" s="274">
        <v>2027</v>
      </c>
    </row>
    <row r="48" spans="2:28" ht="15.6">
      <c r="B48" s="314" t="s">
        <v>163</v>
      </c>
      <c r="C48" s="368">
        <f>'AOC forecast'!G8+'AOC forecast'!G14</f>
        <v>1664178</v>
      </c>
      <c r="D48" s="368">
        <f>'AOC forecast'!H8+'AOC forecast'!H14</f>
        <v>3402357</v>
      </c>
      <c r="E48" s="368">
        <f>'AOC forecast'!I8+'AOC forecast'!I14</f>
        <v>0</v>
      </c>
      <c r="F48" s="368">
        <f>'AOC forecast'!J8+'AOC forecast'!J14</f>
        <v>0</v>
      </c>
      <c r="G48" s="368">
        <f>'AOC forecast'!K8+'AOC forecast'!K14</f>
        <v>0</v>
      </c>
      <c r="H48" s="368">
        <f>'AOC forecast'!L8+'AOC forecast'!L14</f>
        <v>0</v>
      </c>
      <c r="I48" s="368">
        <f>'AOC forecast'!M8+'AOC forecast'!M14</f>
        <v>0</v>
      </c>
      <c r="J48" s="368">
        <f>'AOC forecast'!N8+'AOC forecast'!N14</f>
        <v>0</v>
      </c>
      <c r="K48" s="368">
        <f>'AOC forecast'!O8+'AOC forecast'!O14</f>
        <v>0</v>
      </c>
      <c r="L48" s="368">
        <f>'AOC forecast'!P8+'AOC forecast'!P14</f>
        <v>0</v>
      </c>
      <c r="M48" s="368">
        <f>'AOC forecast'!Q8+'AOC forecast'!Q14</f>
        <v>0</v>
      </c>
      <c r="N48" s="368">
        <f>'AOC forecast'!R8+'AOC forecast'!R14</f>
        <v>0</v>
      </c>
      <c r="P48" s="314" t="s">
        <v>163</v>
      </c>
      <c r="Q48" s="275">
        <f>'AOC forecast'!G62+'AOC forecast'!G68</f>
        <v>41.314569322808062</v>
      </c>
      <c r="R48" s="275">
        <f>'AOC forecast'!H62+'AOC forecast'!H68</f>
        <v>73.672164000000009</v>
      </c>
      <c r="S48" s="275">
        <f>'AOC forecast'!I62+'AOC forecast'!I68</f>
        <v>0</v>
      </c>
      <c r="T48" s="275">
        <f>'AOC forecast'!J62+'AOC forecast'!J68</f>
        <v>0</v>
      </c>
      <c r="U48" s="275">
        <f>'AOC forecast'!K62+'AOC forecast'!K68</f>
        <v>0</v>
      </c>
      <c r="V48" s="275">
        <f>'AOC forecast'!L62+'AOC forecast'!L68</f>
        <v>0</v>
      </c>
      <c r="W48" s="275">
        <f>'AOC forecast'!M62+'AOC forecast'!M68</f>
        <v>0</v>
      </c>
      <c r="X48" s="275">
        <f>'AOC forecast'!N62+'AOC forecast'!N68</f>
        <v>0</v>
      </c>
      <c r="Y48" s="275">
        <f>'AOC forecast'!O62+'AOC forecast'!O68</f>
        <v>0</v>
      </c>
      <c r="Z48" s="275">
        <f>'AOC forecast'!P62+'AOC forecast'!P68</f>
        <v>0</v>
      </c>
      <c r="AA48" s="275">
        <f>'AOC forecast'!Q62+'AOC forecast'!Q68</f>
        <v>0</v>
      </c>
      <c r="AB48" s="275">
        <f>'AOC forecast'!R62+'AOC forecast'!R68</f>
        <v>0</v>
      </c>
    </row>
    <row r="49" spans="2:28" ht="15.6">
      <c r="B49" s="314" t="s">
        <v>164</v>
      </c>
      <c r="C49" s="368">
        <f>'AOC forecast'!G25-Summary!C48</f>
        <v>828208.35714285728</v>
      </c>
      <c r="D49" s="368">
        <f>'AOC forecast'!H25-Summary!D48</f>
        <v>707074</v>
      </c>
      <c r="E49" s="368">
        <f>'AOC forecast'!I25-Summary!E48</f>
        <v>0</v>
      </c>
      <c r="F49" s="368">
        <f>'AOC forecast'!J25-Summary!F48</f>
        <v>0</v>
      </c>
      <c r="G49" s="368">
        <f>'AOC forecast'!K25-Summary!G48</f>
        <v>0</v>
      </c>
      <c r="H49" s="368">
        <f>'AOC forecast'!L25-Summary!H48</f>
        <v>0</v>
      </c>
      <c r="I49" s="368">
        <f>'AOC forecast'!M25-Summary!I48</f>
        <v>0</v>
      </c>
      <c r="J49" s="368">
        <f>'AOC forecast'!N25-Summary!J48</f>
        <v>0</v>
      </c>
      <c r="K49" s="368">
        <f>'AOC forecast'!O25-Summary!K48</f>
        <v>0</v>
      </c>
      <c r="L49" s="368">
        <f>'AOC forecast'!P25-Summary!L48</f>
        <v>0</v>
      </c>
      <c r="M49" s="368">
        <f>'AOC forecast'!Q25-Summary!M48</f>
        <v>0</v>
      </c>
      <c r="N49" s="368">
        <f>'AOC forecast'!R25-Summary!N48</f>
        <v>0</v>
      </c>
      <c r="P49" s="314" t="s">
        <v>164</v>
      </c>
      <c r="Q49" s="275">
        <f>'AOC forecast'!G79-Summary!Q48</f>
        <v>180.40997547042477</v>
      </c>
      <c r="R49" s="275">
        <f>'AOC forecast'!H79-Summary!R48</f>
        <v>132.98724733354021</v>
      </c>
      <c r="S49" s="275">
        <f>'AOC forecast'!I79-Summary!S48</f>
        <v>0</v>
      </c>
      <c r="T49" s="275">
        <f>'AOC forecast'!J79-Summary!T48</f>
        <v>0</v>
      </c>
      <c r="U49" s="275">
        <f>'AOC forecast'!K79-Summary!U48</f>
        <v>0</v>
      </c>
      <c r="V49" s="275">
        <f>'AOC forecast'!L79-Summary!V48</f>
        <v>0</v>
      </c>
      <c r="W49" s="275">
        <f>'AOC forecast'!M79-Summary!W48</f>
        <v>0</v>
      </c>
      <c r="X49" s="275">
        <f>'AOC forecast'!N79-Summary!X48</f>
        <v>0</v>
      </c>
      <c r="Y49" s="275">
        <f>'AOC forecast'!O79-Summary!Y48</f>
        <v>0</v>
      </c>
      <c r="Z49" s="275">
        <f>'AOC forecast'!P79-Summary!Z48</f>
        <v>0</v>
      </c>
      <c r="AA49" s="275">
        <f>'AOC forecast'!Q79-Summary!AA48</f>
        <v>0</v>
      </c>
      <c r="AB49" s="275">
        <f>'AOC forecast'!R79-Summary!AB48</f>
        <v>0</v>
      </c>
    </row>
    <row r="51" spans="2:28">
      <c r="P51" s="163"/>
      <c r="Q51" s="163"/>
    </row>
    <row r="52" spans="2:28" ht="23.4">
      <c r="B52" s="53" t="s">
        <v>196</v>
      </c>
    </row>
    <row r="75" spans="2:30" ht="15.6">
      <c r="B75" s="263" t="s">
        <v>133</v>
      </c>
      <c r="C75" s="265">
        <v>2016</v>
      </c>
      <c r="D75" s="265">
        <v>2017</v>
      </c>
      <c r="E75" s="265">
        <v>2018</v>
      </c>
      <c r="F75" s="265">
        <v>2019</v>
      </c>
      <c r="G75" s="265">
        <v>2020</v>
      </c>
      <c r="H75" s="265">
        <v>2021</v>
      </c>
      <c r="I75" s="265">
        <v>2022</v>
      </c>
      <c r="J75" s="265">
        <v>2023</v>
      </c>
      <c r="K75" s="265">
        <v>2024</v>
      </c>
      <c r="L75" s="265">
        <v>2025</v>
      </c>
      <c r="M75" s="265">
        <v>2026</v>
      </c>
      <c r="N75" s="265">
        <v>2027</v>
      </c>
    </row>
    <row r="76" spans="2:30" ht="14.4">
      <c r="B76" s="333" t="s">
        <v>166</v>
      </c>
      <c r="C76" s="334">
        <f>'AOC forecast'!G8</f>
        <v>1654178</v>
      </c>
      <c r="D76" s="334">
        <f>'AOC forecast'!H8</f>
        <v>3231705</v>
      </c>
      <c r="E76" s="334">
        <f>'AOC forecast'!I8</f>
        <v>0</v>
      </c>
      <c r="F76" s="334">
        <f>'AOC forecast'!J8</f>
        <v>0</v>
      </c>
      <c r="G76" s="334">
        <f>'AOC forecast'!K8</f>
        <v>0</v>
      </c>
      <c r="H76" s="334">
        <f>'AOC forecast'!L8</f>
        <v>0</v>
      </c>
      <c r="I76" s="334">
        <f>'AOC forecast'!M8</f>
        <v>0</v>
      </c>
      <c r="J76" s="334">
        <f>'AOC forecast'!N8</f>
        <v>0</v>
      </c>
      <c r="K76" s="334">
        <f>'AOC forecast'!O8</f>
        <v>0</v>
      </c>
      <c r="L76" s="334">
        <f>'AOC forecast'!P8</f>
        <v>0</v>
      </c>
      <c r="M76" s="334">
        <f>'AOC forecast'!Q8</f>
        <v>0</v>
      </c>
      <c r="N76" s="334">
        <f>'AOC forecast'!R8</f>
        <v>0</v>
      </c>
    </row>
    <row r="77" spans="2:30" ht="14.4">
      <c r="B77" s="335" t="s">
        <v>167</v>
      </c>
      <c r="C77" s="336">
        <f>'AOC forecast'!G14</f>
        <v>10000</v>
      </c>
      <c r="D77" s="336">
        <f>'AOC forecast'!H14</f>
        <v>170652</v>
      </c>
      <c r="E77" s="336">
        <f>'AOC forecast'!I14</f>
        <v>0</v>
      </c>
      <c r="F77" s="336">
        <f>'AOC forecast'!J14</f>
        <v>0</v>
      </c>
      <c r="G77" s="336">
        <f>'AOC forecast'!K14</f>
        <v>0</v>
      </c>
      <c r="H77" s="336">
        <f>'AOC forecast'!L14</f>
        <v>0</v>
      </c>
      <c r="I77" s="336">
        <f>'AOC forecast'!M14</f>
        <v>0</v>
      </c>
      <c r="J77" s="336">
        <f>'AOC forecast'!N14</f>
        <v>0</v>
      </c>
      <c r="K77" s="336">
        <f>'AOC forecast'!O14</f>
        <v>0</v>
      </c>
      <c r="L77" s="336">
        <f>'AOC forecast'!P14</f>
        <v>0</v>
      </c>
      <c r="M77" s="336">
        <f>'AOC forecast'!Q14</f>
        <v>0</v>
      </c>
      <c r="N77" s="336">
        <f>'AOC forecast'!R14</f>
        <v>0</v>
      </c>
    </row>
    <row r="78" spans="2:30" ht="14.4">
      <c r="B78" s="333" t="s">
        <v>168</v>
      </c>
      <c r="C78" s="334">
        <f>'Copper cable forecast'!C8</f>
        <v>4845145.5</v>
      </c>
      <c r="D78" s="334">
        <f>'Copper cable forecast'!D8</f>
        <v>4589910</v>
      </c>
      <c r="E78" s="334">
        <f>'Copper cable forecast'!E8</f>
        <v>0</v>
      </c>
      <c r="F78" s="334">
        <f>'Copper cable forecast'!F8</f>
        <v>0</v>
      </c>
      <c r="G78" s="334">
        <f>'Copper cable forecast'!G8</f>
        <v>0</v>
      </c>
      <c r="H78" s="334">
        <f>'Copper cable forecast'!H8</f>
        <v>0</v>
      </c>
      <c r="I78" s="334">
        <f>'Copper cable forecast'!I8</f>
        <v>0</v>
      </c>
      <c r="J78" s="334">
        <f>'Copper cable forecast'!J8</f>
        <v>0</v>
      </c>
      <c r="K78" s="334">
        <f>'Copper cable forecast'!K8</f>
        <v>0</v>
      </c>
      <c r="L78" s="334">
        <f>'Copper cable forecast'!L8</f>
        <v>0</v>
      </c>
      <c r="M78" s="334">
        <f>'Copper cable forecast'!M8</f>
        <v>0</v>
      </c>
      <c r="N78" s="334">
        <f>'Copper cable forecast'!N8</f>
        <v>0</v>
      </c>
    </row>
    <row r="79" spans="2:30" ht="15.6">
      <c r="B79" s="335" t="s">
        <v>169</v>
      </c>
      <c r="C79" s="336">
        <f>'Copper cable forecast'!C9</f>
        <v>568611.75000000012</v>
      </c>
      <c r="D79" s="336">
        <f>'Copper cable forecast'!D9</f>
        <v>1246925.55</v>
      </c>
      <c r="E79" s="336">
        <f>'Copper cable forecast'!E9</f>
        <v>0</v>
      </c>
      <c r="F79" s="336">
        <f>'Copper cable forecast'!F9</f>
        <v>0</v>
      </c>
      <c r="G79" s="336">
        <f>'Copper cable forecast'!G9</f>
        <v>0</v>
      </c>
      <c r="H79" s="336">
        <f>'Copper cable forecast'!H9</f>
        <v>0</v>
      </c>
      <c r="I79" s="336">
        <f>'Copper cable forecast'!I9</f>
        <v>0</v>
      </c>
      <c r="J79" s="336">
        <f>'Copper cable forecast'!J9</f>
        <v>0</v>
      </c>
      <c r="K79" s="336">
        <f>'Copper cable forecast'!K9</f>
        <v>0</v>
      </c>
      <c r="L79" s="336">
        <f>'Copper cable forecast'!L9</f>
        <v>0</v>
      </c>
      <c r="M79" s="336">
        <f>'Copper cable forecast'!M9</f>
        <v>0</v>
      </c>
      <c r="N79" s="336">
        <f>'Copper cable forecast'!N9</f>
        <v>0</v>
      </c>
      <c r="O79" s="268"/>
      <c r="AC79" s="264"/>
      <c r="AD79" s="272"/>
    </row>
    <row r="80" spans="2:30" ht="15.6">
      <c r="B80" s="333" t="s">
        <v>171</v>
      </c>
      <c r="C80" s="334">
        <f>'AOC forecast'!G9</f>
        <v>338994</v>
      </c>
      <c r="D80" s="334">
        <f>'AOC forecast'!H9</f>
        <v>205928</v>
      </c>
      <c r="E80" s="334">
        <f>'AOC forecast'!I9</f>
        <v>0</v>
      </c>
      <c r="F80" s="334">
        <f>'AOC forecast'!J9</f>
        <v>0</v>
      </c>
      <c r="G80" s="334">
        <f>'AOC forecast'!K9</f>
        <v>0</v>
      </c>
      <c r="H80" s="334">
        <f>'AOC forecast'!L9</f>
        <v>0</v>
      </c>
      <c r="I80" s="334">
        <f>'AOC forecast'!M9</f>
        <v>0</v>
      </c>
      <c r="J80" s="334">
        <f>'AOC forecast'!N9</f>
        <v>0</v>
      </c>
      <c r="K80" s="334">
        <f>'AOC forecast'!O9</f>
        <v>0</v>
      </c>
      <c r="L80" s="334">
        <f>'AOC forecast'!P9</f>
        <v>0</v>
      </c>
      <c r="M80" s="334">
        <f>'AOC forecast'!Q9</f>
        <v>0</v>
      </c>
      <c r="N80" s="334">
        <f>'AOC forecast'!R9</f>
        <v>0</v>
      </c>
      <c r="O80" s="268"/>
      <c r="AC80" s="264"/>
      <c r="AD80" s="272"/>
    </row>
    <row r="81" spans="2:30" ht="15.6">
      <c r="B81" s="335" t="s">
        <v>170</v>
      </c>
      <c r="C81" s="336">
        <f>'AOC forecast'!G15</f>
        <v>140000</v>
      </c>
      <c r="D81" s="336">
        <f>'AOC forecast'!H15</f>
        <v>196709</v>
      </c>
      <c r="E81" s="336">
        <f>'AOC forecast'!I15</f>
        <v>0</v>
      </c>
      <c r="F81" s="336">
        <f>'AOC forecast'!J15</f>
        <v>0</v>
      </c>
      <c r="G81" s="336">
        <f>'AOC forecast'!K15</f>
        <v>0</v>
      </c>
      <c r="H81" s="336">
        <f>'AOC forecast'!L15</f>
        <v>0</v>
      </c>
      <c r="I81" s="336">
        <f>'AOC forecast'!M15</f>
        <v>0</v>
      </c>
      <c r="J81" s="336">
        <f>'AOC forecast'!N15</f>
        <v>0</v>
      </c>
      <c r="K81" s="336">
        <f>'AOC forecast'!O15</f>
        <v>0</v>
      </c>
      <c r="L81" s="336">
        <f>'AOC forecast'!P15</f>
        <v>0</v>
      </c>
      <c r="M81" s="336">
        <f>'AOC forecast'!Q15</f>
        <v>0</v>
      </c>
      <c r="N81" s="336">
        <f>'AOC forecast'!R15</f>
        <v>0</v>
      </c>
      <c r="O81" s="268"/>
      <c r="AC81" s="264"/>
      <c r="AD81" s="272"/>
    </row>
    <row r="82" spans="2:30" ht="15.6">
      <c r="B82" s="333" t="s">
        <v>172</v>
      </c>
      <c r="C82" s="334">
        <f>C210</f>
        <v>1672205.7074885746</v>
      </c>
      <c r="D82" s="334">
        <f t="shared" ref="D82:L82" si="0">D210</f>
        <v>1222748.8825000001</v>
      </c>
      <c r="E82" s="334">
        <f t="shared" si="0"/>
        <v>0</v>
      </c>
      <c r="F82" s="334">
        <f t="shared" si="0"/>
        <v>0</v>
      </c>
      <c r="G82" s="334">
        <f t="shared" si="0"/>
        <v>0</v>
      </c>
      <c r="H82" s="334">
        <f t="shared" si="0"/>
        <v>0</v>
      </c>
      <c r="I82" s="334">
        <f t="shared" si="0"/>
        <v>0</v>
      </c>
      <c r="J82" s="334">
        <f t="shared" si="0"/>
        <v>0</v>
      </c>
      <c r="K82" s="334">
        <f t="shared" si="0"/>
        <v>0</v>
      </c>
      <c r="L82" s="334">
        <f t="shared" si="0"/>
        <v>0</v>
      </c>
      <c r="M82" s="334">
        <f>M210</f>
        <v>0</v>
      </c>
      <c r="N82" s="334">
        <f>N210</f>
        <v>0</v>
      </c>
      <c r="AC82" s="264"/>
      <c r="AD82" s="272"/>
    </row>
    <row r="83" spans="2:30" ht="15.6">
      <c r="B83" s="341" t="s">
        <v>241</v>
      </c>
      <c r="C83" s="336">
        <f>C212</f>
        <v>162811.34000000003</v>
      </c>
      <c r="D83" s="336">
        <f t="shared" ref="D83:L83" si="1">D212</f>
        <v>464323.94</v>
      </c>
      <c r="E83" s="336">
        <f t="shared" si="1"/>
        <v>0</v>
      </c>
      <c r="F83" s="336">
        <f t="shared" si="1"/>
        <v>0</v>
      </c>
      <c r="G83" s="336">
        <f t="shared" si="1"/>
        <v>0</v>
      </c>
      <c r="H83" s="336">
        <f t="shared" si="1"/>
        <v>0</v>
      </c>
      <c r="I83" s="336">
        <f t="shared" si="1"/>
        <v>0</v>
      </c>
      <c r="J83" s="336">
        <f t="shared" si="1"/>
        <v>0</v>
      </c>
      <c r="K83" s="336">
        <f t="shared" si="1"/>
        <v>0</v>
      </c>
      <c r="L83" s="336">
        <f t="shared" si="1"/>
        <v>0</v>
      </c>
      <c r="M83" s="336">
        <f>M212</f>
        <v>0</v>
      </c>
      <c r="N83" s="336">
        <f>N212</f>
        <v>0</v>
      </c>
      <c r="AC83" s="264"/>
      <c r="AD83" s="272"/>
    </row>
    <row r="84" spans="2:30" ht="15.6">
      <c r="B84" s="333" t="s">
        <v>173</v>
      </c>
      <c r="C84" s="334">
        <f>'AOC forecast'!G20</f>
        <v>0</v>
      </c>
      <c r="D84" s="334">
        <f>'AOC forecast'!H20</f>
        <v>0</v>
      </c>
      <c r="E84" s="334">
        <f>'AOC forecast'!I20</f>
        <v>0</v>
      </c>
      <c r="F84" s="334">
        <f>'AOC forecast'!J20</f>
        <v>0</v>
      </c>
      <c r="G84" s="334">
        <f>'AOC forecast'!K20</f>
        <v>0</v>
      </c>
      <c r="H84" s="334">
        <f>'AOC forecast'!L20</f>
        <v>0</v>
      </c>
      <c r="I84" s="334">
        <f>'AOC forecast'!M20</f>
        <v>0</v>
      </c>
      <c r="J84" s="334">
        <f>'AOC forecast'!N20</f>
        <v>0</v>
      </c>
      <c r="K84" s="334">
        <f>'AOC forecast'!O20</f>
        <v>0</v>
      </c>
      <c r="L84" s="334">
        <f>'AOC forecast'!P20</f>
        <v>0</v>
      </c>
      <c r="M84" s="334">
        <f>'AOC forecast'!Q20</f>
        <v>0</v>
      </c>
      <c r="N84" s="334">
        <f>'AOC forecast'!R20</f>
        <v>0</v>
      </c>
      <c r="AC84" s="264"/>
      <c r="AD84" s="272"/>
    </row>
    <row r="85" spans="2:30" ht="14.4">
      <c r="B85" s="335" t="s">
        <v>165</v>
      </c>
      <c r="C85" s="336">
        <f>'AOC forecast'!G21</f>
        <v>0</v>
      </c>
      <c r="D85" s="336">
        <f>'AOC forecast'!H21</f>
        <v>0</v>
      </c>
      <c r="E85" s="336">
        <f>'AOC forecast'!I21</f>
        <v>0</v>
      </c>
      <c r="F85" s="336">
        <f>'AOC forecast'!J21</f>
        <v>0</v>
      </c>
      <c r="G85" s="336">
        <f>'AOC forecast'!K21</f>
        <v>0</v>
      </c>
      <c r="H85" s="336">
        <f>'AOC forecast'!L21</f>
        <v>0</v>
      </c>
      <c r="I85" s="336">
        <f>'AOC forecast'!M21</f>
        <v>0</v>
      </c>
      <c r="J85" s="336">
        <f>'AOC forecast'!N21</f>
        <v>0</v>
      </c>
      <c r="K85" s="336">
        <f>'AOC forecast'!O21</f>
        <v>0</v>
      </c>
      <c r="L85" s="336">
        <f>'AOC forecast'!P21</f>
        <v>0</v>
      </c>
      <c r="M85" s="336">
        <f>'AOC forecast'!Q21</f>
        <v>0</v>
      </c>
      <c r="N85" s="336">
        <f>'AOC forecast'!R21</f>
        <v>0</v>
      </c>
    </row>
    <row r="86" spans="2:30" ht="14.4">
      <c r="B86" s="342" t="s">
        <v>242</v>
      </c>
      <c r="C86" s="334">
        <f>C213</f>
        <v>0</v>
      </c>
      <c r="D86" s="334">
        <f t="shared" ref="D86:L87" si="2">D213</f>
        <v>0</v>
      </c>
      <c r="E86" s="334">
        <f t="shared" si="2"/>
        <v>0</v>
      </c>
      <c r="F86" s="334">
        <f t="shared" si="2"/>
        <v>0</v>
      </c>
      <c r="G86" s="334">
        <f t="shared" si="2"/>
        <v>0</v>
      </c>
      <c r="H86" s="334">
        <f t="shared" si="2"/>
        <v>0</v>
      </c>
      <c r="I86" s="334">
        <f t="shared" si="2"/>
        <v>0</v>
      </c>
      <c r="J86" s="334">
        <f t="shared" si="2"/>
        <v>0</v>
      </c>
      <c r="K86" s="334">
        <f t="shared" si="2"/>
        <v>0</v>
      </c>
      <c r="L86" s="334">
        <f t="shared" si="2"/>
        <v>0</v>
      </c>
      <c r="M86" s="334">
        <f>M213</f>
        <v>0</v>
      </c>
      <c r="N86" s="334">
        <f>N213</f>
        <v>0</v>
      </c>
    </row>
    <row r="87" spans="2:30" ht="14.4">
      <c r="B87" s="341" t="s">
        <v>243</v>
      </c>
      <c r="C87" s="336">
        <f>C214</f>
        <v>0</v>
      </c>
      <c r="D87" s="336">
        <f t="shared" si="2"/>
        <v>0</v>
      </c>
      <c r="E87" s="336">
        <f t="shared" si="2"/>
        <v>0</v>
      </c>
      <c r="F87" s="336">
        <f t="shared" si="2"/>
        <v>0</v>
      </c>
      <c r="G87" s="336">
        <f t="shared" si="2"/>
        <v>0</v>
      </c>
      <c r="H87" s="336">
        <f t="shared" si="2"/>
        <v>0</v>
      </c>
      <c r="I87" s="336">
        <f t="shared" si="2"/>
        <v>0</v>
      </c>
      <c r="J87" s="336">
        <f t="shared" si="2"/>
        <v>0</v>
      </c>
      <c r="K87" s="336">
        <f t="shared" si="2"/>
        <v>0</v>
      </c>
      <c r="L87" s="336">
        <f t="shared" si="2"/>
        <v>0</v>
      </c>
      <c r="M87" s="336">
        <f>M214</f>
        <v>0</v>
      </c>
      <c r="N87" s="336">
        <f>N214</f>
        <v>0</v>
      </c>
    </row>
    <row r="88" spans="2:30" ht="14.4">
      <c r="B88" s="342" t="s">
        <v>179</v>
      </c>
      <c r="C88" s="334">
        <f>'AOC forecast'!G23</f>
        <v>0</v>
      </c>
      <c r="D88" s="334">
        <f>'AOC forecast'!H23</f>
        <v>0</v>
      </c>
      <c r="E88" s="334">
        <f>'AOC forecast'!I23</f>
        <v>0</v>
      </c>
      <c r="F88" s="334">
        <f>'AOC forecast'!J23</f>
        <v>0</v>
      </c>
      <c r="G88" s="334">
        <f>'AOC forecast'!K23</f>
        <v>0</v>
      </c>
      <c r="H88" s="334">
        <f>'AOC forecast'!L23</f>
        <v>0</v>
      </c>
      <c r="I88" s="334">
        <f>'AOC forecast'!M23</f>
        <v>0</v>
      </c>
      <c r="J88" s="334">
        <f>'AOC forecast'!N23</f>
        <v>0</v>
      </c>
      <c r="K88" s="334">
        <f>'AOC forecast'!O23</f>
        <v>0</v>
      </c>
      <c r="L88" s="334">
        <f>'AOC forecast'!P23</f>
        <v>0</v>
      </c>
      <c r="M88" s="334">
        <f>'AOC forecast'!Q23</f>
        <v>0</v>
      </c>
      <c r="N88" s="334">
        <f>'AOC forecast'!R23</f>
        <v>0</v>
      </c>
    </row>
    <row r="89" spans="2:30" ht="14.4">
      <c r="B89" s="341" t="s">
        <v>238</v>
      </c>
      <c r="C89" s="336">
        <f>'AOC forecast'!G24</f>
        <v>0</v>
      </c>
      <c r="D89" s="336">
        <f>'AOC forecast'!H24</f>
        <v>0</v>
      </c>
      <c r="E89" s="336">
        <f>'AOC forecast'!I24</f>
        <v>0</v>
      </c>
      <c r="F89" s="336">
        <f>'AOC forecast'!J24</f>
        <v>0</v>
      </c>
      <c r="G89" s="336">
        <f>'AOC forecast'!K24</f>
        <v>0</v>
      </c>
      <c r="H89" s="336">
        <f>'AOC forecast'!L24</f>
        <v>0</v>
      </c>
      <c r="I89" s="336">
        <f>'AOC forecast'!M24</f>
        <v>0</v>
      </c>
      <c r="J89" s="336">
        <f>'AOC forecast'!N24</f>
        <v>0</v>
      </c>
      <c r="K89" s="336">
        <f>'AOC forecast'!O24</f>
        <v>0</v>
      </c>
      <c r="L89" s="336">
        <f>'AOC forecast'!P24</f>
        <v>0</v>
      </c>
      <c r="M89" s="336">
        <f>'AOC forecast'!Q24</f>
        <v>0</v>
      </c>
      <c r="N89" s="336">
        <f>'AOC forecast'!R24</f>
        <v>0</v>
      </c>
    </row>
    <row r="90" spans="2:30" ht="14.4">
      <c r="B90" s="342" t="s">
        <v>244</v>
      </c>
      <c r="C90" s="334"/>
      <c r="D90" s="334"/>
      <c r="E90" s="334"/>
      <c r="F90" s="334"/>
      <c r="G90" s="334"/>
      <c r="H90" s="334">
        <f>'Copper cable forecast'!H18+'Copper cable forecast'!H19</f>
        <v>0</v>
      </c>
      <c r="I90" s="334">
        <f>'Copper cable forecast'!I18+'Copper cable forecast'!I19</f>
        <v>0</v>
      </c>
      <c r="J90" s="334">
        <f>'Copper cable forecast'!J18+'Copper cable forecast'!J19</f>
        <v>0</v>
      </c>
      <c r="K90" s="334">
        <f>'Copper cable forecast'!K18+'Copper cable forecast'!K19</f>
        <v>0</v>
      </c>
      <c r="L90" s="334">
        <f>'Copper cable forecast'!L18+'Copper cable forecast'!L19</f>
        <v>0</v>
      </c>
      <c r="M90" s="334">
        <f>'Copper cable forecast'!M18+'Copper cable forecast'!M19</f>
        <v>0</v>
      </c>
      <c r="N90" s="334">
        <f>'Copper cable forecast'!N18+'Copper cable forecast'!N19</f>
        <v>0</v>
      </c>
    </row>
    <row r="91" spans="2:30" ht="14.4">
      <c r="B91" s="341" t="s">
        <v>245</v>
      </c>
      <c r="C91" s="336"/>
      <c r="D91" s="336"/>
      <c r="E91" s="336"/>
      <c r="F91" s="336"/>
      <c r="G91" s="336"/>
      <c r="H91" s="336"/>
      <c r="I91" s="336"/>
      <c r="J91" s="336"/>
      <c r="K91" s="336">
        <f>'Copper cable forecast'!K20+'Copper cable forecast'!K21</f>
        <v>0</v>
      </c>
      <c r="L91" s="336">
        <f>'Copper cable forecast'!L20+'Copper cable forecast'!L21</f>
        <v>0</v>
      </c>
      <c r="M91" s="336">
        <f>'Copper cable forecast'!M20+'Copper cable forecast'!M21</f>
        <v>0</v>
      </c>
      <c r="N91" s="336">
        <f>'Copper cable forecast'!N20+'Copper cable forecast'!N21</f>
        <v>0</v>
      </c>
    </row>
    <row r="92" spans="2:30" ht="14.4">
      <c r="B92" s="369"/>
      <c r="C92" s="370"/>
      <c r="D92" s="370"/>
      <c r="E92" s="370"/>
      <c r="F92" s="370"/>
      <c r="G92" s="370"/>
      <c r="H92" s="370"/>
      <c r="I92" s="370"/>
      <c r="J92" s="370"/>
      <c r="K92" s="370"/>
      <c r="L92" s="370"/>
      <c r="M92" s="370"/>
      <c r="N92" s="370"/>
    </row>
    <row r="93" spans="2:30" ht="14.4">
      <c r="B93" s="369"/>
      <c r="C93" s="370"/>
      <c r="D93" s="370"/>
      <c r="E93" s="370"/>
      <c r="F93" s="370"/>
      <c r="G93" s="370"/>
      <c r="H93" s="370"/>
      <c r="I93" s="370"/>
      <c r="J93" s="370"/>
      <c r="K93" s="370"/>
      <c r="L93" s="370"/>
      <c r="M93" s="370"/>
      <c r="N93" s="370"/>
    </row>
    <row r="94" spans="2:30" ht="14.4">
      <c r="B94" s="315"/>
      <c r="C94" s="267"/>
      <c r="D94" s="267"/>
      <c r="E94" s="267"/>
      <c r="F94" s="267"/>
      <c r="G94" s="267"/>
      <c r="H94" s="267"/>
      <c r="I94" s="267"/>
      <c r="J94" s="267"/>
      <c r="K94" s="267"/>
      <c r="L94" s="267"/>
      <c r="P94" s="258"/>
      <c r="Q94" s="267"/>
      <c r="R94" s="267"/>
      <c r="S94" s="267"/>
      <c r="T94" s="267"/>
      <c r="U94" s="267"/>
      <c r="V94" s="267"/>
      <c r="W94" s="267"/>
      <c r="X94" s="267"/>
      <c r="Y94" s="267"/>
      <c r="Z94" s="267"/>
    </row>
    <row r="95" spans="2:30" ht="23.4">
      <c r="B95" s="53" t="s">
        <v>197</v>
      </c>
    </row>
    <row r="118" spans="2:30" ht="15.6">
      <c r="B118" s="263" t="s">
        <v>132</v>
      </c>
      <c r="C118" s="265">
        <v>2016</v>
      </c>
      <c r="D118" s="265">
        <v>2017</v>
      </c>
      <c r="E118" s="265">
        <v>2018</v>
      </c>
      <c r="F118" s="265">
        <v>2019</v>
      </c>
      <c r="G118" s="265">
        <v>2020</v>
      </c>
      <c r="H118" s="265">
        <v>2021</v>
      </c>
      <c r="I118" s="265">
        <v>2022</v>
      </c>
      <c r="J118" s="265">
        <v>2023</v>
      </c>
      <c r="K118" s="265">
        <v>2024</v>
      </c>
      <c r="L118" s="265">
        <v>2025</v>
      </c>
      <c r="M118" s="265">
        <v>2026</v>
      </c>
      <c r="N118" s="265">
        <v>2027</v>
      </c>
      <c r="P118" s="245"/>
    </row>
    <row r="119" spans="2:30" ht="15.6">
      <c r="B119" s="258" t="str">
        <f t="shared" ref="B119:B130" si="3">B76</f>
        <v>10G AOCs</v>
      </c>
      <c r="C119" s="337">
        <f>'AOC forecast'!G62</f>
        <v>40.21456932280806</v>
      </c>
      <c r="D119" s="337">
        <f>'AOC forecast'!H62</f>
        <v>60.527746000000008</v>
      </c>
      <c r="E119" s="337">
        <f>'AOC forecast'!I62</f>
        <v>0</v>
      </c>
      <c r="F119" s="337">
        <f>'AOC forecast'!J62</f>
        <v>0</v>
      </c>
      <c r="G119" s="337">
        <f>'AOC forecast'!K62</f>
        <v>0</v>
      </c>
      <c r="H119" s="337">
        <f>'AOC forecast'!L62</f>
        <v>0</v>
      </c>
      <c r="I119" s="337">
        <f>'AOC forecast'!M62</f>
        <v>0</v>
      </c>
      <c r="J119" s="337">
        <f>'AOC forecast'!N62</f>
        <v>0</v>
      </c>
      <c r="K119" s="337">
        <f>'AOC forecast'!O62</f>
        <v>0</v>
      </c>
      <c r="L119" s="337">
        <f>'AOC forecast'!P62</f>
        <v>0</v>
      </c>
      <c r="M119" s="337">
        <f>'AOC forecast'!Q62</f>
        <v>0</v>
      </c>
      <c r="N119" s="337">
        <f>'AOC forecast'!R62</f>
        <v>0</v>
      </c>
      <c r="P119" s="439"/>
      <c r="Q119" s="16"/>
      <c r="AD119" s="271"/>
    </row>
    <row r="120" spans="2:30" ht="15.6">
      <c r="B120" s="338" t="str">
        <f t="shared" si="3"/>
        <v>25G AOCs</v>
      </c>
      <c r="C120" s="339">
        <f>'AOC forecast'!G68</f>
        <v>1.1000000000000001</v>
      </c>
      <c r="D120" s="339">
        <f>'AOC forecast'!H68</f>
        <v>13.144417999999996</v>
      </c>
      <c r="E120" s="339">
        <f>'AOC forecast'!I68</f>
        <v>0</v>
      </c>
      <c r="F120" s="339">
        <f>'AOC forecast'!J68</f>
        <v>0</v>
      </c>
      <c r="G120" s="339">
        <f>'AOC forecast'!K68</f>
        <v>0</v>
      </c>
      <c r="H120" s="339">
        <f>'AOC forecast'!L68</f>
        <v>0</v>
      </c>
      <c r="I120" s="339">
        <f>'AOC forecast'!M68</f>
        <v>0</v>
      </c>
      <c r="J120" s="339">
        <f>'AOC forecast'!N68</f>
        <v>0</v>
      </c>
      <c r="K120" s="339">
        <f>'AOC forecast'!O68</f>
        <v>0</v>
      </c>
      <c r="L120" s="339">
        <f>'AOC forecast'!P68</f>
        <v>0</v>
      </c>
      <c r="M120" s="339">
        <f>'AOC forecast'!Q68</f>
        <v>0</v>
      </c>
      <c r="N120" s="339">
        <f>'AOC forecast'!R68</f>
        <v>0</v>
      </c>
      <c r="P120" s="75"/>
      <c r="Q120" s="16"/>
      <c r="AD120" s="272"/>
    </row>
    <row r="121" spans="2:30" ht="15.6">
      <c r="B121" s="258" t="str">
        <f t="shared" si="3"/>
        <v>10G DACs</v>
      </c>
      <c r="C121" s="337">
        <f>'Copper cable forecast'!C58</f>
        <v>70.673932160447592</v>
      </c>
      <c r="D121" s="337">
        <f>'Copper cable forecast'!D58</f>
        <v>51.579628705502515</v>
      </c>
      <c r="E121" s="337">
        <f>'Copper cable forecast'!E58</f>
        <v>0</v>
      </c>
      <c r="F121" s="337">
        <f>'Copper cable forecast'!F58</f>
        <v>0</v>
      </c>
      <c r="G121" s="337">
        <f>'Copper cable forecast'!G58</f>
        <v>0</v>
      </c>
      <c r="H121" s="337">
        <f>'Copper cable forecast'!H58</f>
        <v>0</v>
      </c>
      <c r="I121" s="337">
        <f>'Copper cable forecast'!I58</f>
        <v>0</v>
      </c>
      <c r="J121" s="337">
        <f>'Copper cable forecast'!J58</f>
        <v>0</v>
      </c>
      <c r="K121" s="337">
        <f>'Copper cable forecast'!K58</f>
        <v>0</v>
      </c>
      <c r="L121" s="337">
        <f>'Copper cable forecast'!L58</f>
        <v>0</v>
      </c>
      <c r="M121" s="337">
        <f>'Copper cable forecast'!M58</f>
        <v>0</v>
      </c>
      <c r="N121" s="337">
        <f>'Copper cable forecast'!N58</f>
        <v>0</v>
      </c>
      <c r="AC121" s="264"/>
      <c r="AD121" s="272"/>
    </row>
    <row r="122" spans="2:30" ht="15.6">
      <c r="B122" s="338" t="str">
        <f t="shared" si="3"/>
        <v>25G DACs</v>
      </c>
      <c r="C122" s="339">
        <f>'Copper cable forecast'!C59</f>
        <v>37.52837550000001</v>
      </c>
      <c r="D122" s="339">
        <f>'Copper cable forecast'!D59</f>
        <v>57.626435004851608</v>
      </c>
      <c r="E122" s="339">
        <f>'Copper cable forecast'!E59</f>
        <v>0</v>
      </c>
      <c r="F122" s="339">
        <f>'Copper cable forecast'!F59</f>
        <v>0</v>
      </c>
      <c r="G122" s="339">
        <f>'Copper cable forecast'!G59</f>
        <v>0</v>
      </c>
      <c r="H122" s="339">
        <f>'Copper cable forecast'!H59</f>
        <v>0</v>
      </c>
      <c r="I122" s="339">
        <f>'Copper cable forecast'!I59</f>
        <v>0</v>
      </c>
      <c r="J122" s="339">
        <f>'Copper cable forecast'!J59</f>
        <v>0</v>
      </c>
      <c r="K122" s="339">
        <f>'Copper cable forecast'!K59</f>
        <v>0</v>
      </c>
      <c r="L122" s="339">
        <f>'Copper cable forecast'!L59</f>
        <v>0</v>
      </c>
      <c r="M122" s="339">
        <f>'Copper cable forecast'!M59</f>
        <v>0</v>
      </c>
      <c r="N122" s="339">
        <f>'Copper cable forecast'!N59</f>
        <v>0</v>
      </c>
      <c r="O122" s="268"/>
      <c r="P122" s="439"/>
      <c r="Q122" s="16"/>
      <c r="R122" s="268"/>
      <c r="S122" s="268"/>
      <c r="T122" s="268"/>
      <c r="U122" s="268"/>
      <c r="V122" s="268"/>
      <c r="W122" s="268"/>
      <c r="X122" s="268"/>
      <c r="Y122" s="268"/>
      <c r="Z122" s="268"/>
      <c r="AC122" s="264"/>
      <c r="AD122" s="272"/>
    </row>
    <row r="123" spans="2:30" ht="15.6">
      <c r="B123" s="315" t="s">
        <v>290</v>
      </c>
      <c r="C123" s="337">
        <f>'AOC forecast'!G63+'AOC forecast'!G64+'AOC forecast'!G66+'AOC forecast'!G67+'AOC forecast'!G73</f>
        <v>67.315128699817194</v>
      </c>
      <c r="D123" s="337">
        <f>'AOC forecast'!H63+'AOC forecast'!H64+'AOC forecast'!H66+'AOC forecast'!H67+'AOC forecast'!H73</f>
        <v>49.579264333540223</v>
      </c>
      <c r="E123" s="337">
        <f>'AOC forecast'!I63+'AOC forecast'!I64+'AOC forecast'!I66+'AOC forecast'!I67+'AOC forecast'!I73</f>
        <v>0</v>
      </c>
      <c r="F123" s="337">
        <f>'AOC forecast'!J63+'AOC forecast'!J64+'AOC forecast'!J66+'AOC forecast'!J67+'AOC forecast'!J73</f>
        <v>0</v>
      </c>
      <c r="G123" s="337">
        <f>'AOC forecast'!K63+'AOC forecast'!K64+'AOC forecast'!K66+'AOC forecast'!K67+'AOC forecast'!K73</f>
        <v>0</v>
      </c>
      <c r="H123" s="337">
        <f>'AOC forecast'!L63+'AOC forecast'!L64+'AOC forecast'!L66+'AOC forecast'!L67+'AOC forecast'!L73</f>
        <v>0</v>
      </c>
      <c r="I123" s="337">
        <f>'AOC forecast'!M63+'AOC forecast'!M64+'AOC forecast'!M66+'AOC forecast'!M67+'AOC forecast'!M73</f>
        <v>0</v>
      </c>
      <c r="J123" s="337">
        <f>'AOC forecast'!N63+'AOC forecast'!N64+'AOC forecast'!N66+'AOC forecast'!N67+'AOC forecast'!N73</f>
        <v>0</v>
      </c>
      <c r="K123" s="337">
        <f>'AOC forecast'!O63+'AOC forecast'!O64+'AOC forecast'!O66+'AOC forecast'!O67+'AOC forecast'!O73</f>
        <v>0</v>
      </c>
      <c r="L123" s="337">
        <f>'AOC forecast'!P63+'AOC forecast'!P64+'AOC forecast'!P66+'AOC forecast'!P67+'AOC forecast'!P73</f>
        <v>0</v>
      </c>
      <c r="M123" s="337">
        <f>'AOC forecast'!Q63+'AOC forecast'!Q64+'AOC forecast'!Q66+'AOC forecast'!Q67+'AOC forecast'!Q73</f>
        <v>0</v>
      </c>
      <c r="N123" s="337">
        <f>'AOC forecast'!R63+'AOC forecast'!R64+'AOC forecast'!R66+'AOC forecast'!R67+'AOC forecast'!R73</f>
        <v>0</v>
      </c>
      <c r="O123" s="268"/>
      <c r="P123" s="439"/>
      <c r="Q123" s="16"/>
      <c r="R123" s="268"/>
      <c r="S123" s="268"/>
      <c r="T123" s="268"/>
      <c r="U123" s="268"/>
      <c r="V123" s="268"/>
      <c r="W123" s="268"/>
      <c r="X123" s="268"/>
      <c r="Y123" s="268"/>
      <c r="Z123" s="268"/>
      <c r="AC123" s="264"/>
      <c r="AD123" s="272"/>
    </row>
    <row r="124" spans="2:30" ht="15.6">
      <c r="B124" s="443" t="s">
        <v>291</v>
      </c>
      <c r="C124" s="339">
        <f>'AOC forecast'!G69+'AOC forecast'!G70+'AOC forecast'!G71+'AOC forecast'!G65</f>
        <v>113.09484677060756</v>
      </c>
      <c r="D124" s="339">
        <f>'AOC forecast'!H69+'AOC forecast'!H70+'AOC forecast'!H71+'AOC forecast'!H65</f>
        <v>83.407983000000002</v>
      </c>
      <c r="E124" s="339">
        <f>'AOC forecast'!I69+'AOC forecast'!I70+'AOC forecast'!I71+'AOC forecast'!I65</f>
        <v>0</v>
      </c>
      <c r="F124" s="339">
        <f>'AOC forecast'!J69+'AOC forecast'!J70+'AOC forecast'!J71+'AOC forecast'!J65</f>
        <v>0</v>
      </c>
      <c r="G124" s="339">
        <f>'AOC forecast'!K69+'AOC forecast'!K70+'AOC forecast'!K71+'AOC forecast'!K65</f>
        <v>0</v>
      </c>
      <c r="H124" s="339">
        <f>'AOC forecast'!L69+'AOC forecast'!L70+'AOC forecast'!L71+'AOC forecast'!L65</f>
        <v>0</v>
      </c>
      <c r="I124" s="339">
        <f>'AOC forecast'!M69+'AOC forecast'!M70+'AOC forecast'!M71+'AOC forecast'!M65</f>
        <v>0</v>
      </c>
      <c r="J124" s="339">
        <f>'AOC forecast'!N69+'AOC forecast'!N70+'AOC forecast'!N71+'AOC forecast'!N65</f>
        <v>0</v>
      </c>
      <c r="K124" s="339">
        <f>'AOC forecast'!O69+'AOC forecast'!O70+'AOC forecast'!O71+'AOC forecast'!O65</f>
        <v>0</v>
      </c>
      <c r="L124" s="339">
        <f>'AOC forecast'!P69+'AOC forecast'!P70+'AOC forecast'!P71+'AOC forecast'!P65</f>
        <v>0</v>
      </c>
      <c r="M124" s="339">
        <f>'AOC forecast'!Q69+'AOC forecast'!Q70+'AOC forecast'!Q71+'AOC forecast'!Q65</f>
        <v>0</v>
      </c>
      <c r="N124" s="339">
        <f>'AOC forecast'!R69+'AOC forecast'!R70+'AOC forecast'!R71+'AOC forecast'!R65</f>
        <v>0</v>
      </c>
      <c r="O124" s="268"/>
      <c r="P124" s="268"/>
      <c r="Q124" s="268"/>
      <c r="R124" s="268"/>
      <c r="S124" s="268"/>
      <c r="T124" s="268"/>
      <c r="U124" s="268"/>
      <c r="V124" s="268"/>
      <c r="W124" s="268"/>
      <c r="X124" s="268"/>
      <c r="Y124" s="268"/>
      <c r="Z124" s="268"/>
      <c r="AC124" s="264"/>
      <c r="AD124" s="272"/>
    </row>
    <row r="125" spans="2:30" ht="15.6">
      <c r="B125" s="258" t="str">
        <f t="shared" si="3"/>
        <v>40G DACs</v>
      </c>
      <c r="C125" s="337">
        <f>SUM('Copper cable forecast'!C60:C61)</f>
        <v>129.37761297775342</v>
      </c>
      <c r="D125" s="337">
        <f>SUM('Copper cable forecast'!D60:D61)</f>
        <v>97.291921176666406</v>
      </c>
      <c r="E125" s="337">
        <f>SUM('Copper cable forecast'!E60:E61)</f>
        <v>0</v>
      </c>
      <c r="F125" s="337">
        <f>SUM('Copper cable forecast'!F60:F61)</f>
        <v>0</v>
      </c>
      <c r="G125" s="337">
        <f>SUM('Copper cable forecast'!G60:G61)</f>
        <v>0</v>
      </c>
      <c r="H125" s="337">
        <f>SUM('Copper cable forecast'!H60:H61)</f>
        <v>0</v>
      </c>
      <c r="I125" s="337">
        <f>SUM('Copper cable forecast'!I60:I61)</f>
        <v>0</v>
      </c>
      <c r="J125" s="337">
        <f>SUM('Copper cable forecast'!J60:J61)</f>
        <v>0</v>
      </c>
      <c r="K125" s="337">
        <f>SUM('Copper cable forecast'!K60:K61)</f>
        <v>0</v>
      </c>
      <c r="L125" s="337">
        <f>SUM('Copper cable forecast'!L60:L61)</f>
        <v>0</v>
      </c>
      <c r="M125" s="337">
        <f>SUM('Copper cable forecast'!M60:M61)</f>
        <v>0</v>
      </c>
      <c r="N125" s="337">
        <f>SUM('Copper cable forecast'!N60:N61)</f>
        <v>0</v>
      </c>
      <c r="AC125" s="264"/>
      <c r="AD125" s="272"/>
    </row>
    <row r="126" spans="2:30" ht="15.6">
      <c r="B126" s="338" t="str">
        <f t="shared" si="3"/>
        <v>100G Copper</v>
      </c>
      <c r="C126" s="339">
        <f>SUM('Copper cable forecast'!C62:C63)</f>
        <v>32.822766144000006</v>
      </c>
      <c r="D126" s="339">
        <f>SUM('Copper cable forecast'!D62:D63)</f>
        <v>53.044366905600008</v>
      </c>
      <c r="E126" s="339">
        <f>SUM('Copper cable forecast'!E62:E63)</f>
        <v>0</v>
      </c>
      <c r="F126" s="339">
        <f>SUM('Copper cable forecast'!F62:F63)</f>
        <v>0</v>
      </c>
      <c r="G126" s="339">
        <f>SUM('Copper cable forecast'!G62:G63)</f>
        <v>0</v>
      </c>
      <c r="H126" s="339">
        <f>SUM('Copper cable forecast'!H62:H63)</f>
        <v>0</v>
      </c>
      <c r="I126" s="339">
        <f>SUM('Copper cable forecast'!I62:I63)</f>
        <v>0</v>
      </c>
      <c r="J126" s="339">
        <f>SUM('Copper cable forecast'!J62:J63)</f>
        <v>0</v>
      </c>
      <c r="K126" s="339">
        <f>SUM('Copper cable forecast'!K62:K63)</f>
        <v>0</v>
      </c>
      <c r="L126" s="339">
        <f>SUM('Copper cable forecast'!L62:L63)</f>
        <v>0</v>
      </c>
      <c r="M126" s="339">
        <f>SUM('Copper cable forecast'!M62:M63)</f>
        <v>0</v>
      </c>
      <c r="N126" s="339">
        <f>SUM('Copper cable forecast'!N62:N63)</f>
        <v>0</v>
      </c>
      <c r="AC126" s="264"/>
      <c r="AD126" s="272"/>
    </row>
    <row r="127" spans="2:30" ht="15.6">
      <c r="B127" s="315" t="s">
        <v>292</v>
      </c>
      <c r="C127" s="337">
        <f>'AOC forecast'!G74+'AOC forecast'!G72</f>
        <v>0</v>
      </c>
      <c r="D127" s="337">
        <f>'AOC forecast'!H74+'AOC forecast'!H72</f>
        <v>0</v>
      </c>
      <c r="E127" s="337">
        <f>'AOC forecast'!I74+'AOC forecast'!I72</f>
        <v>0</v>
      </c>
      <c r="F127" s="337">
        <f>'AOC forecast'!J74+'AOC forecast'!J72</f>
        <v>0</v>
      </c>
      <c r="G127" s="337">
        <f>'AOC forecast'!K74+'AOC forecast'!K72</f>
        <v>0</v>
      </c>
      <c r="H127" s="337">
        <f>'AOC forecast'!L74+'AOC forecast'!L72</f>
        <v>0</v>
      </c>
      <c r="I127" s="337">
        <f>'AOC forecast'!M74+'AOC forecast'!M72</f>
        <v>0</v>
      </c>
      <c r="J127" s="337">
        <f>'AOC forecast'!N74+'AOC forecast'!N72</f>
        <v>0</v>
      </c>
      <c r="K127" s="337">
        <f>'AOC forecast'!O74+'AOC forecast'!O72</f>
        <v>0</v>
      </c>
      <c r="L127" s="337">
        <f>'AOC forecast'!P74+'AOC forecast'!P72</f>
        <v>0</v>
      </c>
      <c r="M127" s="337">
        <f>'AOC forecast'!Q74+'AOC forecast'!Q72</f>
        <v>0</v>
      </c>
      <c r="N127" s="337">
        <f>'AOC forecast'!R74+'AOC forecast'!R72</f>
        <v>0</v>
      </c>
      <c r="AC127" s="264"/>
      <c r="AD127" s="272"/>
    </row>
    <row r="128" spans="2:30" ht="14.4">
      <c r="B128" s="338" t="str">
        <f t="shared" si="3"/>
        <v>400G AOCs</v>
      </c>
      <c r="C128" s="339">
        <f>'AOC forecast'!G75+'AOC forecast'!G76</f>
        <v>0</v>
      </c>
      <c r="D128" s="339">
        <f>'AOC forecast'!H75+'AOC forecast'!H76</f>
        <v>0</v>
      </c>
      <c r="E128" s="339">
        <f>'AOC forecast'!I75+'AOC forecast'!I76</f>
        <v>0</v>
      </c>
      <c r="F128" s="339">
        <f>'AOC forecast'!J75+'AOC forecast'!J76</f>
        <v>0</v>
      </c>
      <c r="G128" s="339">
        <f>'AOC forecast'!K75+'AOC forecast'!K76</f>
        <v>0</v>
      </c>
      <c r="H128" s="339">
        <f>'AOC forecast'!L75+'AOC forecast'!L76</f>
        <v>0</v>
      </c>
      <c r="I128" s="339">
        <f>'AOC forecast'!M75+'AOC forecast'!M76</f>
        <v>0</v>
      </c>
      <c r="J128" s="339">
        <f>'AOC forecast'!N75+'AOC forecast'!N76</f>
        <v>0</v>
      </c>
      <c r="K128" s="339">
        <f>'AOC forecast'!O75+'AOC forecast'!O76</f>
        <v>0</v>
      </c>
      <c r="L128" s="339">
        <f>'AOC forecast'!P75+'AOC forecast'!P76</f>
        <v>0</v>
      </c>
      <c r="M128" s="339">
        <f>'AOC forecast'!Q75+'AOC forecast'!Q76</f>
        <v>0</v>
      </c>
      <c r="N128" s="339">
        <f>'AOC forecast'!R75+'AOC forecast'!R76</f>
        <v>0</v>
      </c>
    </row>
    <row r="129" spans="2:26" ht="14.4">
      <c r="B129" s="258" t="str">
        <f t="shared" si="3"/>
        <v>200G Copper</v>
      </c>
      <c r="C129" s="337">
        <f>'Copper cable forecast'!C64+'Copper cable forecast'!C65</f>
        <v>0</v>
      </c>
      <c r="D129" s="337">
        <f>'Copper cable forecast'!D64+'Copper cable forecast'!D65</f>
        <v>0</v>
      </c>
      <c r="E129" s="337">
        <f>'Copper cable forecast'!E64+'Copper cable forecast'!E65</f>
        <v>0</v>
      </c>
      <c r="F129" s="337">
        <f>'Copper cable forecast'!F64+'Copper cable forecast'!F65</f>
        <v>0</v>
      </c>
      <c r="G129" s="337">
        <f>'Copper cable forecast'!G64+'Copper cable forecast'!G65</f>
        <v>0</v>
      </c>
      <c r="H129" s="337">
        <f>'Copper cable forecast'!H64+'Copper cable forecast'!H65</f>
        <v>0</v>
      </c>
      <c r="I129" s="337">
        <f>'Copper cable forecast'!I64+'Copper cable forecast'!I65</f>
        <v>0</v>
      </c>
      <c r="J129" s="337">
        <f>'Copper cable forecast'!J64+'Copper cable forecast'!J65</f>
        <v>0</v>
      </c>
      <c r="K129" s="337">
        <f>'Copper cable forecast'!K64+'Copper cable forecast'!K65</f>
        <v>0</v>
      </c>
      <c r="L129" s="337">
        <f>'Copper cable forecast'!L64+'Copper cable forecast'!L65</f>
        <v>0</v>
      </c>
      <c r="M129" s="337">
        <f>'Copper cable forecast'!M64+'Copper cable forecast'!M65</f>
        <v>0</v>
      </c>
      <c r="N129" s="337">
        <f>'Copper cable forecast'!N64+'Copper cable forecast'!N65</f>
        <v>0</v>
      </c>
    </row>
    <row r="130" spans="2:26" ht="14.4">
      <c r="B130" s="338" t="str">
        <f t="shared" si="3"/>
        <v>400G Copper</v>
      </c>
      <c r="C130" s="339">
        <f>'Copper cable forecast'!C66+'Copper cable forecast'!C67</f>
        <v>0</v>
      </c>
      <c r="D130" s="339">
        <f>'Copper cable forecast'!D66+'Copper cable forecast'!D67</f>
        <v>0</v>
      </c>
      <c r="E130" s="339">
        <f>'Copper cable forecast'!E66+'Copper cable forecast'!E67</f>
        <v>0</v>
      </c>
      <c r="F130" s="339">
        <f>'Copper cable forecast'!F66+'Copper cable forecast'!F67</f>
        <v>0</v>
      </c>
      <c r="G130" s="339">
        <f>'Copper cable forecast'!G66+'Copper cable forecast'!G67</f>
        <v>0</v>
      </c>
      <c r="H130" s="339">
        <f>'Copper cable forecast'!H66+'Copper cable forecast'!H67</f>
        <v>0</v>
      </c>
      <c r="I130" s="339">
        <f>'Copper cable forecast'!I66+'Copper cable forecast'!I67</f>
        <v>0</v>
      </c>
      <c r="J130" s="339">
        <f>'Copper cable forecast'!J66+'Copper cable forecast'!J67</f>
        <v>0</v>
      </c>
      <c r="K130" s="339">
        <f>'Copper cable forecast'!K66+'Copper cable forecast'!K67</f>
        <v>0</v>
      </c>
      <c r="L130" s="339">
        <f>'Copper cable forecast'!L66+'Copper cable forecast'!L67</f>
        <v>0</v>
      </c>
      <c r="M130" s="339">
        <f>'Copper cable forecast'!M66+'Copper cable forecast'!M67</f>
        <v>0</v>
      </c>
      <c r="N130" s="339">
        <f>'Copper cable forecast'!N66+'Copper cable forecast'!N67</f>
        <v>0</v>
      </c>
    </row>
    <row r="131" spans="2:26" ht="14.4">
      <c r="B131" s="258" t="s">
        <v>179</v>
      </c>
      <c r="C131" s="337">
        <f>'AOC forecast'!G77</f>
        <v>0</v>
      </c>
      <c r="D131" s="337">
        <f>'AOC forecast'!H77</f>
        <v>0</v>
      </c>
      <c r="E131" s="337">
        <f>'AOC forecast'!I77</f>
        <v>0</v>
      </c>
      <c r="F131" s="337">
        <f>'AOC forecast'!J77</f>
        <v>0</v>
      </c>
      <c r="G131" s="337">
        <f>'AOC forecast'!K77</f>
        <v>0</v>
      </c>
      <c r="H131" s="337">
        <f>'AOC forecast'!L77</f>
        <v>0</v>
      </c>
      <c r="I131" s="337">
        <f>'AOC forecast'!M77</f>
        <v>0</v>
      </c>
      <c r="J131" s="337">
        <f>'AOC forecast'!N77</f>
        <v>0</v>
      </c>
      <c r="K131" s="337">
        <f>'AOC forecast'!O77</f>
        <v>0</v>
      </c>
      <c r="L131" s="337">
        <f>'AOC forecast'!P77</f>
        <v>0</v>
      </c>
      <c r="M131" s="337">
        <f>'AOC forecast'!Q77</f>
        <v>0</v>
      </c>
      <c r="N131" s="337">
        <f>'AOC forecast'!R77</f>
        <v>0</v>
      </c>
      <c r="P131" s="258"/>
      <c r="Q131" s="267"/>
      <c r="R131" s="267"/>
      <c r="S131" s="267"/>
      <c r="T131" s="267"/>
      <c r="U131" s="267"/>
      <c r="V131" s="267"/>
      <c r="W131" s="267"/>
      <c r="X131" s="267"/>
      <c r="Y131" s="267"/>
      <c r="Z131" s="267"/>
    </row>
    <row r="132" spans="2:26" ht="14.4">
      <c r="B132" s="338" t="s">
        <v>238</v>
      </c>
      <c r="C132" s="339">
        <f>'AOC forecast'!G78</f>
        <v>0</v>
      </c>
      <c r="D132" s="339">
        <f>'AOC forecast'!H78</f>
        <v>0</v>
      </c>
      <c r="E132" s="339">
        <f>'AOC forecast'!I78</f>
        <v>0</v>
      </c>
      <c r="F132" s="339">
        <f>'AOC forecast'!J78</f>
        <v>0</v>
      </c>
      <c r="G132" s="339">
        <f>'AOC forecast'!K78</f>
        <v>0</v>
      </c>
      <c r="H132" s="339">
        <f>'AOC forecast'!L78</f>
        <v>0</v>
      </c>
      <c r="I132" s="339">
        <f>'AOC forecast'!M78</f>
        <v>0</v>
      </c>
      <c r="J132" s="339">
        <f>'AOC forecast'!N78</f>
        <v>0</v>
      </c>
      <c r="K132" s="339">
        <f>'AOC forecast'!O78</f>
        <v>0</v>
      </c>
      <c r="L132" s="339">
        <f>'AOC forecast'!P78</f>
        <v>0</v>
      </c>
      <c r="M132" s="339">
        <f>'AOC forecast'!Q78</f>
        <v>0</v>
      </c>
      <c r="N132" s="339">
        <f>'AOC forecast'!R78</f>
        <v>0</v>
      </c>
      <c r="P132" s="258"/>
      <c r="Q132" s="267"/>
      <c r="R132" s="267"/>
      <c r="S132" s="267"/>
      <c r="T132" s="267"/>
      <c r="U132" s="267"/>
      <c r="V132" s="267"/>
      <c r="W132" s="267"/>
      <c r="X132" s="267"/>
      <c r="Y132" s="267"/>
      <c r="Z132" s="267"/>
    </row>
    <row r="133" spans="2:26" ht="14.4">
      <c r="B133" s="258" t="s">
        <v>244</v>
      </c>
      <c r="C133" s="337">
        <f>'Copper cable forecast'!C68+'Copper cable forecast'!C69</f>
        <v>0</v>
      </c>
      <c r="D133" s="337">
        <f>'Copper cable forecast'!D68+'Copper cable forecast'!D69</f>
        <v>0</v>
      </c>
      <c r="E133" s="337">
        <f>'Copper cable forecast'!E68+'Copper cable forecast'!E69</f>
        <v>0</v>
      </c>
      <c r="F133" s="337">
        <f>'Copper cable forecast'!F68+'Copper cable forecast'!F69</f>
        <v>0</v>
      </c>
      <c r="G133" s="337">
        <f>'Copper cable forecast'!G68+'Copper cable forecast'!G69</f>
        <v>0</v>
      </c>
      <c r="H133" s="337">
        <f>'Copper cable forecast'!H68+'Copper cable forecast'!H69</f>
        <v>0</v>
      </c>
      <c r="I133" s="337">
        <f>'Copper cable forecast'!I68+'Copper cable forecast'!I69</f>
        <v>0</v>
      </c>
      <c r="J133" s="337">
        <f>'Copper cable forecast'!J68+'Copper cable forecast'!J69</f>
        <v>0</v>
      </c>
      <c r="K133" s="337">
        <f>'Copper cable forecast'!K68+'Copper cable forecast'!K69</f>
        <v>0</v>
      </c>
      <c r="L133" s="337">
        <f>'Copper cable forecast'!L68+'Copper cable forecast'!L69</f>
        <v>0</v>
      </c>
      <c r="M133" s="337">
        <f>'Copper cable forecast'!M68+'Copper cable forecast'!M69</f>
        <v>0</v>
      </c>
      <c r="N133" s="337">
        <f>'Copper cable forecast'!N68+'Copper cable forecast'!N69</f>
        <v>0</v>
      </c>
      <c r="P133" s="258"/>
      <c r="Q133" s="267"/>
      <c r="R133" s="267"/>
      <c r="S133" s="267"/>
      <c r="T133" s="267"/>
      <c r="U133" s="267"/>
      <c r="V133" s="267"/>
      <c r="W133" s="267"/>
      <c r="X133" s="267"/>
      <c r="Y133" s="267"/>
      <c r="Z133" s="267"/>
    </row>
    <row r="134" spans="2:26" ht="14.4">
      <c r="B134" s="338" t="s">
        <v>245</v>
      </c>
      <c r="C134" s="339">
        <f>'Copper cable forecast'!C70+'Copper cable forecast'!C71</f>
        <v>0</v>
      </c>
      <c r="D134" s="339">
        <f>'Copper cable forecast'!D70+'Copper cable forecast'!D71</f>
        <v>0</v>
      </c>
      <c r="E134" s="339">
        <f>'Copper cable forecast'!E70+'Copper cable forecast'!E71</f>
        <v>0</v>
      </c>
      <c r="F134" s="339">
        <f>'Copper cable forecast'!F70+'Copper cable forecast'!F71</f>
        <v>0</v>
      </c>
      <c r="G134" s="339">
        <f>'Copper cable forecast'!G70+'Copper cable forecast'!G71</f>
        <v>0</v>
      </c>
      <c r="H134" s="339">
        <f>'Copper cable forecast'!H70+'Copper cable forecast'!H71</f>
        <v>0</v>
      </c>
      <c r="I134" s="339">
        <f>'Copper cable forecast'!I70+'Copper cable forecast'!I71</f>
        <v>0</v>
      </c>
      <c r="J134" s="339">
        <f>'Copper cable forecast'!J70+'Copper cable forecast'!J71</f>
        <v>0</v>
      </c>
      <c r="K134" s="339">
        <f>'Copper cable forecast'!K70+'Copper cable forecast'!K71</f>
        <v>0</v>
      </c>
      <c r="L134" s="339">
        <f>'Copper cable forecast'!L70+'Copper cable forecast'!L71</f>
        <v>0</v>
      </c>
      <c r="M134" s="339">
        <f>'Copper cable forecast'!M70+'Copper cable forecast'!M71</f>
        <v>0</v>
      </c>
      <c r="N134" s="339">
        <f>'Copper cable forecast'!N70+'Copper cable forecast'!N71</f>
        <v>0</v>
      </c>
      <c r="P134" s="258"/>
      <c r="Q134" s="267"/>
      <c r="R134" s="267"/>
      <c r="S134" s="267"/>
      <c r="T134" s="267"/>
      <c r="U134" s="267"/>
      <c r="V134" s="267"/>
      <c r="W134" s="267"/>
      <c r="X134" s="267"/>
      <c r="Y134" s="267"/>
      <c r="Z134" s="267"/>
    </row>
    <row r="136" spans="2:26" ht="23.4">
      <c r="B136" s="53" t="s">
        <v>135</v>
      </c>
    </row>
    <row r="137" spans="2:26" ht="22.8">
      <c r="D137" s="385" t="s">
        <v>247</v>
      </c>
    </row>
    <row r="177" spans="2:16" ht="21">
      <c r="H177" s="164"/>
      <c r="P177" s="276"/>
    </row>
    <row r="178" spans="2:16" ht="21">
      <c r="B178" s="269" t="s">
        <v>134</v>
      </c>
      <c r="C178" s="29">
        <v>2016</v>
      </c>
      <c r="D178" s="30">
        <v>2017</v>
      </c>
      <c r="E178" s="30">
        <v>2018</v>
      </c>
      <c r="F178" s="30">
        <v>2019</v>
      </c>
      <c r="G178" s="30">
        <v>2020</v>
      </c>
      <c r="H178" s="30">
        <v>2021</v>
      </c>
      <c r="I178" s="30">
        <v>2022</v>
      </c>
      <c r="J178" s="30">
        <v>2023</v>
      </c>
      <c r="K178" s="30">
        <v>2024</v>
      </c>
      <c r="L178" s="30">
        <v>2025</v>
      </c>
      <c r="M178" s="30">
        <v>2026</v>
      </c>
      <c r="N178" s="31">
        <v>2027</v>
      </c>
      <c r="O178" s="318"/>
      <c r="P178" s="276"/>
    </row>
    <row r="179" spans="2:16" ht="21">
      <c r="B179" s="214" t="str">
        <f>Segmentation!B69</f>
        <v>HPC &amp; AI Clusters</v>
      </c>
      <c r="C179" s="288">
        <f>'Segment forecast'!G10</f>
        <v>423905.86071428569</v>
      </c>
      <c r="D179" s="186">
        <f>'Segment forecast'!H10</f>
        <v>373601.42000000004</v>
      </c>
      <c r="E179" s="186">
        <f>'Segment forecast'!I10</f>
        <v>0</v>
      </c>
      <c r="F179" s="186">
        <f>'Segment forecast'!J10</f>
        <v>0</v>
      </c>
      <c r="G179" s="186">
        <f>'Segment forecast'!K10</f>
        <v>0</v>
      </c>
      <c r="H179" s="186">
        <f>'Segment forecast'!L10</f>
        <v>0</v>
      </c>
      <c r="I179" s="186">
        <f>'Segment forecast'!M10</f>
        <v>0</v>
      </c>
      <c r="J179" s="186">
        <f>'Segment forecast'!N10</f>
        <v>0</v>
      </c>
      <c r="K179" s="186">
        <f>'Segment forecast'!O10</f>
        <v>0</v>
      </c>
      <c r="L179" s="186">
        <f>'Segment forecast'!P10</f>
        <v>0</v>
      </c>
      <c r="M179" s="186">
        <f>'Segment forecast'!Q10</f>
        <v>0</v>
      </c>
      <c r="N179" s="187">
        <f>'Segment forecast'!R10</f>
        <v>0</v>
      </c>
      <c r="O179" s="319"/>
      <c r="P179" s="276"/>
    </row>
    <row r="180" spans="2:16" ht="21">
      <c r="B180" s="445" t="str">
        <f>Segmentation!B70</f>
        <v>Core Routing</v>
      </c>
      <c r="C180" s="289">
        <f>'Segment forecast'!G11</f>
        <v>73566.69642857142</v>
      </c>
      <c r="D180" s="42">
        <f>'Segment forecast'!H11</f>
        <v>68486.25</v>
      </c>
      <c r="E180" s="42">
        <f>'Segment forecast'!I11</f>
        <v>0</v>
      </c>
      <c r="F180" s="42">
        <f>'Segment forecast'!J11</f>
        <v>0</v>
      </c>
      <c r="G180" s="42">
        <f>'Segment forecast'!K11</f>
        <v>0</v>
      </c>
      <c r="H180" s="42">
        <f>'Segment forecast'!L11</f>
        <v>0</v>
      </c>
      <c r="I180" s="42">
        <f>'Segment forecast'!M11</f>
        <v>0</v>
      </c>
      <c r="J180" s="42">
        <f>'Segment forecast'!N11</f>
        <v>0</v>
      </c>
      <c r="K180" s="42">
        <f>'Segment forecast'!O11</f>
        <v>0</v>
      </c>
      <c r="L180" s="42">
        <f>'Segment forecast'!P11</f>
        <v>0</v>
      </c>
      <c r="M180" s="42">
        <f>'Segment forecast'!Q11</f>
        <v>0</v>
      </c>
      <c r="N180" s="188">
        <f>'Segment forecast'!R11</f>
        <v>0</v>
      </c>
      <c r="O180" s="319"/>
      <c r="P180" s="276"/>
    </row>
    <row r="181" spans="2:16" ht="21">
      <c r="B181" s="445" t="str">
        <f>Segmentation!B71&amp;" (except 1x10/1x25G)"</f>
        <v>DC Compute Nodes (except 1x10/1x25G)</v>
      </c>
      <c r="C181" s="289">
        <f>'Segment forecast'!G12-C182</f>
        <v>300006.21999999997</v>
      </c>
      <c r="D181" s="42">
        <f>'Segment forecast'!H12-D182</f>
        <v>240735.91999999993</v>
      </c>
      <c r="E181" s="42">
        <f>'Segment forecast'!I12-E182</f>
        <v>0</v>
      </c>
      <c r="F181" s="42">
        <f>'Segment forecast'!J12-F182</f>
        <v>0</v>
      </c>
      <c r="G181" s="42">
        <f>'Segment forecast'!K12-G182</f>
        <v>0</v>
      </c>
      <c r="H181" s="42">
        <f>'Segment forecast'!L12-H182</f>
        <v>0</v>
      </c>
      <c r="I181" s="42">
        <f>'Segment forecast'!M12-I182</f>
        <v>0</v>
      </c>
      <c r="J181" s="42">
        <f>'Segment forecast'!N12-J182</f>
        <v>0</v>
      </c>
      <c r="K181" s="42">
        <f>'Segment forecast'!O12-K182</f>
        <v>0</v>
      </c>
      <c r="L181" s="42">
        <f>'Segment forecast'!P12-L182</f>
        <v>0</v>
      </c>
      <c r="M181" s="42">
        <f>'Segment forecast'!Q12-M182</f>
        <v>0</v>
      </c>
      <c r="N181" s="188">
        <f>'Segment forecast'!R12-N182</f>
        <v>0</v>
      </c>
      <c r="P181" s="276"/>
    </row>
    <row r="182" spans="2:16" ht="21">
      <c r="B182" s="445" t="s">
        <v>293</v>
      </c>
      <c r="C182" s="200">
        <f>'Segment forecast'!G277+'Segment forecast'!G284+'Segment forecast'!G291</f>
        <v>1664178</v>
      </c>
      <c r="D182" s="74">
        <f>'Segment forecast'!H277+'Segment forecast'!H284+'Segment forecast'!H291</f>
        <v>3402357</v>
      </c>
      <c r="E182" s="74">
        <f>'Segment forecast'!I277+'Segment forecast'!I284+'Segment forecast'!I291</f>
        <v>0</v>
      </c>
      <c r="F182" s="74">
        <f>'Segment forecast'!J277+'Segment forecast'!J284+'Segment forecast'!J291</f>
        <v>0</v>
      </c>
      <c r="G182" s="74">
        <f>'Segment forecast'!K277+'Segment forecast'!K284+'Segment forecast'!K291</f>
        <v>0</v>
      </c>
      <c r="H182" s="74">
        <f>'Segment forecast'!L277+'Segment forecast'!L284+'Segment forecast'!L291</f>
        <v>0</v>
      </c>
      <c r="I182" s="74">
        <f>'Segment forecast'!M277+'Segment forecast'!M284+'Segment forecast'!M291</f>
        <v>0</v>
      </c>
      <c r="J182" s="74">
        <f>'Segment forecast'!N277+'Segment forecast'!N284+'Segment forecast'!N291</f>
        <v>0</v>
      </c>
      <c r="K182" s="74">
        <f>'Segment forecast'!O277+'Segment forecast'!O284+'Segment forecast'!O291</f>
        <v>0</v>
      </c>
      <c r="L182" s="74">
        <f>'Segment forecast'!P277+'Segment forecast'!P284+'Segment forecast'!P291</f>
        <v>0</v>
      </c>
      <c r="M182" s="74">
        <f>'Segment forecast'!Q277+'Segment forecast'!Q284+'Segment forecast'!Q291</f>
        <v>0</v>
      </c>
      <c r="N182" s="444">
        <f>'Segment forecast'!R277+'Segment forecast'!R284+'Segment forecast'!R291</f>
        <v>0</v>
      </c>
      <c r="P182" s="276"/>
    </row>
    <row r="183" spans="2:16" ht="21">
      <c r="B183" s="220" t="s">
        <v>174</v>
      </c>
      <c r="C183" s="290">
        <f>'Segment forecast'!G13</f>
        <v>30729.579999999987</v>
      </c>
      <c r="D183" s="43">
        <f>'Segment forecast'!H13</f>
        <v>24250.409999999989</v>
      </c>
      <c r="E183" s="43">
        <f>'Segment forecast'!I13</f>
        <v>0</v>
      </c>
      <c r="F183" s="43">
        <f>'Segment forecast'!J13</f>
        <v>0</v>
      </c>
      <c r="G183" s="43">
        <f>'Segment forecast'!K13</f>
        <v>0</v>
      </c>
      <c r="H183" s="43">
        <f>'Segment forecast'!L13</f>
        <v>0</v>
      </c>
      <c r="I183" s="43">
        <f>'Segment forecast'!M13</f>
        <v>0</v>
      </c>
      <c r="J183" s="43">
        <f>'Segment forecast'!N13</f>
        <v>0</v>
      </c>
      <c r="K183" s="43">
        <f>'Segment forecast'!O13</f>
        <v>0</v>
      </c>
      <c r="L183" s="43">
        <f>'Segment forecast'!P13</f>
        <v>0</v>
      </c>
      <c r="M183" s="43">
        <f>'Segment forecast'!Q13</f>
        <v>0</v>
      </c>
      <c r="N183" s="216">
        <f>'Segment forecast'!R13</f>
        <v>0</v>
      </c>
      <c r="P183" s="276"/>
    </row>
    <row r="184" spans="2:16" ht="21">
      <c r="P184" s="276"/>
    </row>
    <row r="185" spans="2:16" ht="21">
      <c r="P185" s="276"/>
    </row>
    <row r="186" spans="2:16" ht="23.4">
      <c r="B186" s="53" t="s">
        <v>198</v>
      </c>
    </row>
    <row r="207" spans="2:28" ht="15.6">
      <c r="B207" s="263" t="s">
        <v>199</v>
      </c>
      <c r="C207" s="298">
        <v>2016</v>
      </c>
      <c r="D207" s="299">
        <v>2017</v>
      </c>
      <c r="E207" s="299">
        <v>2018</v>
      </c>
      <c r="F207" s="299">
        <v>2019</v>
      </c>
      <c r="G207" s="299">
        <v>2020</v>
      </c>
      <c r="H207" s="299">
        <v>2021</v>
      </c>
      <c r="I207" s="299">
        <v>2022</v>
      </c>
      <c r="J207" s="299">
        <v>2023</v>
      </c>
      <c r="K207" s="299">
        <v>2024</v>
      </c>
      <c r="L207" s="299">
        <v>2025</v>
      </c>
      <c r="M207" s="299">
        <v>2026</v>
      </c>
      <c r="N207" s="300">
        <v>2027</v>
      </c>
      <c r="P207" s="263" t="s">
        <v>200</v>
      </c>
      <c r="Q207" s="329">
        <v>2016</v>
      </c>
      <c r="R207" s="330">
        <v>2017</v>
      </c>
      <c r="S207" s="330">
        <v>2018</v>
      </c>
      <c r="T207" s="330">
        <v>2019</v>
      </c>
      <c r="U207" s="330">
        <v>2020</v>
      </c>
      <c r="V207" s="330">
        <v>2021</v>
      </c>
      <c r="W207" s="330">
        <v>2022</v>
      </c>
      <c r="X207" s="330">
        <v>2023</v>
      </c>
      <c r="Y207" s="330">
        <v>2024</v>
      </c>
      <c r="Z207" s="330">
        <v>2025</v>
      </c>
      <c r="AA207" s="330">
        <v>2026</v>
      </c>
      <c r="AB207" s="331">
        <v>2027</v>
      </c>
    </row>
    <row r="208" spans="2:28" ht="15.6">
      <c r="B208" s="296" t="s">
        <v>64</v>
      </c>
      <c r="C208" s="301">
        <f>'Copper cable forecast'!C8</f>
        <v>4845145.5</v>
      </c>
      <c r="D208" s="302">
        <f>'Copper cable forecast'!D8</f>
        <v>4589910</v>
      </c>
      <c r="E208" s="302">
        <f>'Copper cable forecast'!E8</f>
        <v>0</v>
      </c>
      <c r="F208" s="302">
        <f>'Copper cable forecast'!F8</f>
        <v>0</v>
      </c>
      <c r="G208" s="302">
        <f>'Copper cable forecast'!G8</f>
        <v>0</v>
      </c>
      <c r="H208" s="302">
        <f>'Copper cable forecast'!H8</f>
        <v>0</v>
      </c>
      <c r="I208" s="302">
        <f>'Copper cable forecast'!I8</f>
        <v>0</v>
      </c>
      <c r="J208" s="302">
        <f>'Copper cable forecast'!J8</f>
        <v>0</v>
      </c>
      <c r="K208" s="302">
        <f>'Copper cable forecast'!K8</f>
        <v>0</v>
      </c>
      <c r="L208" s="302">
        <f>'Copper cable forecast'!L8</f>
        <v>0</v>
      </c>
      <c r="M208" s="302">
        <f>'Copper cable forecast'!M8</f>
        <v>0</v>
      </c>
      <c r="N208" s="303">
        <f>'Copper cable forecast'!N8</f>
        <v>0</v>
      </c>
      <c r="P208" s="326" t="str">
        <f t="shared" ref="P208:P216" si="4">B208</f>
        <v>10G</v>
      </c>
      <c r="Q208" s="320">
        <f>'Copper cable forecast'!C58</f>
        <v>70.673932160447592</v>
      </c>
      <c r="R208" s="321">
        <f>'Copper cable forecast'!D58</f>
        <v>51.579628705502515</v>
      </c>
      <c r="S208" s="321">
        <f>'Copper cable forecast'!E58</f>
        <v>0</v>
      </c>
      <c r="T208" s="321">
        <f>'Copper cable forecast'!F58</f>
        <v>0</v>
      </c>
      <c r="U208" s="321">
        <f>'Copper cable forecast'!G58</f>
        <v>0</v>
      </c>
      <c r="V208" s="321">
        <f>'Copper cable forecast'!H58</f>
        <v>0</v>
      </c>
      <c r="W208" s="321">
        <f>'Copper cable forecast'!I58</f>
        <v>0</v>
      </c>
      <c r="X208" s="321">
        <f>'Copper cable forecast'!J58</f>
        <v>0</v>
      </c>
      <c r="Y208" s="321">
        <f>'Copper cable forecast'!K58</f>
        <v>0</v>
      </c>
      <c r="Z208" s="321">
        <f>'Copper cable forecast'!L58</f>
        <v>0</v>
      </c>
      <c r="AA208" s="321">
        <f>'Copper cable forecast'!M58</f>
        <v>0</v>
      </c>
      <c r="AB208" s="322">
        <f>'Copper cable forecast'!N58</f>
        <v>0</v>
      </c>
    </row>
    <row r="209" spans="2:28" ht="15.6">
      <c r="B209" s="316" t="s">
        <v>70</v>
      </c>
      <c r="C209" s="304">
        <f>'Copper cable forecast'!C9</f>
        <v>568611.75000000012</v>
      </c>
      <c r="D209" s="268">
        <f>'Copper cable forecast'!D9</f>
        <v>1246925.55</v>
      </c>
      <c r="E209" s="268">
        <f>'Copper cable forecast'!E9</f>
        <v>0</v>
      </c>
      <c r="F209" s="268">
        <f>'Copper cable forecast'!F9</f>
        <v>0</v>
      </c>
      <c r="G209" s="268">
        <f>'Copper cable forecast'!G9</f>
        <v>0</v>
      </c>
      <c r="H209" s="268">
        <f>'Copper cable forecast'!H9</f>
        <v>0</v>
      </c>
      <c r="I209" s="268">
        <f>'Copper cable forecast'!I9</f>
        <v>0</v>
      </c>
      <c r="J209" s="268">
        <f>'Copper cable forecast'!J9</f>
        <v>0</v>
      </c>
      <c r="K209" s="268">
        <f>'Copper cable forecast'!K9</f>
        <v>0</v>
      </c>
      <c r="L209" s="268">
        <f>'Copper cable forecast'!L9</f>
        <v>0</v>
      </c>
      <c r="M209" s="268">
        <f>'Copper cable forecast'!M9</f>
        <v>0</v>
      </c>
      <c r="N209" s="305">
        <f>'Copper cable forecast'!N9</f>
        <v>0</v>
      </c>
      <c r="P209" s="327" t="str">
        <f t="shared" si="4"/>
        <v>25G</v>
      </c>
      <c r="Q209" s="323">
        <f>'Copper cable forecast'!C59</f>
        <v>37.52837550000001</v>
      </c>
      <c r="R209" s="324">
        <f>'Copper cable forecast'!D59</f>
        <v>57.626435004851608</v>
      </c>
      <c r="S209" s="324">
        <f>'Copper cable forecast'!E59</f>
        <v>0</v>
      </c>
      <c r="T209" s="324">
        <f>'Copper cable forecast'!F59</f>
        <v>0</v>
      </c>
      <c r="U209" s="324">
        <f>'Copper cable forecast'!G59</f>
        <v>0</v>
      </c>
      <c r="V209" s="324">
        <f>'Copper cable forecast'!H59</f>
        <v>0</v>
      </c>
      <c r="W209" s="324">
        <f>'Copper cable forecast'!I59</f>
        <v>0</v>
      </c>
      <c r="X209" s="324">
        <f>'Copper cable forecast'!J59</f>
        <v>0</v>
      </c>
      <c r="Y209" s="324">
        <f>'Copper cable forecast'!K59</f>
        <v>0</v>
      </c>
      <c r="Z209" s="324">
        <f>'Copper cable forecast'!L59</f>
        <v>0</v>
      </c>
      <c r="AA209" s="324">
        <f>'Copper cable forecast'!M59</f>
        <v>0</v>
      </c>
      <c r="AB209" s="325">
        <f>'Copper cable forecast'!N59</f>
        <v>0</v>
      </c>
    </row>
    <row r="210" spans="2:28" ht="15.6">
      <c r="B210" s="316" t="s">
        <v>71</v>
      </c>
      <c r="C210" s="304">
        <f>'Copper cable forecast'!C10</f>
        <v>1672205.7074885746</v>
      </c>
      <c r="D210" s="268">
        <f>'Copper cable forecast'!D10</f>
        <v>1222748.8825000001</v>
      </c>
      <c r="E210" s="268">
        <f>'Copper cable forecast'!E10</f>
        <v>0</v>
      </c>
      <c r="F210" s="268">
        <f>'Copper cable forecast'!F10</f>
        <v>0</v>
      </c>
      <c r="G210" s="268">
        <f>'Copper cable forecast'!G10</f>
        <v>0</v>
      </c>
      <c r="H210" s="268">
        <f>'Copper cable forecast'!H10</f>
        <v>0</v>
      </c>
      <c r="I210" s="268">
        <f>'Copper cable forecast'!I10</f>
        <v>0</v>
      </c>
      <c r="J210" s="268">
        <f>'Copper cable forecast'!J10</f>
        <v>0</v>
      </c>
      <c r="K210" s="268">
        <f>'Copper cable forecast'!K10</f>
        <v>0</v>
      </c>
      <c r="L210" s="268">
        <f>'Copper cable forecast'!L10</f>
        <v>0</v>
      </c>
      <c r="M210" s="268">
        <f>'Copper cable forecast'!M10</f>
        <v>0</v>
      </c>
      <c r="N210" s="305">
        <f>'Copper cable forecast'!N10</f>
        <v>0</v>
      </c>
      <c r="P210" s="327" t="str">
        <f t="shared" si="4"/>
        <v>40G</v>
      </c>
      <c r="Q210" s="323">
        <f>'Copper cable forecast'!C60</f>
        <v>102.17953707392044</v>
      </c>
      <c r="R210" s="324">
        <f>'Copper cable forecast'!D60</f>
        <v>72.516352540852367</v>
      </c>
      <c r="S210" s="324">
        <f>'Copper cable forecast'!E60</f>
        <v>0</v>
      </c>
      <c r="T210" s="324">
        <f>'Copper cable forecast'!F60</f>
        <v>0</v>
      </c>
      <c r="U210" s="324">
        <f>'Copper cable forecast'!G60</f>
        <v>0</v>
      </c>
      <c r="V210" s="324">
        <f>'Copper cable forecast'!H60</f>
        <v>0</v>
      </c>
      <c r="W210" s="324">
        <f>'Copper cable forecast'!I60</f>
        <v>0</v>
      </c>
      <c r="X210" s="324">
        <f>'Copper cable forecast'!J60</f>
        <v>0</v>
      </c>
      <c r="Y210" s="324">
        <f>'Copper cable forecast'!K60</f>
        <v>0</v>
      </c>
      <c r="Z210" s="324">
        <f>'Copper cable forecast'!L60</f>
        <v>0</v>
      </c>
      <c r="AA210" s="324">
        <f>'Copper cable forecast'!M60</f>
        <v>0</v>
      </c>
      <c r="AB210" s="325">
        <f>'Copper cable forecast'!N60</f>
        <v>0</v>
      </c>
    </row>
    <row r="211" spans="2:28" ht="15.6">
      <c r="B211" s="316" t="s">
        <v>128</v>
      </c>
      <c r="C211" s="304">
        <f>'Copper cable forecast'!C11</f>
        <v>402361.84385246772</v>
      </c>
      <c r="D211" s="268">
        <f>'Copper cable forecast'!D11</f>
        <v>364851.71764485457</v>
      </c>
      <c r="E211" s="268">
        <f>'Copper cable forecast'!E11</f>
        <v>0</v>
      </c>
      <c r="F211" s="268">
        <f>'Copper cable forecast'!F11</f>
        <v>0</v>
      </c>
      <c r="G211" s="268">
        <f>'Copper cable forecast'!G11</f>
        <v>0</v>
      </c>
      <c r="H211" s="268">
        <f>'Copper cable forecast'!H11</f>
        <v>0</v>
      </c>
      <c r="I211" s="268">
        <f>'Copper cable forecast'!I11</f>
        <v>0</v>
      </c>
      <c r="J211" s="268">
        <f>'Copper cable forecast'!J11</f>
        <v>0</v>
      </c>
      <c r="K211" s="268">
        <f>'Copper cable forecast'!K11</f>
        <v>0</v>
      </c>
      <c r="L211" s="268">
        <f>'Copper cable forecast'!L11</f>
        <v>0</v>
      </c>
      <c r="M211" s="268">
        <f>'Copper cable forecast'!M11</f>
        <v>0</v>
      </c>
      <c r="N211" s="305">
        <f>'Copper cable forecast'!N11</f>
        <v>0</v>
      </c>
      <c r="P211" s="327" t="str">
        <f t="shared" si="4"/>
        <v>56G</v>
      </c>
      <c r="Q211" s="323">
        <f>'Copper cable forecast'!C61</f>
        <v>27.198075903832958</v>
      </c>
      <c r="R211" s="324">
        <f>'Copper cable forecast'!D61</f>
        <v>24.775568635814039</v>
      </c>
      <c r="S211" s="324">
        <f>'Copper cable forecast'!E61</f>
        <v>0</v>
      </c>
      <c r="T211" s="324">
        <f>'Copper cable forecast'!F61</f>
        <v>0</v>
      </c>
      <c r="U211" s="324">
        <f>'Copper cable forecast'!G61</f>
        <v>0</v>
      </c>
      <c r="V211" s="324">
        <f>'Copper cable forecast'!H61</f>
        <v>0</v>
      </c>
      <c r="W211" s="324">
        <f>'Copper cable forecast'!I61</f>
        <v>0</v>
      </c>
      <c r="X211" s="324">
        <f>'Copper cable forecast'!J61</f>
        <v>0</v>
      </c>
      <c r="Y211" s="324">
        <f>'Copper cable forecast'!K61</f>
        <v>0</v>
      </c>
      <c r="Z211" s="324">
        <f>'Copper cable forecast'!L61</f>
        <v>0</v>
      </c>
      <c r="AA211" s="324">
        <f>'Copper cable forecast'!M61</f>
        <v>0</v>
      </c>
      <c r="AB211" s="325">
        <f>'Copper cable forecast'!N61</f>
        <v>0</v>
      </c>
    </row>
    <row r="212" spans="2:28" ht="15.6">
      <c r="B212" s="297" t="s">
        <v>74</v>
      </c>
      <c r="C212" s="304">
        <f>'Copper cable forecast'!C12+'Copper cable forecast'!C13</f>
        <v>162811.34000000003</v>
      </c>
      <c r="D212" s="268">
        <f>'Copper cable forecast'!D12+'Copper cable forecast'!D13</f>
        <v>464323.94</v>
      </c>
      <c r="E212" s="268">
        <f>'Copper cable forecast'!E12+'Copper cable forecast'!E13</f>
        <v>0</v>
      </c>
      <c r="F212" s="268">
        <f>'Copper cable forecast'!F12+'Copper cable forecast'!F13</f>
        <v>0</v>
      </c>
      <c r="G212" s="268">
        <f>'Copper cable forecast'!G12+'Copper cable forecast'!G13</f>
        <v>0</v>
      </c>
      <c r="H212" s="268">
        <f>'Copper cable forecast'!H12+'Copper cable forecast'!H13</f>
        <v>0</v>
      </c>
      <c r="I212" s="268">
        <f>'Copper cable forecast'!I12+'Copper cable forecast'!I13</f>
        <v>0</v>
      </c>
      <c r="J212" s="268">
        <f>'Copper cable forecast'!J12+'Copper cable forecast'!J13</f>
        <v>0</v>
      </c>
      <c r="K212" s="268">
        <f>'Copper cable forecast'!K12+'Copper cable forecast'!K13</f>
        <v>0</v>
      </c>
      <c r="L212" s="268">
        <f>'Copper cable forecast'!L12+'Copper cable forecast'!L13</f>
        <v>0</v>
      </c>
      <c r="M212" s="268">
        <f>'Copper cable forecast'!M12+'Copper cable forecast'!M13</f>
        <v>0</v>
      </c>
      <c r="N212" s="305">
        <f>'Copper cable forecast'!N12+'Copper cable forecast'!N13</f>
        <v>0</v>
      </c>
      <c r="P212" s="328" t="str">
        <f t="shared" si="4"/>
        <v>100G</v>
      </c>
      <c r="Q212" s="323">
        <f>'Copper cable forecast'!C62+'Copper cable forecast'!C63</f>
        <v>32.822766144000006</v>
      </c>
      <c r="R212" s="324">
        <f>'Copper cable forecast'!D62+'Copper cable forecast'!D63</f>
        <v>53.044366905600008</v>
      </c>
      <c r="S212" s="324">
        <f>'Copper cable forecast'!E62+'Copper cable forecast'!E63</f>
        <v>0</v>
      </c>
      <c r="T212" s="324">
        <f>'Copper cable forecast'!F62+'Copper cable forecast'!F63</f>
        <v>0</v>
      </c>
      <c r="U212" s="324">
        <f>'Copper cable forecast'!G62+'Copper cable forecast'!G63</f>
        <v>0</v>
      </c>
      <c r="V212" s="324">
        <f>'Copper cable forecast'!H62+'Copper cable forecast'!H63</f>
        <v>0</v>
      </c>
      <c r="W212" s="324">
        <f>'Copper cable forecast'!I62+'Copper cable forecast'!I63</f>
        <v>0</v>
      </c>
      <c r="X212" s="324">
        <f>'Copper cable forecast'!J62+'Copper cable forecast'!J63</f>
        <v>0</v>
      </c>
      <c r="Y212" s="324">
        <f>'Copper cable forecast'!K62+'Copper cable forecast'!K63</f>
        <v>0</v>
      </c>
      <c r="Z212" s="324">
        <f>'Copper cable forecast'!L62+'Copper cable forecast'!L63</f>
        <v>0</v>
      </c>
      <c r="AA212" s="324">
        <f>'Copper cable forecast'!M62+'Copper cable forecast'!M63</f>
        <v>0</v>
      </c>
      <c r="AB212" s="325">
        <f>'Copper cable forecast'!N62+'Copper cable forecast'!N63</f>
        <v>0</v>
      </c>
    </row>
    <row r="213" spans="2:28" ht="15.6">
      <c r="B213" s="297" t="s">
        <v>75</v>
      </c>
      <c r="C213" s="304">
        <f>'Copper cable forecast'!C14+'Copper cable forecast'!C15</f>
        <v>0</v>
      </c>
      <c r="D213" s="268">
        <f>'Copper cable forecast'!D14+'Copper cable forecast'!D15</f>
        <v>0</v>
      </c>
      <c r="E213" s="268">
        <f>'Copper cable forecast'!E14+'Copper cable forecast'!E15</f>
        <v>0</v>
      </c>
      <c r="F213" s="268">
        <f>'Copper cable forecast'!F14+'Copper cable forecast'!F15</f>
        <v>0</v>
      </c>
      <c r="G213" s="268">
        <f>'Copper cable forecast'!G14+'Copper cable forecast'!G15</f>
        <v>0</v>
      </c>
      <c r="H213" s="268">
        <f>'Copper cable forecast'!H14+'Copper cable forecast'!H15</f>
        <v>0</v>
      </c>
      <c r="I213" s="268">
        <f>'Copper cable forecast'!I14+'Copper cable forecast'!I15</f>
        <v>0</v>
      </c>
      <c r="J213" s="268">
        <f>'Copper cable forecast'!J14+'Copper cable forecast'!J15</f>
        <v>0</v>
      </c>
      <c r="K213" s="268">
        <f>'Copper cable forecast'!K14+'Copper cable forecast'!K15</f>
        <v>0</v>
      </c>
      <c r="L213" s="268">
        <f>'Copper cable forecast'!L14+'Copper cable forecast'!L15</f>
        <v>0</v>
      </c>
      <c r="M213" s="268">
        <f>'Copper cable forecast'!M14+'Copper cable forecast'!M15</f>
        <v>0</v>
      </c>
      <c r="N213" s="305">
        <f>'Copper cable forecast'!N14+'Copper cable forecast'!N15</f>
        <v>0</v>
      </c>
      <c r="P213" s="328" t="str">
        <f t="shared" si="4"/>
        <v>200G</v>
      </c>
      <c r="Q213" s="323">
        <f>'Copper cable forecast'!C65+'Copper cable forecast'!C64</f>
        <v>0</v>
      </c>
      <c r="R213" s="324">
        <f>'Copper cable forecast'!D65+'Copper cable forecast'!D64</f>
        <v>0</v>
      </c>
      <c r="S213" s="324">
        <f>'Copper cable forecast'!E65+'Copper cable forecast'!E64</f>
        <v>0</v>
      </c>
      <c r="T213" s="324">
        <f>'Copper cable forecast'!F65+'Copper cable forecast'!F64</f>
        <v>0</v>
      </c>
      <c r="U213" s="324">
        <f>'Copper cable forecast'!G65+'Copper cable forecast'!G64</f>
        <v>0</v>
      </c>
      <c r="V213" s="324">
        <f>'Copper cable forecast'!H65+'Copper cable forecast'!H64</f>
        <v>0</v>
      </c>
      <c r="W213" s="324">
        <f>'Copper cable forecast'!I65+'Copper cable forecast'!I64</f>
        <v>0</v>
      </c>
      <c r="X213" s="324">
        <f>'Copper cable forecast'!J65+'Copper cable forecast'!J64</f>
        <v>0</v>
      </c>
      <c r="Y213" s="324">
        <f>'Copper cable forecast'!K65+'Copper cable forecast'!K64</f>
        <v>0</v>
      </c>
      <c r="Z213" s="324">
        <f>'Copper cable forecast'!L65+'Copper cable forecast'!L64</f>
        <v>0</v>
      </c>
      <c r="AA213" s="324">
        <f>'Copper cable forecast'!M65+'Copper cable forecast'!M64</f>
        <v>0</v>
      </c>
      <c r="AB213" s="325">
        <f>'Copper cable forecast'!N65+'Copper cable forecast'!N64</f>
        <v>0</v>
      </c>
    </row>
    <row r="214" spans="2:28" ht="15.6">
      <c r="B214" s="297" t="s">
        <v>112</v>
      </c>
      <c r="C214" s="304">
        <f>'Copper cable forecast'!C16+'Copper cable forecast'!C17</f>
        <v>0</v>
      </c>
      <c r="D214" s="268">
        <f>'Copper cable forecast'!D16+'Copper cable forecast'!D17</f>
        <v>0</v>
      </c>
      <c r="E214" s="268">
        <f>'Copper cable forecast'!E16+'Copper cable forecast'!E17</f>
        <v>0</v>
      </c>
      <c r="F214" s="268">
        <f>'Copper cable forecast'!F16+'Copper cable forecast'!F17</f>
        <v>0</v>
      </c>
      <c r="G214" s="268">
        <f>'Copper cable forecast'!G16+'Copper cable forecast'!G17</f>
        <v>0</v>
      </c>
      <c r="H214" s="268">
        <f>'Copper cable forecast'!H16+'Copper cable forecast'!H17</f>
        <v>0</v>
      </c>
      <c r="I214" s="268">
        <f>'Copper cable forecast'!I16+'Copper cable forecast'!I17</f>
        <v>0</v>
      </c>
      <c r="J214" s="268">
        <f>'Copper cable forecast'!J16+'Copper cable forecast'!J17</f>
        <v>0</v>
      </c>
      <c r="K214" s="268">
        <f>'Copper cable forecast'!K16+'Copper cable forecast'!K17</f>
        <v>0</v>
      </c>
      <c r="L214" s="268">
        <f>'Copper cable forecast'!L16+'Copper cable forecast'!L17</f>
        <v>0</v>
      </c>
      <c r="M214" s="268">
        <f>'Copper cable forecast'!M16+'Copper cable forecast'!M17</f>
        <v>0</v>
      </c>
      <c r="N214" s="305">
        <f>'Copper cable forecast'!N16+'Copper cable forecast'!N17</f>
        <v>0</v>
      </c>
      <c r="P214" s="328" t="str">
        <f t="shared" si="4"/>
        <v>400G</v>
      </c>
      <c r="Q214" s="323">
        <f>'Copper cable forecast'!C66+'Copper cable forecast'!C67</f>
        <v>0</v>
      </c>
      <c r="R214" s="324">
        <f>'Copper cable forecast'!D66+'Copper cable forecast'!D67</f>
        <v>0</v>
      </c>
      <c r="S214" s="324">
        <f>'Copper cable forecast'!E66+'Copper cable forecast'!E67</f>
        <v>0</v>
      </c>
      <c r="T214" s="324">
        <f>'Copper cable forecast'!F66+'Copper cable forecast'!F67</f>
        <v>0</v>
      </c>
      <c r="U214" s="324">
        <f>'Copper cable forecast'!G66+'Copper cable forecast'!G67</f>
        <v>0</v>
      </c>
      <c r="V214" s="324">
        <f>'Copper cable forecast'!H66+'Copper cable forecast'!H67</f>
        <v>0</v>
      </c>
      <c r="W214" s="324">
        <f>'Copper cable forecast'!I66+'Copper cable forecast'!I67</f>
        <v>0</v>
      </c>
      <c r="X214" s="324">
        <f>'Copper cable forecast'!J66+'Copper cable forecast'!J67</f>
        <v>0</v>
      </c>
      <c r="Y214" s="324">
        <f>'Copper cable forecast'!K66+'Copper cable forecast'!K67</f>
        <v>0</v>
      </c>
      <c r="Z214" s="324">
        <f>'Copper cable forecast'!L66+'Copper cable forecast'!L67</f>
        <v>0</v>
      </c>
      <c r="AA214" s="324">
        <f>'Copper cable forecast'!M66+'Copper cable forecast'!M67</f>
        <v>0</v>
      </c>
      <c r="AB214" s="325">
        <f>'Copper cable forecast'!N66+'Copper cable forecast'!N67</f>
        <v>0</v>
      </c>
    </row>
    <row r="215" spans="2:28" ht="15.6">
      <c r="B215" s="297" t="s">
        <v>117</v>
      </c>
      <c r="C215" s="304">
        <f>'Copper cable forecast'!C18+'Copper cable forecast'!C19</f>
        <v>0</v>
      </c>
      <c r="D215" s="268">
        <f>'Copper cable forecast'!D18+'Copper cable forecast'!D19</f>
        <v>0</v>
      </c>
      <c r="E215" s="268">
        <f>'Copper cable forecast'!E18+'Copper cable forecast'!E19</f>
        <v>0</v>
      </c>
      <c r="F215" s="268">
        <f>'Copper cable forecast'!F18+'Copper cable forecast'!F19</f>
        <v>0</v>
      </c>
      <c r="G215" s="268">
        <f>'Copper cable forecast'!G18+'Copper cable forecast'!G19</f>
        <v>0</v>
      </c>
      <c r="H215" s="268">
        <f>'Copper cable forecast'!H18+'Copper cable forecast'!H19</f>
        <v>0</v>
      </c>
      <c r="I215" s="268">
        <f>'Copper cable forecast'!I18+'Copper cable forecast'!I19</f>
        <v>0</v>
      </c>
      <c r="J215" s="268">
        <f>'Copper cable forecast'!J18+'Copper cable forecast'!J19</f>
        <v>0</v>
      </c>
      <c r="K215" s="268">
        <f>'Copper cable forecast'!K18+'Copper cable forecast'!K19</f>
        <v>0</v>
      </c>
      <c r="L215" s="268">
        <f>'Copper cable forecast'!L18+'Copper cable forecast'!L19</f>
        <v>0</v>
      </c>
      <c r="M215" s="268">
        <f>'Copper cable forecast'!M18+'Copper cable forecast'!M19</f>
        <v>0</v>
      </c>
      <c r="N215" s="305">
        <f>'Copper cable forecast'!N18+'Copper cable forecast'!N19</f>
        <v>0</v>
      </c>
      <c r="P215" s="328" t="str">
        <f t="shared" si="4"/>
        <v>800G</v>
      </c>
      <c r="Q215" s="323">
        <f>'Copper cable forecast'!C69+'Copper cable forecast'!C68</f>
        <v>0</v>
      </c>
      <c r="R215" s="324">
        <f>'Copper cable forecast'!D69+'Copper cable forecast'!D68</f>
        <v>0</v>
      </c>
      <c r="S215" s="324">
        <f>'Copper cable forecast'!E69+'Copper cable forecast'!E68</f>
        <v>0</v>
      </c>
      <c r="T215" s="324">
        <f>'Copper cable forecast'!F69+'Copper cable forecast'!F68</f>
        <v>0</v>
      </c>
      <c r="U215" s="324">
        <f>'Copper cable forecast'!G69+'Copper cable forecast'!G68</f>
        <v>0</v>
      </c>
      <c r="V215" s="324">
        <f>'Copper cable forecast'!H69+'Copper cable forecast'!H68</f>
        <v>0</v>
      </c>
      <c r="W215" s="324">
        <f>'Copper cable forecast'!I69+'Copper cable forecast'!I68</f>
        <v>0</v>
      </c>
      <c r="X215" s="324">
        <f>'Copper cable forecast'!J69+'Copper cable forecast'!J68</f>
        <v>0</v>
      </c>
      <c r="Y215" s="324">
        <f>'Copper cable forecast'!K69+'Copper cable forecast'!K68</f>
        <v>0</v>
      </c>
      <c r="Z215" s="324">
        <f>'Copper cable forecast'!L69+'Copper cable forecast'!L68</f>
        <v>0</v>
      </c>
      <c r="AA215" s="324">
        <f>'Copper cable forecast'!M69+'Copper cable forecast'!M68</f>
        <v>0</v>
      </c>
      <c r="AB215" s="325">
        <f>'Copper cable forecast'!N69+'Copper cable forecast'!N68</f>
        <v>0</v>
      </c>
    </row>
    <row r="216" spans="2:28" ht="15.6">
      <c r="B216" s="367" t="s">
        <v>224</v>
      </c>
      <c r="C216" s="304"/>
      <c r="D216" s="268"/>
      <c r="E216" s="268"/>
      <c r="F216" s="268"/>
      <c r="G216" s="268"/>
      <c r="H216" s="268">
        <f>'Copper cable forecast'!H20+'Copper cable forecast'!H21</f>
        <v>0</v>
      </c>
      <c r="I216" s="268">
        <f>'Copper cable forecast'!I20+'Copper cable forecast'!I21</f>
        <v>0</v>
      </c>
      <c r="J216" s="268">
        <f>'Copper cable forecast'!J20+'Copper cable forecast'!J21</f>
        <v>0</v>
      </c>
      <c r="K216" s="268">
        <f>'Copper cable forecast'!K20+'Copper cable forecast'!K21</f>
        <v>0</v>
      </c>
      <c r="L216" s="268">
        <f>'Copper cable forecast'!L20+'Copper cable forecast'!L21</f>
        <v>0</v>
      </c>
      <c r="M216" s="268">
        <f>'Copper cable forecast'!M20+'Copper cable forecast'!M21</f>
        <v>0</v>
      </c>
      <c r="N216" s="371">
        <f>'Copper cable forecast'!N20+'Copper cable forecast'!N21</f>
        <v>0</v>
      </c>
      <c r="P216" s="328" t="str">
        <f t="shared" si="4"/>
        <v>1.6T</v>
      </c>
      <c r="Q216" s="323">
        <f>'Copper cable forecast'!C70+'Copper cable forecast'!C71</f>
        <v>0</v>
      </c>
      <c r="R216" s="324">
        <f>'Copper cable forecast'!D70+'Copper cable forecast'!D71</f>
        <v>0</v>
      </c>
      <c r="S216" s="324">
        <f>'Copper cable forecast'!E70+'Copper cable forecast'!E71</f>
        <v>0</v>
      </c>
      <c r="T216" s="324">
        <f>'Copper cable forecast'!F70+'Copper cable forecast'!F71</f>
        <v>0</v>
      </c>
      <c r="U216" s="324">
        <f>'Copper cable forecast'!G70+'Copper cable forecast'!G71</f>
        <v>0</v>
      </c>
      <c r="V216" s="324">
        <f>'Copper cable forecast'!H70+'Copper cable forecast'!H71</f>
        <v>0</v>
      </c>
      <c r="W216" s="324">
        <f>'Copper cable forecast'!I70+'Copper cable forecast'!I71</f>
        <v>0</v>
      </c>
      <c r="X216" s="324">
        <f>'Copper cable forecast'!J70+'Copper cable forecast'!J71</f>
        <v>0</v>
      </c>
      <c r="Y216" s="324">
        <f>'Copper cable forecast'!K70+'Copper cable forecast'!K71</f>
        <v>0</v>
      </c>
      <c r="Z216" s="324">
        <f>'Copper cable forecast'!L70+'Copper cable forecast'!L71</f>
        <v>0</v>
      </c>
      <c r="AA216" s="324">
        <f>'Copper cable forecast'!M70+'Copper cable forecast'!M71</f>
        <v>0</v>
      </c>
      <c r="AB216" s="325">
        <f>'Copper cable forecast'!N70+'Copper cable forecast'!N71</f>
        <v>0</v>
      </c>
    </row>
    <row r="217" spans="2:28" ht="15.6">
      <c r="B217" s="332" t="s">
        <v>13</v>
      </c>
      <c r="C217" s="198">
        <f t="shared" ref="C217:L217" si="5">SUM(C208:C216)</f>
        <v>7651136.1413410418</v>
      </c>
      <c r="D217" s="198">
        <f t="shared" si="5"/>
        <v>7888760.090144855</v>
      </c>
      <c r="E217" s="198">
        <f t="shared" si="5"/>
        <v>0</v>
      </c>
      <c r="F217" s="198">
        <f t="shared" si="5"/>
        <v>0</v>
      </c>
      <c r="G217" s="198">
        <f t="shared" si="5"/>
        <v>0</v>
      </c>
      <c r="H217" s="198">
        <f t="shared" si="5"/>
        <v>0</v>
      </c>
      <c r="I217" s="198">
        <f t="shared" si="5"/>
        <v>0</v>
      </c>
      <c r="J217" s="198">
        <f t="shared" si="5"/>
        <v>0</v>
      </c>
      <c r="K217" s="198">
        <f t="shared" si="5"/>
        <v>0</v>
      </c>
      <c r="L217" s="198">
        <f t="shared" si="5"/>
        <v>0</v>
      </c>
      <c r="M217" s="198">
        <f>SUM(M208:M216)</f>
        <v>0</v>
      </c>
      <c r="N217" s="199">
        <f>SUM(N208:N216)</f>
        <v>0</v>
      </c>
      <c r="P217" s="340" t="s">
        <v>13</v>
      </c>
      <c r="Q217" s="201">
        <f>SUM(Q208:Q216)</f>
        <v>270.40268678220099</v>
      </c>
      <c r="R217" s="202">
        <f t="shared" ref="R217:AA217" si="6">SUM(R208:R216)</f>
        <v>259.54235179262054</v>
      </c>
      <c r="S217" s="202">
        <f t="shared" si="6"/>
        <v>0</v>
      </c>
      <c r="T217" s="202">
        <f t="shared" si="6"/>
        <v>0</v>
      </c>
      <c r="U217" s="202">
        <f t="shared" si="6"/>
        <v>0</v>
      </c>
      <c r="V217" s="202">
        <f t="shared" si="6"/>
        <v>0</v>
      </c>
      <c r="W217" s="202">
        <f t="shared" si="6"/>
        <v>0</v>
      </c>
      <c r="X217" s="202">
        <f t="shared" si="6"/>
        <v>0</v>
      </c>
      <c r="Y217" s="202">
        <f t="shared" si="6"/>
        <v>0</v>
      </c>
      <c r="Z217" s="202">
        <f t="shared" si="6"/>
        <v>0</v>
      </c>
      <c r="AA217" s="202">
        <f t="shared" si="6"/>
        <v>0</v>
      </c>
      <c r="AB217" s="203">
        <f t="shared" ref="AB217" si="7">SUM(AB208:AB216)</f>
        <v>0</v>
      </c>
    </row>
    <row r="218" spans="2:28">
      <c r="P218" s="65" t="s">
        <v>201</v>
      </c>
      <c r="Q218" s="167">
        <f>Q217</f>
        <v>270.40268678220099</v>
      </c>
      <c r="R218" s="167">
        <f t="shared" ref="R218:Z218" si="8">R217</f>
        <v>259.54235179262054</v>
      </c>
      <c r="S218" s="167">
        <f t="shared" si="8"/>
        <v>0</v>
      </c>
      <c r="T218" s="167">
        <f t="shared" si="8"/>
        <v>0</v>
      </c>
      <c r="U218" s="167">
        <f t="shared" si="8"/>
        <v>0</v>
      </c>
      <c r="V218" s="167">
        <f t="shared" si="8"/>
        <v>0</v>
      </c>
      <c r="W218" s="167">
        <f t="shared" si="8"/>
        <v>0</v>
      </c>
      <c r="X218" s="167">
        <f t="shared" si="8"/>
        <v>0</v>
      </c>
      <c r="Y218" s="167">
        <f t="shared" si="8"/>
        <v>0</v>
      </c>
      <c r="Z218" s="167">
        <f t="shared" si="8"/>
        <v>0</v>
      </c>
      <c r="AA218" s="167">
        <f>AA217</f>
        <v>0</v>
      </c>
      <c r="AB218" s="167">
        <f>AB217</f>
        <v>0</v>
      </c>
    </row>
    <row r="219" spans="2:28" ht="18">
      <c r="C219" s="317"/>
      <c r="P219" s="65" t="s">
        <v>49</v>
      </c>
      <c r="Q219" s="71">
        <f>'AOC forecast'!G79</f>
        <v>221.72454479323284</v>
      </c>
      <c r="R219" s="71">
        <f>'AOC forecast'!H79</f>
        <v>206.65941133354022</v>
      </c>
      <c r="S219" s="71">
        <f>'AOC forecast'!I79</f>
        <v>0</v>
      </c>
      <c r="T219" s="71">
        <f>'AOC forecast'!J79</f>
        <v>0</v>
      </c>
      <c r="U219" s="71">
        <f>'AOC forecast'!K79</f>
        <v>0</v>
      </c>
      <c r="V219" s="71">
        <f>'AOC forecast'!L79</f>
        <v>0</v>
      </c>
      <c r="W219" s="71">
        <f>'AOC forecast'!M79</f>
        <v>0</v>
      </c>
      <c r="X219" s="71">
        <f>'AOC forecast'!N79</f>
        <v>0</v>
      </c>
      <c r="Y219" s="71">
        <f>'AOC forecast'!O79</f>
        <v>0</v>
      </c>
      <c r="Z219" s="71">
        <f>'AOC forecast'!P79</f>
        <v>0</v>
      </c>
      <c r="AA219" s="71">
        <f>'AOC forecast'!Q79</f>
        <v>0</v>
      </c>
      <c r="AB219" s="71">
        <f>'AOC forecast'!R79</f>
        <v>0</v>
      </c>
    </row>
    <row r="221" spans="2:28" ht="23.4">
      <c r="B221" s="53" t="s">
        <v>284</v>
      </c>
    </row>
    <row r="239" spans="2:12">
      <c r="B239" s="66"/>
      <c r="C239" s="157"/>
      <c r="D239" s="157"/>
      <c r="E239" s="157"/>
      <c r="F239" s="157"/>
      <c r="G239" s="157"/>
      <c r="H239" s="157"/>
      <c r="I239" s="157"/>
      <c r="J239" s="157"/>
      <c r="K239" s="157"/>
      <c r="L239" s="262"/>
    </row>
    <row r="240" spans="2:12">
      <c r="B240" s="66"/>
    </row>
    <row r="241" spans="2:28" ht="14.4">
      <c r="B241" s="295" t="s">
        <v>185</v>
      </c>
      <c r="C241" s="298">
        <v>2016</v>
      </c>
      <c r="D241" s="299">
        <v>2017</v>
      </c>
      <c r="E241" s="299">
        <v>2018</v>
      </c>
      <c r="F241" s="299">
        <v>2019</v>
      </c>
      <c r="G241" s="299">
        <v>2020</v>
      </c>
      <c r="H241" s="299">
        <v>2021</v>
      </c>
      <c r="I241" s="299">
        <v>2022</v>
      </c>
      <c r="J241" s="299">
        <v>2023</v>
      </c>
      <c r="K241" s="299">
        <v>2024</v>
      </c>
      <c r="L241" s="299">
        <v>2025</v>
      </c>
      <c r="M241" s="299">
        <v>2026</v>
      </c>
      <c r="N241" s="300">
        <v>2027</v>
      </c>
      <c r="P241" s="295" t="s">
        <v>186</v>
      </c>
      <c r="Q241" s="329">
        <v>2016</v>
      </c>
      <c r="R241" s="330">
        <v>2017</v>
      </c>
      <c r="S241" s="330">
        <v>2018</v>
      </c>
      <c r="T241" s="330">
        <v>2019</v>
      </c>
      <c r="U241" s="330">
        <v>2020</v>
      </c>
      <c r="V241" s="330">
        <v>2021</v>
      </c>
      <c r="W241" s="330">
        <v>2022</v>
      </c>
      <c r="X241" s="330">
        <v>2023</v>
      </c>
      <c r="Y241" s="330">
        <v>2024</v>
      </c>
      <c r="Z241" s="330">
        <v>2025</v>
      </c>
      <c r="AA241" s="330">
        <v>2026</v>
      </c>
      <c r="AB241" s="300">
        <v>2027</v>
      </c>
    </row>
    <row r="242" spans="2:28" ht="14.4">
      <c r="B242" s="284" t="s">
        <v>182</v>
      </c>
      <c r="C242" s="301">
        <f>'EOM forecast'!G10</f>
        <v>53000</v>
      </c>
      <c r="D242" s="302">
        <f>'EOM forecast'!H10</f>
        <v>118091</v>
      </c>
      <c r="E242" s="302">
        <f>'EOM forecast'!I10</f>
        <v>0</v>
      </c>
      <c r="F242" s="302">
        <f>'EOM forecast'!J10</f>
        <v>0</v>
      </c>
      <c r="G242" s="302">
        <f>'EOM forecast'!K10</f>
        <v>0</v>
      </c>
      <c r="H242" s="302">
        <f>'EOM forecast'!L10</f>
        <v>0</v>
      </c>
      <c r="I242" s="302">
        <f>'EOM forecast'!M10</f>
        <v>0</v>
      </c>
      <c r="J242" s="302">
        <f>'EOM forecast'!N10</f>
        <v>0</v>
      </c>
      <c r="K242" s="302">
        <f>'EOM forecast'!O10</f>
        <v>0</v>
      </c>
      <c r="L242" s="302">
        <f>'EOM forecast'!P10</f>
        <v>0</v>
      </c>
      <c r="M242" s="302">
        <f>'EOM forecast'!Q10</f>
        <v>0</v>
      </c>
      <c r="N242" s="303">
        <f>'EOM forecast'!R10</f>
        <v>0</v>
      </c>
      <c r="P242" s="284" t="s">
        <v>182</v>
      </c>
      <c r="Q242" s="320">
        <f>'EOM forecast'!G27</f>
        <v>24.28899961778767</v>
      </c>
      <c r="R242" s="321">
        <f>'EOM forecast'!H27</f>
        <v>49.480128999999998</v>
      </c>
      <c r="S242" s="321">
        <f>'EOM forecast'!I27</f>
        <v>0</v>
      </c>
      <c r="T242" s="321">
        <f>'EOM forecast'!J27</f>
        <v>0</v>
      </c>
      <c r="U242" s="321">
        <f>'EOM forecast'!K27</f>
        <v>0</v>
      </c>
      <c r="V242" s="321">
        <f>'EOM forecast'!L27</f>
        <v>0</v>
      </c>
      <c r="W242" s="321">
        <f>'EOM forecast'!M27</f>
        <v>0</v>
      </c>
      <c r="X242" s="321">
        <f>'EOM forecast'!N27</f>
        <v>0</v>
      </c>
      <c r="Y242" s="321">
        <f>'EOM forecast'!O27</f>
        <v>0</v>
      </c>
      <c r="Z242" s="321">
        <f>'EOM forecast'!P27</f>
        <v>0</v>
      </c>
      <c r="AA242" s="321">
        <f>'EOM forecast'!Q27</f>
        <v>0</v>
      </c>
      <c r="AB242" s="321">
        <f>'EOM forecast'!R27</f>
        <v>0</v>
      </c>
    </row>
    <row r="243" spans="2:28" ht="14.4">
      <c r="B243" s="285" t="s">
        <v>180</v>
      </c>
      <c r="C243" s="304"/>
      <c r="D243" s="268"/>
      <c r="E243" s="268"/>
      <c r="F243" s="268"/>
      <c r="G243" s="268"/>
      <c r="H243" s="268"/>
      <c r="I243" s="268">
        <f>'CPO forecast'!G25</f>
        <v>0</v>
      </c>
      <c r="J243" s="268">
        <f>'CPO forecast'!H25</f>
        <v>0</v>
      </c>
      <c r="K243" s="268">
        <f>'CPO forecast'!I25</f>
        <v>0</v>
      </c>
      <c r="L243" s="268">
        <f>'CPO forecast'!J25</f>
        <v>0</v>
      </c>
      <c r="M243" s="268">
        <f>'CPO forecast'!K25</f>
        <v>0</v>
      </c>
      <c r="N243" s="305">
        <f>'CPO forecast'!L25</f>
        <v>0</v>
      </c>
      <c r="P243" s="285" t="str">
        <f>B243</f>
        <v>800G CPO</v>
      </c>
      <c r="Q243" s="323"/>
      <c r="R243" s="324"/>
      <c r="S243" s="324"/>
      <c r="T243" s="324"/>
      <c r="U243" s="324"/>
      <c r="V243" s="324"/>
      <c r="W243" s="324">
        <f>'CPO forecast'!G78</f>
        <v>0</v>
      </c>
      <c r="X243" s="324">
        <f>'CPO forecast'!H78</f>
        <v>0</v>
      </c>
      <c r="Y243" s="324">
        <f>'CPO forecast'!I78</f>
        <v>0</v>
      </c>
      <c r="Z243" s="324">
        <f>'CPO forecast'!J78</f>
        <v>0</v>
      </c>
      <c r="AA243" s="324">
        <f>'CPO forecast'!K78</f>
        <v>0</v>
      </c>
      <c r="AB243" s="324">
        <f>'CPO forecast'!L78</f>
        <v>0</v>
      </c>
    </row>
    <row r="244" spans="2:28" ht="14.4">
      <c r="B244" s="285" t="s">
        <v>181</v>
      </c>
      <c r="C244" s="304"/>
      <c r="D244" s="268"/>
      <c r="E244" s="268"/>
      <c r="F244" s="268"/>
      <c r="G244" s="268"/>
      <c r="H244" s="268"/>
      <c r="I244" s="268"/>
      <c r="J244" s="268">
        <f>'CPO forecast'!H26</f>
        <v>0</v>
      </c>
      <c r="K244" s="268">
        <f>'CPO forecast'!I26</f>
        <v>0</v>
      </c>
      <c r="L244" s="268">
        <f>'CPO forecast'!J26</f>
        <v>0</v>
      </c>
      <c r="M244" s="268">
        <f>'CPO forecast'!K26</f>
        <v>0</v>
      </c>
      <c r="N244" s="305">
        <f>'CPO forecast'!L26</f>
        <v>0</v>
      </c>
      <c r="P244" s="285" t="str">
        <f>B244</f>
        <v>1.6T CPO</v>
      </c>
      <c r="Q244" s="323"/>
      <c r="R244" s="324"/>
      <c r="S244" s="324"/>
      <c r="T244" s="324"/>
      <c r="U244" s="324"/>
      <c r="V244" s="324"/>
      <c r="W244" s="324">
        <f>'CPO forecast'!G79</f>
        <v>0</v>
      </c>
      <c r="X244" s="324">
        <f>'CPO forecast'!H79</f>
        <v>0</v>
      </c>
      <c r="Y244" s="324">
        <f>'CPO forecast'!I79</f>
        <v>0</v>
      </c>
      <c r="Z244" s="324">
        <f>'CPO forecast'!J79</f>
        <v>0</v>
      </c>
      <c r="AA244" s="324">
        <f>'CPO forecast'!K79</f>
        <v>0</v>
      </c>
      <c r="AB244" s="324">
        <f>'CPO forecast'!L79</f>
        <v>0</v>
      </c>
    </row>
    <row r="245" spans="2:28" ht="14.4">
      <c r="B245" s="286" t="s">
        <v>280</v>
      </c>
      <c r="C245" s="440"/>
      <c r="D245" s="441"/>
      <c r="E245" s="441"/>
      <c r="F245" s="441"/>
      <c r="G245" s="441">
        <f>'CPO forecast'!E27</f>
        <v>0</v>
      </c>
      <c r="H245" s="441">
        <f>'CPO forecast'!F27</f>
        <v>0</v>
      </c>
      <c r="I245" s="441">
        <f>'CPO forecast'!G27</f>
        <v>0</v>
      </c>
      <c r="J245" s="441">
        <f>'CPO forecast'!H27</f>
        <v>0</v>
      </c>
      <c r="K245" s="441">
        <f>'CPO forecast'!I27</f>
        <v>0</v>
      </c>
      <c r="L245" s="441">
        <f>'CPO forecast'!J27</f>
        <v>0</v>
      </c>
      <c r="M245" s="441">
        <f>'CPO forecast'!K27</f>
        <v>0</v>
      </c>
      <c r="N245" s="371">
        <f>'CPO forecast'!L27</f>
        <v>0</v>
      </c>
      <c r="P245" s="286" t="str">
        <f>B245</f>
        <v>External laser modules</v>
      </c>
      <c r="Q245" s="324"/>
      <c r="R245" s="324"/>
      <c r="S245" s="324"/>
      <c r="T245" s="324"/>
      <c r="U245" s="324"/>
      <c r="V245" s="324"/>
      <c r="W245" s="324">
        <f>'CPO forecast'!G80</f>
        <v>0</v>
      </c>
      <c r="X245" s="324">
        <f>'CPO forecast'!H80</f>
        <v>0</v>
      </c>
      <c r="Y245" s="324">
        <f>'CPO forecast'!I80</f>
        <v>0</v>
      </c>
      <c r="Z245" s="324">
        <f>'CPO forecast'!J80</f>
        <v>0</v>
      </c>
      <c r="AA245" s="324">
        <f>'CPO forecast'!K80</f>
        <v>0</v>
      </c>
      <c r="AB245" s="324">
        <f>'CPO forecast'!L80</f>
        <v>0</v>
      </c>
    </row>
    <row r="246" spans="2:28">
      <c r="B246" s="282" t="s">
        <v>79</v>
      </c>
      <c r="C246" s="198">
        <f t="shared" ref="C246:H246" si="9">SUM(C243:C244)</f>
        <v>0</v>
      </c>
      <c r="D246" s="198">
        <f t="shared" si="9"/>
        <v>0</v>
      </c>
      <c r="E246" s="198">
        <f t="shared" si="9"/>
        <v>0</v>
      </c>
      <c r="F246" s="198">
        <f t="shared" si="9"/>
        <v>0</v>
      </c>
      <c r="G246" s="198">
        <f t="shared" si="9"/>
        <v>0</v>
      </c>
      <c r="H246" s="198">
        <f t="shared" si="9"/>
        <v>0</v>
      </c>
      <c r="I246" s="198">
        <f>SUM(I243:I245)</f>
        <v>0</v>
      </c>
      <c r="J246" s="198">
        <f t="shared" ref="J246:N246" si="10">SUM(J243:J245)</f>
        <v>0</v>
      </c>
      <c r="K246" s="198">
        <f t="shared" si="10"/>
        <v>0</v>
      </c>
      <c r="L246" s="198">
        <f t="shared" si="10"/>
        <v>0</v>
      </c>
      <c r="M246" s="198">
        <f t="shared" si="10"/>
        <v>0</v>
      </c>
      <c r="N246" s="198">
        <f t="shared" si="10"/>
        <v>0</v>
      </c>
      <c r="P246" s="282" t="str">
        <f>B246</f>
        <v>Sum of above</v>
      </c>
      <c r="Q246" s="202">
        <f t="shared" ref="Q246:V246" si="11">SUM(Q243:Q245)</f>
        <v>0</v>
      </c>
      <c r="R246" s="202">
        <f t="shared" si="11"/>
        <v>0</v>
      </c>
      <c r="S246" s="202">
        <f t="shared" si="11"/>
        <v>0</v>
      </c>
      <c r="T246" s="202">
        <f t="shared" si="11"/>
        <v>0</v>
      </c>
      <c r="U246" s="202">
        <f t="shared" si="11"/>
        <v>0</v>
      </c>
      <c r="V246" s="202">
        <f t="shared" si="11"/>
        <v>0</v>
      </c>
      <c r="W246" s="202">
        <f>SUM(W243:W245)</f>
        <v>0</v>
      </c>
      <c r="X246" s="202">
        <f t="shared" ref="X246:AB246" si="12">SUM(X243:X245)</f>
        <v>0</v>
      </c>
      <c r="Y246" s="202">
        <f t="shared" si="12"/>
        <v>0</v>
      </c>
      <c r="Z246" s="202">
        <f t="shared" si="12"/>
        <v>0</v>
      </c>
      <c r="AA246" s="202">
        <f t="shared" si="12"/>
        <v>0</v>
      </c>
      <c r="AB246" s="202">
        <f t="shared" si="12"/>
        <v>0</v>
      </c>
    </row>
    <row r="247" spans="2:28">
      <c r="B247" s="66"/>
    </row>
    <row r="249" spans="2:28" ht="22.8">
      <c r="B249" s="346" t="s">
        <v>283</v>
      </c>
      <c r="H249" s="442" t="s">
        <v>288</v>
      </c>
    </row>
    <row r="290" spans="2:15">
      <c r="J290" s="157"/>
      <c r="K290" s="157"/>
      <c r="L290" s="157"/>
      <c r="M290" s="157"/>
      <c r="N290" s="157"/>
      <c r="O290" s="157"/>
    </row>
    <row r="291" spans="2:15" ht="21">
      <c r="G291" s="164" t="s">
        <v>87</v>
      </c>
    </row>
    <row r="292" spans="2:15">
      <c r="B292" s="269" t="s">
        <v>124</v>
      </c>
      <c r="C292" s="270"/>
      <c r="D292" s="195">
        <v>2016</v>
      </c>
      <c r="E292" s="166">
        <v>2017</v>
      </c>
      <c r="F292" s="166">
        <v>2018</v>
      </c>
      <c r="G292" s="166">
        <v>2019</v>
      </c>
      <c r="H292" s="166">
        <v>2020</v>
      </c>
      <c r="I292" s="166">
        <v>2021</v>
      </c>
      <c r="J292" s="166">
        <v>2022</v>
      </c>
      <c r="K292" s="166">
        <v>2023</v>
      </c>
      <c r="L292" s="166">
        <v>2024</v>
      </c>
      <c r="M292" s="166">
        <v>2025</v>
      </c>
      <c r="N292" s="166">
        <v>2026</v>
      </c>
      <c r="O292" s="166">
        <v>2027</v>
      </c>
    </row>
    <row r="293" spans="2:15">
      <c r="B293" s="195" t="str">
        <f>B179</f>
        <v>HPC &amp; AI Clusters</v>
      </c>
      <c r="C293" s="166"/>
      <c r="D293" s="288">
        <f>'Segment forecast'!G30</f>
        <v>31686.577303786085</v>
      </c>
      <c r="E293" s="186">
        <f>'Segment forecast'!H30</f>
        <v>49766.52499512909</v>
      </c>
      <c r="F293" s="186">
        <f>'Segment forecast'!I30</f>
        <v>0</v>
      </c>
      <c r="G293" s="186">
        <f>'Segment forecast'!J30</f>
        <v>0</v>
      </c>
      <c r="H293" s="186">
        <f>'Segment forecast'!K30</f>
        <v>0</v>
      </c>
      <c r="I293" s="186">
        <f>'Segment forecast'!L30</f>
        <v>0</v>
      </c>
      <c r="J293" s="186">
        <f>'Segment forecast'!M30</f>
        <v>0</v>
      </c>
      <c r="K293" s="186">
        <f>'Segment forecast'!N30</f>
        <v>0</v>
      </c>
      <c r="L293" s="186">
        <f>'Segment forecast'!O30</f>
        <v>0</v>
      </c>
      <c r="M293" s="186">
        <f>'Segment forecast'!P30</f>
        <v>0</v>
      </c>
      <c r="N293" s="186">
        <f>'Segment forecast'!Q30</f>
        <v>0</v>
      </c>
      <c r="O293" s="186">
        <f>'Segment forecast'!R30</f>
        <v>0</v>
      </c>
    </row>
    <row r="294" spans="2:15">
      <c r="B294" s="118" t="str">
        <f>B180</f>
        <v>Core Routing</v>
      </c>
      <c r="D294" s="289">
        <f>'Segment forecast'!G31</f>
        <v>25113.422696213915</v>
      </c>
      <c r="E294" s="42">
        <f>'Segment forecast'!H31</f>
        <v>23342.155004870921</v>
      </c>
      <c r="F294" s="42">
        <f>'Segment forecast'!I31</f>
        <v>0</v>
      </c>
      <c r="G294" s="42">
        <f>'Segment forecast'!J31</f>
        <v>0</v>
      </c>
      <c r="H294" s="42">
        <f>'Segment forecast'!K31</f>
        <v>0</v>
      </c>
      <c r="I294" s="42">
        <f>'Segment forecast'!L31</f>
        <v>0</v>
      </c>
      <c r="J294" s="42">
        <f>'Segment forecast'!M31</f>
        <v>0</v>
      </c>
      <c r="K294" s="42">
        <f>'Segment forecast'!N31</f>
        <v>0</v>
      </c>
      <c r="L294" s="42">
        <f>'Segment forecast'!O31</f>
        <v>0</v>
      </c>
      <c r="M294" s="42">
        <f>'Segment forecast'!P31</f>
        <v>0</v>
      </c>
      <c r="N294" s="42">
        <f>'Segment forecast'!Q31</f>
        <v>0</v>
      </c>
      <c r="O294" s="42">
        <f>'Segment forecast'!R31</f>
        <v>0</v>
      </c>
    </row>
    <row r="295" spans="2:15">
      <c r="B295" s="118" t="str">
        <f>B181</f>
        <v>DC Compute Nodes (except 1x10/1x25G)</v>
      </c>
      <c r="D295" s="289">
        <f>'Segment forecast'!G32</f>
        <v>21200</v>
      </c>
      <c r="E295" s="42">
        <f>'Segment forecast'!H32</f>
        <v>59045.499999999985</v>
      </c>
      <c r="F295" s="42">
        <f>'Segment forecast'!I32</f>
        <v>0</v>
      </c>
      <c r="G295" s="42">
        <f>'Segment forecast'!J32</f>
        <v>0</v>
      </c>
      <c r="H295" s="42">
        <f>'Segment forecast'!K32</f>
        <v>0</v>
      </c>
      <c r="I295" s="42">
        <f>'Segment forecast'!L32</f>
        <v>0</v>
      </c>
      <c r="J295" s="42">
        <f>'Segment forecast'!M32</f>
        <v>0</v>
      </c>
      <c r="K295" s="42">
        <f>'Segment forecast'!N32</f>
        <v>0</v>
      </c>
      <c r="L295" s="42">
        <f>'Segment forecast'!O32</f>
        <v>0</v>
      </c>
      <c r="M295" s="42">
        <f>'Segment forecast'!P32</f>
        <v>0</v>
      </c>
      <c r="N295" s="42">
        <f>'Segment forecast'!Q32</f>
        <v>0</v>
      </c>
      <c r="O295" s="42">
        <f>'Segment forecast'!R32</f>
        <v>0</v>
      </c>
    </row>
    <row r="296" spans="2:15">
      <c r="B296" s="193" t="s">
        <v>174</v>
      </c>
      <c r="C296" s="69"/>
      <c r="D296" s="290">
        <f>'Segment forecast'!G33</f>
        <v>0</v>
      </c>
      <c r="E296" s="43">
        <f>'Segment forecast'!H33</f>
        <v>2361.8200000000052</v>
      </c>
      <c r="F296" s="43">
        <f>'Segment forecast'!I33</f>
        <v>0</v>
      </c>
      <c r="G296" s="43">
        <f>'Segment forecast'!J33</f>
        <v>0</v>
      </c>
      <c r="H296" s="43">
        <f>'Segment forecast'!K33</f>
        <v>0</v>
      </c>
      <c r="I296" s="43">
        <f>'Segment forecast'!L33</f>
        <v>0</v>
      </c>
      <c r="J296" s="43">
        <f>'Segment forecast'!M33</f>
        <v>0</v>
      </c>
      <c r="K296" s="43">
        <f>'Segment forecast'!N33</f>
        <v>0</v>
      </c>
      <c r="L296" s="43">
        <f>'Segment forecast'!O33</f>
        <v>0</v>
      </c>
      <c r="M296" s="43">
        <f>'Segment forecast'!P33</f>
        <v>0</v>
      </c>
      <c r="N296" s="43">
        <f>'Segment forecast'!Q33</f>
        <v>0</v>
      </c>
      <c r="O296" s="43">
        <f>'Segment forecast'!R33</f>
        <v>0</v>
      </c>
    </row>
    <row r="298" spans="2:15" ht="21">
      <c r="G298" s="164" t="s">
        <v>282</v>
      </c>
    </row>
    <row r="299" spans="2:15">
      <c r="B299" s="269" t="s">
        <v>184</v>
      </c>
      <c r="C299" s="270"/>
      <c r="D299" s="195">
        <v>2016</v>
      </c>
      <c r="E299" s="166">
        <v>2017</v>
      </c>
      <c r="F299" s="166">
        <v>2018</v>
      </c>
      <c r="G299" s="166">
        <v>2019</v>
      </c>
      <c r="H299" s="166">
        <v>2020</v>
      </c>
      <c r="I299" s="166">
        <v>2021</v>
      </c>
      <c r="J299" s="166">
        <v>2022</v>
      </c>
      <c r="K299" s="166">
        <v>2023</v>
      </c>
      <c r="L299" s="166">
        <v>2024</v>
      </c>
      <c r="M299" s="166">
        <v>2025</v>
      </c>
      <c r="N299" s="166">
        <v>2026</v>
      </c>
      <c r="O299" s="166">
        <v>2027</v>
      </c>
    </row>
    <row r="300" spans="2:15">
      <c r="B300" s="195" t="str">
        <f>B293</f>
        <v>HPC &amp; AI Clusters</v>
      </c>
      <c r="C300" s="166"/>
      <c r="D300" s="288">
        <f>'Segment forecast'!G50</f>
        <v>0</v>
      </c>
      <c r="E300" s="186">
        <f>'Segment forecast'!H50</f>
        <v>0</v>
      </c>
      <c r="F300" s="186">
        <f>'Segment forecast'!I50</f>
        <v>0</v>
      </c>
      <c r="G300" s="186">
        <f>'Segment forecast'!J50</f>
        <v>0</v>
      </c>
      <c r="H300" s="186">
        <f>'Segment forecast'!K50</f>
        <v>0</v>
      </c>
      <c r="I300" s="186">
        <f>'Segment forecast'!L50</f>
        <v>0</v>
      </c>
      <c r="J300" s="186">
        <f>'Segment forecast'!M50</f>
        <v>0</v>
      </c>
      <c r="K300" s="186">
        <f>'Segment forecast'!N50</f>
        <v>0</v>
      </c>
      <c r="L300" s="186">
        <f>'Segment forecast'!O50</f>
        <v>0</v>
      </c>
      <c r="M300" s="186">
        <f>'Segment forecast'!P50</f>
        <v>0</v>
      </c>
      <c r="N300" s="186">
        <f>'Segment forecast'!Q50</f>
        <v>0</v>
      </c>
      <c r="O300" s="186">
        <f>'Segment forecast'!R50</f>
        <v>0</v>
      </c>
    </row>
    <row r="301" spans="2:15">
      <c r="B301" s="118" t="str">
        <f>B294</f>
        <v>Core Routing</v>
      </c>
      <c r="D301" s="289">
        <f>'Segment forecast'!G51</f>
        <v>0</v>
      </c>
      <c r="E301" s="42">
        <f>'Segment forecast'!H51</f>
        <v>0</v>
      </c>
      <c r="F301" s="42">
        <f>'Segment forecast'!I51</f>
        <v>0</v>
      </c>
      <c r="G301" s="42">
        <f>'Segment forecast'!J51</f>
        <v>0</v>
      </c>
      <c r="H301" s="42">
        <f>'Segment forecast'!K51</f>
        <v>0</v>
      </c>
      <c r="I301" s="42">
        <f>'Segment forecast'!L51</f>
        <v>0</v>
      </c>
      <c r="J301" s="42">
        <f>'Segment forecast'!M51</f>
        <v>0</v>
      </c>
      <c r="K301" s="42">
        <f>'Segment forecast'!N51</f>
        <v>0</v>
      </c>
      <c r="L301" s="42">
        <f>'Segment forecast'!O51</f>
        <v>0</v>
      </c>
      <c r="M301" s="42">
        <f>'Segment forecast'!P51</f>
        <v>0</v>
      </c>
      <c r="N301" s="42">
        <f>'Segment forecast'!Q51</f>
        <v>0</v>
      </c>
      <c r="O301" s="42">
        <f>'Segment forecast'!R51</f>
        <v>0</v>
      </c>
    </row>
    <row r="302" spans="2:15">
      <c r="B302" s="118" t="str">
        <f>B295</f>
        <v>DC Compute Nodes (except 1x10/1x25G)</v>
      </c>
      <c r="D302" s="289">
        <f>'Segment forecast'!G52</f>
        <v>0</v>
      </c>
      <c r="E302" s="42">
        <f>'Segment forecast'!H52</f>
        <v>0</v>
      </c>
      <c r="F302" s="42">
        <f>'Segment forecast'!I52</f>
        <v>0</v>
      </c>
      <c r="G302" s="42">
        <f>'Segment forecast'!J52</f>
        <v>0</v>
      </c>
      <c r="H302" s="42">
        <f>'Segment forecast'!K52</f>
        <v>0</v>
      </c>
      <c r="I302" s="42">
        <f>'Segment forecast'!L52</f>
        <v>0</v>
      </c>
      <c r="J302" s="42">
        <f>'Segment forecast'!M52</f>
        <v>0</v>
      </c>
      <c r="K302" s="42">
        <f>'Segment forecast'!N52</f>
        <v>0</v>
      </c>
      <c r="L302" s="42">
        <f>'Segment forecast'!O52</f>
        <v>0</v>
      </c>
      <c r="M302" s="42">
        <f>'Segment forecast'!P52</f>
        <v>0</v>
      </c>
      <c r="N302" s="42">
        <f>'Segment forecast'!Q52</f>
        <v>0</v>
      </c>
      <c r="O302" s="42">
        <f>'Segment forecast'!R52</f>
        <v>0</v>
      </c>
    </row>
    <row r="303" spans="2:15">
      <c r="B303" s="193" t="str">
        <f>B296</f>
        <v>Other</v>
      </c>
      <c r="C303" s="69"/>
      <c r="D303" s="290">
        <f>'Segment forecast'!G53</f>
        <v>0</v>
      </c>
      <c r="E303" s="43">
        <f>'Segment forecast'!H53</f>
        <v>0</v>
      </c>
      <c r="F303" s="43">
        <f>'Segment forecast'!I53</f>
        <v>0</v>
      </c>
      <c r="G303" s="43">
        <f>'Segment forecast'!J53</f>
        <v>0</v>
      </c>
      <c r="H303" s="43">
        <f>'Segment forecast'!K53</f>
        <v>0</v>
      </c>
      <c r="I303" s="43">
        <f>'Segment forecast'!L53</f>
        <v>0</v>
      </c>
      <c r="J303" s="43">
        <f>'Segment forecast'!M53</f>
        <v>0</v>
      </c>
      <c r="K303" s="43">
        <f>'Segment forecast'!N53</f>
        <v>0</v>
      </c>
      <c r="L303" s="43">
        <f>'Segment forecast'!O53</f>
        <v>0</v>
      </c>
      <c r="M303" s="43">
        <f>'Segment forecast'!P53</f>
        <v>0</v>
      </c>
      <c r="N303" s="43">
        <f>'Segment forecast'!Q53</f>
        <v>0</v>
      </c>
      <c r="O303" s="43">
        <f>'Segment forecast'!R53</f>
        <v>0</v>
      </c>
    </row>
    <row r="305" spans="2:15" ht="21">
      <c r="G305" s="164" t="s">
        <v>237</v>
      </c>
    </row>
    <row r="306" spans="2:15">
      <c r="B306" s="269" t="s">
        <v>229</v>
      </c>
      <c r="C306" s="270"/>
      <c r="D306" s="195">
        <v>2016</v>
      </c>
      <c r="E306" s="166">
        <v>2017</v>
      </c>
      <c r="F306" s="166">
        <v>2018</v>
      </c>
      <c r="G306" s="166">
        <v>2019</v>
      </c>
      <c r="H306" s="166">
        <v>2020</v>
      </c>
      <c r="I306" s="166">
        <v>2021</v>
      </c>
      <c r="J306" s="166">
        <v>2022</v>
      </c>
      <c r="K306" s="166">
        <v>2023</v>
      </c>
      <c r="L306" s="166">
        <v>2024</v>
      </c>
      <c r="M306" s="166">
        <v>2025</v>
      </c>
      <c r="N306" s="166">
        <v>2026</v>
      </c>
      <c r="O306" s="166">
        <v>2027</v>
      </c>
    </row>
    <row r="307" spans="2:15">
      <c r="B307" s="195" t="str">
        <f>B300</f>
        <v>HPC &amp; AI Clusters</v>
      </c>
      <c r="C307" s="166"/>
      <c r="D307" s="288">
        <f>'Segment forecast'!G70</f>
        <v>1519759.933796755</v>
      </c>
      <c r="E307" s="186">
        <f>'Segment forecast'!H70</f>
        <v>1582667.3913198547</v>
      </c>
      <c r="F307" s="186">
        <f>'Segment forecast'!I70</f>
        <v>0</v>
      </c>
      <c r="G307" s="186">
        <f>'Segment forecast'!J70</f>
        <v>0</v>
      </c>
      <c r="H307" s="186">
        <f>'Segment forecast'!K70</f>
        <v>0</v>
      </c>
      <c r="I307" s="186">
        <f>'Segment forecast'!L70</f>
        <v>0</v>
      </c>
      <c r="J307" s="186">
        <f>'Segment forecast'!M70</f>
        <v>0</v>
      </c>
      <c r="K307" s="186">
        <f>'Segment forecast'!N70</f>
        <v>0</v>
      </c>
      <c r="L307" s="186">
        <f>'Segment forecast'!O70</f>
        <v>0</v>
      </c>
      <c r="M307" s="186">
        <f>'Segment forecast'!P70</f>
        <v>0</v>
      </c>
      <c r="N307" s="186">
        <f>'Segment forecast'!Q70</f>
        <v>0</v>
      </c>
      <c r="O307" s="186">
        <f>'Segment forecast'!R70</f>
        <v>0</v>
      </c>
    </row>
    <row r="308" spans="2:15">
      <c r="B308" s="118" t="str">
        <f>B301</f>
        <v>Core Routing</v>
      </c>
      <c r="D308" s="289">
        <f>'Segment forecast'!G71</f>
        <v>2930.6041200000009</v>
      </c>
      <c r="E308" s="42">
        <f>'Segment forecast'!H71</f>
        <v>10447.288650000002</v>
      </c>
      <c r="F308" s="42">
        <f>'Segment forecast'!I71</f>
        <v>0</v>
      </c>
      <c r="G308" s="42">
        <f>'Segment forecast'!J71</f>
        <v>0</v>
      </c>
      <c r="H308" s="42">
        <f>'Segment forecast'!K71</f>
        <v>0</v>
      </c>
      <c r="I308" s="42">
        <f>'Segment forecast'!L71</f>
        <v>0</v>
      </c>
      <c r="J308" s="42">
        <f>'Segment forecast'!M71</f>
        <v>0</v>
      </c>
      <c r="K308" s="42">
        <f>'Segment forecast'!N71</f>
        <v>0</v>
      </c>
      <c r="L308" s="42">
        <f>'Segment forecast'!O71</f>
        <v>0</v>
      </c>
      <c r="M308" s="42">
        <f>'Segment forecast'!P71</f>
        <v>0</v>
      </c>
      <c r="N308" s="42">
        <f>'Segment forecast'!Q71</f>
        <v>0</v>
      </c>
      <c r="O308" s="42">
        <f>'Segment forecast'!R71</f>
        <v>0</v>
      </c>
    </row>
    <row r="309" spans="2:15">
      <c r="B309" s="118" t="str">
        <f>B302</f>
        <v>DC Compute Nodes (except 1x10/1x25G)</v>
      </c>
      <c r="D309" s="289">
        <f>'Segment forecast'!G72</f>
        <v>5638721.0905442871</v>
      </c>
      <c r="E309" s="42">
        <f>'Segment forecast'!H72</f>
        <v>5669912.9457250005</v>
      </c>
      <c r="F309" s="42">
        <f>'Segment forecast'!I72</f>
        <v>0</v>
      </c>
      <c r="G309" s="42">
        <f>'Segment forecast'!J72</f>
        <v>0</v>
      </c>
      <c r="H309" s="42">
        <f>'Segment forecast'!K72</f>
        <v>0</v>
      </c>
      <c r="I309" s="42">
        <f>'Segment forecast'!L72</f>
        <v>0</v>
      </c>
      <c r="J309" s="42">
        <f>'Segment forecast'!M72</f>
        <v>0</v>
      </c>
      <c r="K309" s="42">
        <f>'Segment forecast'!N72</f>
        <v>0</v>
      </c>
      <c r="L309" s="42">
        <f>'Segment forecast'!O72</f>
        <v>0</v>
      </c>
      <c r="M309" s="42">
        <f>'Segment forecast'!P72</f>
        <v>0</v>
      </c>
      <c r="N309" s="42">
        <f>'Segment forecast'!Q72</f>
        <v>0</v>
      </c>
      <c r="O309" s="42">
        <f>'Segment forecast'!R72</f>
        <v>0</v>
      </c>
    </row>
    <row r="310" spans="2:15">
      <c r="B310" s="193" t="str">
        <f>B303</f>
        <v>Other</v>
      </c>
      <c r="C310" s="69"/>
      <c r="D310" s="290">
        <f>'Segment forecast'!G73</f>
        <v>489724.51287999988</v>
      </c>
      <c r="E310" s="43">
        <f>'Segment forecast'!H73</f>
        <v>625732.46445000032</v>
      </c>
      <c r="F310" s="43">
        <f>'Segment forecast'!I73</f>
        <v>0</v>
      </c>
      <c r="G310" s="43">
        <f>'Segment forecast'!J73</f>
        <v>0</v>
      </c>
      <c r="H310" s="43">
        <f>'Segment forecast'!K73</f>
        <v>0</v>
      </c>
      <c r="I310" s="43">
        <f>'Segment forecast'!L73</f>
        <v>0</v>
      </c>
      <c r="J310" s="43">
        <f>'Segment forecast'!M73</f>
        <v>0</v>
      </c>
      <c r="K310" s="43">
        <f>'Segment forecast'!N73</f>
        <v>0</v>
      </c>
      <c r="L310" s="43">
        <f>'Segment forecast'!O73</f>
        <v>0</v>
      </c>
      <c r="M310" s="43">
        <f>'Segment forecast'!P73</f>
        <v>0</v>
      </c>
      <c r="N310" s="43">
        <f>'Segment forecast'!Q73</f>
        <v>0</v>
      </c>
      <c r="O310" s="43">
        <f>'Segment forecast'!R73</f>
        <v>0</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2:W199"/>
  <sheetViews>
    <sheetView showGridLines="0" showZeros="0" zoomScale="70" zoomScaleNormal="70" zoomScalePageLayoutView="80" workbookViewId="0"/>
  </sheetViews>
  <sheetFormatPr defaultColWidth="8.77734375" defaultRowHeight="13.8"/>
  <cols>
    <col min="1" max="1" width="4.44140625" style="8" customWidth="1"/>
    <col min="2" max="2" width="15" style="8" customWidth="1"/>
    <col min="3" max="3" width="10.77734375" style="8" customWidth="1"/>
    <col min="4" max="4" width="8.77734375" style="76"/>
    <col min="5" max="5" width="11" style="8" customWidth="1"/>
    <col min="6" max="6" width="20.44140625" style="76" customWidth="1"/>
    <col min="7" max="18" width="10.77734375" style="8" customWidth="1"/>
    <col min="19" max="19" width="2.77734375" style="8" customWidth="1"/>
    <col min="20" max="20" width="32.44140625" style="8" customWidth="1"/>
    <col min="21" max="21" width="11" style="8" bestFit="1" customWidth="1"/>
    <col min="22" max="25" width="8.77734375" style="8"/>
    <col min="26" max="33" width="10.44140625" style="8" customWidth="1"/>
    <col min="34" max="16384" width="8.77734375" style="8"/>
  </cols>
  <sheetData>
    <row r="2" spans="2:23" ht="23.4">
      <c r="B2" s="3" t="str">
        <f>Introduction!B2</f>
        <v>LightCounting High-Speed Cables Forecast</v>
      </c>
      <c r="C2" s="3"/>
      <c r="H2" s="16"/>
      <c r="I2" s="17"/>
      <c r="J2" s="17"/>
      <c r="S2" s="14"/>
      <c r="V2" s="19"/>
      <c r="W2" s="19"/>
    </row>
    <row r="3" spans="2:23" ht="15.6">
      <c r="B3" s="189" t="str">
        <f>Introduction!B3</f>
        <v>December 2022 - sample template</v>
      </c>
      <c r="C3" s="189"/>
      <c r="H3" s="16"/>
      <c r="I3" s="18"/>
      <c r="J3" s="225"/>
      <c r="S3" s="14"/>
    </row>
    <row r="4" spans="2:23">
      <c r="H4" s="16"/>
      <c r="I4" s="18"/>
      <c r="J4" s="225"/>
      <c r="S4" s="14"/>
      <c r="T4" s="133"/>
    </row>
    <row r="5" spans="2:23" ht="17.399999999999999">
      <c r="B5" s="3" t="s">
        <v>208</v>
      </c>
      <c r="C5" s="3"/>
      <c r="H5" s="16"/>
      <c r="I5" s="18"/>
      <c r="J5" s="225"/>
      <c r="S5" s="14"/>
      <c r="T5" s="133"/>
    </row>
    <row r="6" spans="2:23" ht="21">
      <c r="B6" s="23" t="s">
        <v>22</v>
      </c>
      <c r="C6" s="23"/>
      <c r="E6" s="23"/>
      <c r="F6" s="358"/>
      <c r="H6" s="22" t="s">
        <v>21</v>
      </c>
      <c r="K6" s="9"/>
      <c r="S6" s="14"/>
    </row>
    <row r="7" spans="2:23">
      <c r="B7" s="87" t="s">
        <v>51</v>
      </c>
      <c r="C7" s="100" t="s">
        <v>131</v>
      </c>
      <c r="D7" s="100" t="s">
        <v>56</v>
      </c>
      <c r="E7" s="100" t="s">
        <v>52</v>
      </c>
      <c r="F7" s="196" t="s">
        <v>53</v>
      </c>
      <c r="G7" s="30">
        <v>2016</v>
      </c>
      <c r="H7" s="30">
        <v>2017</v>
      </c>
      <c r="I7" s="30">
        <v>2018</v>
      </c>
      <c r="J7" s="30">
        <v>2019</v>
      </c>
      <c r="K7" s="30">
        <v>2020</v>
      </c>
      <c r="L7" s="30">
        <v>2021</v>
      </c>
      <c r="M7" s="30">
        <v>2022</v>
      </c>
      <c r="N7" s="30">
        <v>2023</v>
      </c>
      <c r="O7" s="30">
        <v>2024</v>
      </c>
      <c r="P7" s="30">
        <v>2025</v>
      </c>
      <c r="Q7" s="30">
        <v>2026</v>
      </c>
      <c r="R7" s="30">
        <v>2027</v>
      </c>
      <c r="S7" s="14"/>
      <c r="T7" s="91" t="s">
        <v>40</v>
      </c>
    </row>
    <row r="8" spans="2:23">
      <c r="B8" s="94" t="str">
        <f>Segmentation!B14</f>
        <v>AOC</v>
      </c>
      <c r="C8" s="77" t="str">
        <f>Segmentation!C14</f>
        <v>10G</v>
      </c>
      <c r="D8" s="77" t="str">
        <f>Segmentation!D14</f>
        <v>≤10G</v>
      </c>
      <c r="E8" s="77">
        <f>Segmentation!E14</f>
        <v>1</v>
      </c>
      <c r="F8" s="96" t="str">
        <f>Segmentation!F14</f>
        <v>SFP+</v>
      </c>
      <c r="G8" s="70">
        <v>1654178</v>
      </c>
      <c r="H8" s="70">
        <v>3231705</v>
      </c>
      <c r="I8" s="70"/>
      <c r="J8" s="70"/>
      <c r="K8" s="70"/>
      <c r="L8" s="70"/>
      <c r="M8" s="70"/>
      <c r="N8" s="70"/>
      <c r="O8" s="70"/>
      <c r="P8" s="70"/>
      <c r="Q8" s="79"/>
      <c r="R8" s="79"/>
      <c r="S8" s="14"/>
      <c r="T8" s="88" t="str">
        <f>Segmentation!H14</f>
        <v>AOC 1x≤10G SFP+</v>
      </c>
    </row>
    <row r="9" spans="2:23">
      <c r="B9" s="94" t="str">
        <f>Segmentation!B15</f>
        <v>AOC</v>
      </c>
      <c r="C9" s="77" t="str">
        <f>Segmentation!C15</f>
        <v>40G</v>
      </c>
      <c r="D9" s="77" t="str">
        <f>Segmentation!D15</f>
        <v>≤10G</v>
      </c>
      <c r="E9" s="77">
        <f>Segmentation!E15</f>
        <v>4</v>
      </c>
      <c r="F9" s="96" t="str">
        <f>Segmentation!F15</f>
        <v>QSFP+</v>
      </c>
      <c r="G9" s="70">
        <v>338994</v>
      </c>
      <c r="H9" s="70">
        <v>205928</v>
      </c>
      <c r="I9" s="70"/>
      <c r="J9" s="70"/>
      <c r="K9" s="70"/>
      <c r="L9" s="70"/>
      <c r="M9" s="70"/>
      <c r="N9" s="70"/>
      <c r="O9" s="70"/>
      <c r="P9" s="70"/>
      <c r="Q9" s="70"/>
      <c r="R9" s="70"/>
      <c r="S9" s="14"/>
      <c r="T9" s="89" t="str">
        <f>Segmentation!H15</f>
        <v>AOC 4x≤10G QSFP+</v>
      </c>
    </row>
    <row r="10" spans="2:23">
      <c r="B10" s="94" t="str">
        <f>Segmentation!B16</f>
        <v>AOC</v>
      </c>
      <c r="C10" s="77" t="str">
        <f>Segmentation!C16</f>
        <v>40G</v>
      </c>
      <c r="D10" s="77" t="str">
        <f>Segmentation!D16</f>
        <v>≤10G</v>
      </c>
      <c r="E10" s="77" t="str">
        <f>Segmentation!E16</f>
        <v>4:1</v>
      </c>
      <c r="F10" s="96" t="str">
        <f>Segmentation!F16</f>
        <v>QSFP+/SFP+</v>
      </c>
      <c r="G10" s="70">
        <v>42400</v>
      </c>
      <c r="H10" s="70">
        <v>37000</v>
      </c>
      <c r="I10" s="70"/>
      <c r="J10" s="70"/>
      <c r="K10" s="70"/>
      <c r="L10" s="70"/>
      <c r="M10" s="70"/>
      <c r="N10" s="70"/>
      <c r="O10" s="70"/>
      <c r="P10" s="70"/>
      <c r="Q10" s="70"/>
      <c r="R10" s="70"/>
      <c r="S10" s="14"/>
      <c r="T10" s="89" t="str">
        <f>Segmentation!H16</f>
        <v>AOC breakout: 4x10G from 40G</v>
      </c>
    </row>
    <row r="11" spans="2:23">
      <c r="B11" s="94" t="str">
        <f>Segmentation!B17</f>
        <v>AOC</v>
      </c>
      <c r="C11" s="77" t="str">
        <f>Segmentation!C17</f>
        <v>150G</v>
      </c>
      <c r="D11" s="77" t="str">
        <f>Segmentation!D17</f>
        <v>≤12.5G</v>
      </c>
      <c r="E11" s="77">
        <f>Segmentation!E17</f>
        <v>12</v>
      </c>
      <c r="F11" s="96" t="str">
        <f>Segmentation!F17</f>
        <v>CXP</v>
      </c>
      <c r="G11" s="70">
        <v>121030.35714285713</v>
      </c>
      <c r="H11" s="70">
        <v>90232</v>
      </c>
      <c r="I11" s="70"/>
      <c r="J11" s="70"/>
      <c r="K11" s="70"/>
      <c r="L11" s="70"/>
      <c r="M11" s="70"/>
      <c r="N11" s="70"/>
      <c r="O11" s="70"/>
      <c r="P11" s="70"/>
      <c r="Q11" s="70"/>
      <c r="R11" s="70"/>
      <c r="S11" s="14"/>
      <c r="T11" s="89" t="str">
        <f>Segmentation!H17</f>
        <v>AOC 12x≤12.5G CXP</v>
      </c>
    </row>
    <row r="12" spans="2:23">
      <c r="B12" s="94" t="str">
        <f>Segmentation!B18</f>
        <v>EOM</v>
      </c>
      <c r="C12" s="77" t="str">
        <f>Segmentation!C18</f>
        <v>150G</v>
      </c>
      <c r="D12" s="77" t="str">
        <f>Segmentation!D18</f>
        <v>≤12.5G</v>
      </c>
      <c r="E12" s="77">
        <f>Segmentation!E18</f>
        <v>12</v>
      </c>
      <c r="F12" s="96" t="str">
        <f>Segmentation!F18</f>
        <v>XCVR - CXP</v>
      </c>
      <c r="G12" s="70">
        <v>25000</v>
      </c>
      <c r="H12" s="70">
        <v>16425</v>
      </c>
      <c r="I12" s="70"/>
      <c r="J12" s="70"/>
      <c r="K12" s="70"/>
      <c r="L12" s="70"/>
      <c r="M12" s="70"/>
      <c r="N12" s="70"/>
      <c r="O12" s="70"/>
      <c r="P12" s="70"/>
      <c r="Q12" s="70"/>
      <c r="R12" s="70"/>
      <c r="S12" s="14"/>
      <c r="T12" s="89" t="str">
        <f>Segmentation!H18</f>
        <v>EOM 12x≤12.5G XCVR - CXP</v>
      </c>
      <c r="U12" s="133"/>
    </row>
    <row r="13" spans="2:23">
      <c r="B13" s="94" t="str">
        <f>Segmentation!B19</f>
        <v>AOC</v>
      </c>
      <c r="C13" s="77" t="str">
        <f>Segmentation!C19</f>
        <v>56G</v>
      </c>
      <c r="D13" s="77" t="str">
        <f>Segmentation!D19</f>
        <v>12-14G</v>
      </c>
      <c r="E13" s="77">
        <f>Segmentation!E19</f>
        <v>4</v>
      </c>
      <c r="F13" s="96" t="str">
        <f>Segmentation!F19</f>
        <v>QSFP+</v>
      </c>
      <c r="G13" s="70">
        <v>160184</v>
      </c>
      <c r="H13" s="70">
        <v>137205</v>
      </c>
      <c r="I13" s="70"/>
      <c r="J13" s="70"/>
      <c r="K13" s="70"/>
      <c r="L13" s="70"/>
      <c r="M13" s="70"/>
      <c r="N13" s="70"/>
      <c r="O13" s="70"/>
      <c r="P13" s="70"/>
      <c r="Q13" s="70"/>
      <c r="R13" s="70"/>
      <c r="S13" s="14"/>
      <c r="T13" s="89" t="str">
        <f>Segmentation!H19</f>
        <v>AOC 4x12-14G QSFP+</v>
      </c>
      <c r="U13" s="133"/>
    </row>
    <row r="14" spans="2:23">
      <c r="B14" s="94" t="str">
        <f>Segmentation!B20</f>
        <v>AOC</v>
      </c>
      <c r="C14" s="77" t="str">
        <f>Segmentation!C20</f>
        <v>48G</v>
      </c>
      <c r="D14" s="77" t="str">
        <f>Segmentation!D20</f>
        <v>12G</v>
      </c>
      <c r="E14" s="77">
        <f>Segmentation!E20</f>
        <v>4</v>
      </c>
      <c r="F14" s="96" t="str">
        <f>Segmentation!F20</f>
        <v>Mini-SAS HD</v>
      </c>
      <c r="G14" s="45">
        <v>25600</v>
      </c>
      <c r="H14" s="45">
        <v>36500</v>
      </c>
      <c r="I14" s="45"/>
      <c r="J14" s="45"/>
      <c r="K14" s="45"/>
      <c r="L14" s="70"/>
      <c r="M14" s="45"/>
      <c r="N14" s="45"/>
      <c r="O14" s="45"/>
      <c r="P14" s="45"/>
      <c r="Q14" s="45"/>
      <c r="R14" s="45"/>
      <c r="S14" s="14"/>
      <c r="T14" s="89" t="str">
        <f>Segmentation!H20</f>
        <v>AOC 4x12G Mini-SAS HD</v>
      </c>
    </row>
    <row r="15" spans="2:23">
      <c r="B15" s="94" t="str">
        <f>Segmentation!B21</f>
        <v>AOC</v>
      </c>
      <c r="C15" s="77" t="str">
        <f>Segmentation!C21</f>
        <v>25G</v>
      </c>
      <c r="D15" s="77" t="str">
        <f>Segmentation!D21</f>
        <v>25-28G</v>
      </c>
      <c r="E15" s="77">
        <f>Segmentation!E21</f>
        <v>1</v>
      </c>
      <c r="F15" s="96" t="str">
        <f>Segmentation!F21</f>
        <v>SFP28</v>
      </c>
      <c r="G15" s="45">
        <v>10000</v>
      </c>
      <c r="H15" s="45">
        <v>170652</v>
      </c>
      <c r="I15" s="45"/>
      <c r="J15" s="45"/>
      <c r="K15" s="45"/>
      <c r="L15" s="70"/>
      <c r="M15" s="45"/>
      <c r="N15" s="45"/>
      <c r="O15" s="45"/>
      <c r="P15" s="45"/>
      <c r="Q15" s="45"/>
      <c r="R15" s="45"/>
      <c r="S15" s="14"/>
      <c r="T15" s="89" t="str">
        <f>Segmentation!H21</f>
        <v>AOC 1x25-28G SFP28</v>
      </c>
    </row>
    <row r="16" spans="2:23">
      <c r="B16" s="94" t="str">
        <f>Segmentation!B22</f>
        <v>AOC</v>
      </c>
      <c r="C16" s="77" t="str">
        <f>Segmentation!C22</f>
        <v>100G</v>
      </c>
      <c r="D16" s="77" t="str">
        <f>Segmentation!D22</f>
        <v>25-28G, 50G, 100G</v>
      </c>
      <c r="E16" s="77" t="str">
        <f>Segmentation!E22</f>
        <v>1, 2, or 4</v>
      </c>
      <c r="F16" s="96" t="str">
        <f>Segmentation!F22</f>
        <v>QSFP28, SFP-DD, SFP112</v>
      </c>
      <c r="G16" s="45">
        <v>140000</v>
      </c>
      <c r="H16" s="45">
        <v>196709</v>
      </c>
      <c r="I16" s="45"/>
      <c r="J16" s="45"/>
      <c r="K16" s="45"/>
      <c r="L16" s="70"/>
      <c r="M16" s="45"/>
      <c r="N16" s="45"/>
      <c r="O16" s="45"/>
      <c r="P16" s="45"/>
      <c r="Q16" s="45"/>
      <c r="R16" s="45"/>
      <c r="S16" s="14"/>
      <c r="T16" s="89" t="str">
        <f>Segmentation!H22</f>
        <v>AOC 100G</v>
      </c>
    </row>
    <row r="17" spans="2:20">
      <c r="B17" s="94" t="str">
        <f>Segmentation!B23</f>
        <v>AOC</v>
      </c>
      <c r="C17" s="77" t="str">
        <f>Segmentation!C23</f>
        <v>100G</v>
      </c>
      <c r="D17" s="77" t="str">
        <f>Segmentation!D23</f>
        <v>25-28G</v>
      </c>
      <c r="E17" s="77" t="str">
        <f>Segmentation!E23</f>
        <v>4:1</v>
      </c>
      <c r="F17" s="96" t="str">
        <f>Segmentation!F23</f>
        <v>QSFP28/SFP28</v>
      </c>
      <c r="G17" s="45"/>
      <c r="H17" s="45">
        <v>3500</v>
      </c>
      <c r="I17" s="45"/>
      <c r="J17" s="45"/>
      <c r="K17" s="45"/>
      <c r="L17" s="70"/>
      <c r="M17" s="45"/>
      <c r="N17" s="45"/>
      <c r="O17" s="45"/>
      <c r="P17" s="45"/>
      <c r="Q17" s="45"/>
      <c r="R17" s="45"/>
      <c r="S17" s="14"/>
      <c r="T17" s="89" t="str">
        <f>Segmentation!H23</f>
        <v>AOC 100G breakout</v>
      </c>
    </row>
    <row r="18" spans="2:20">
      <c r="B18" s="94" t="str">
        <f>Segmentation!B24</f>
        <v>AOC</v>
      </c>
      <c r="C18" s="77" t="str">
        <f>Segmentation!C24</f>
        <v>96G</v>
      </c>
      <c r="D18" s="77" t="str">
        <f>Segmentation!D24</f>
        <v>24G</v>
      </c>
      <c r="E18" s="77">
        <f>Segmentation!E24</f>
        <v>4</v>
      </c>
      <c r="F18" s="96" t="str">
        <f>Segmentation!F24</f>
        <v>Mini-SAS HD</v>
      </c>
      <c r="G18" s="45"/>
      <c r="H18" s="45">
        <v>0</v>
      </c>
      <c r="I18" s="45"/>
      <c r="J18" s="45"/>
      <c r="K18" s="45"/>
      <c r="L18" s="70"/>
      <c r="M18" s="45"/>
      <c r="N18" s="45"/>
      <c r="O18" s="45"/>
      <c r="P18" s="45"/>
      <c r="Q18" s="45"/>
      <c r="R18" s="45"/>
      <c r="S18" s="14"/>
      <c r="T18" s="89" t="str">
        <f>Segmentation!H24</f>
        <v>AOC 4x24G Mini-SAS HD</v>
      </c>
    </row>
    <row r="19" spans="2:20">
      <c r="B19" s="94" t="str">
        <f>Segmentation!B25</f>
        <v>AOC</v>
      </c>
      <c r="C19" s="77" t="str">
        <f>Segmentation!C25</f>
        <v>300G</v>
      </c>
      <c r="D19" s="77" t="str">
        <f>Segmentation!D25</f>
        <v>25-28G</v>
      </c>
      <c r="E19" s="77">
        <f>Segmentation!E25</f>
        <v>12</v>
      </c>
      <c r="F19" s="96" t="str">
        <f>Segmentation!F25</f>
        <v>CXP28</v>
      </c>
      <c r="G19" s="45">
        <v>0</v>
      </c>
      <c r="H19" s="45">
        <v>0</v>
      </c>
      <c r="I19" s="45"/>
      <c r="J19" s="45"/>
      <c r="K19" s="45"/>
      <c r="L19" s="70"/>
      <c r="M19" s="45"/>
      <c r="N19" s="45"/>
      <c r="O19" s="45"/>
      <c r="P19" s="45"/>
      <c r="Q19" s="45"/>
      <c r="R19" s="45"/>
      <c r="S19" s="14"/>
      <c r="T19" s="89" t="str">
        <f>Segmentation!H25</f>
        <v>AOC 12x25-28G CXP28</v>
      </c>
    </row>
    <row r="20" spans="2:20">
      <c r="B20" s="94" t="str">
        <f>Segmentation!B26</f>
        <v>EOM</v>
      </c>
      <c r="C20" s="77" t="str">
        <f>Segmentation!C26</f>
        <v>100G-600G</v>
      </c>
      <c r="D20" s="77" t="str">
        <f>Segmentation!D26</f>
        <v>25-28G</v>
      </c>
      <c r="E20" s="77" t="str">
        <f>Segmentation!E26</f>
        <v>4,8,12,16,24</v>
      </c>
      <c r="F20" s="96" t="str">
        <f>Segmentation!F26</f>
        <v>XCVR</v>
      </c>
      <c r="G20" s="45">
        <v>53000</v>
      </c>
      <c r="H20" s="45">
        <v>118091</v>
      </c>
      <c r="I20" s="45"/>
      <c r="J20" s="45"/>
      <c r="K20" s="45"/>
      <c r="L20" s="70"/>
      <c r="M20" s="45"/>
      <c r="N20" s="45"/>
      <c r="O20" s="45"/>
      <c r="P20" s="45"/>
      <c r="Q20" s="45"/>
      <c r="R20" s="45"/>
      <c r="S20" s="14"/>
      <c r="T20" s="89" t="str">
        <f>Segmentation!H26</f>
        <v>EOM 4,8,12,16,24x25-28G XCVR</v>
      </c>
    </row>
    <row r="21" spans="2:20">
      <c r="B21" s="94" t="str">
        <f>Segmentation!B27</f>
        <v>EOM</v>
      </c>
      <c r="C21" s="77" t="str">
        <f>Segmentation!C27</f>
        <v>300G</v>
      </c>
      <c r="D21" s="77" t="str">
        <f>Segmentation!D27</f>
        <v>25-28G</v>
      </c>
      <c r="E21" s="77">
        <f>Segmentation!E27</f>
        <v>12</v>
      </c>
      <c r="F21" s="96" t="str">
        <f>Segmentation!F27</f>
        <v>XCVR - CXP28</v>
      </c>
      <c r="G21" s="45">
        <v>0</v>
      </c>
      <c r="H21" s="45">
        <v>0</v>
      </c>
      <c r="I21" s="45"/>
      <c r="J21" s="45"/>
      <c r="K21" s="45"/>
      <c r="L21" s="70"/>
      <c r="M21" s="45"/>
      <c r="N21" s="45"/>
      <c r="O21" s="45"/>
      <c r="P21" s="45"/>
      <c r="Q21" s="45"/>
      <c r="R21" s="45"/>
      <c r="S21" s="14"/>
      <c r="T21" s="89" t="str">
        <f>Segmentation!H27</f>
        <v>EOM 12x25-28G XCVR - CXP28</v>
      </c>
    </row>
    <row r="22" spans="2:20">
      <c r="B22" s="94" t="str">
        <f>Segmentation!B28</f>
        <v>AOC</v>
      </c>
      <c r="C22" s="77" t="str">
        <f>Segmentation!C28</f>
        <v>50G</v>
      </c>
      <c r="D22" s="77" t="str">
        <f>Segmentation!D28</f>
        <v>50-56G</v>
      </c>
      <c r="E22" s="77">
        <f>Segmentation!E28</f>
        <v>1</v>
      </c>
      <c r="F22" s="96" t="str">
        <f>Segmentation!F28</f>
        <v>SFP56</v>
      </c>
      <c r="G22" s="45"/>
      <c r="H22" s="45"/>
      <c r="I22" s="45"/>
      <c r="J22" s="45"/>
      <c r="K22" s="45"/>
      <c r="L22" s="70"/>
      <c r="M22" s="45"/>
      <c r="N22" s="45"/>
      <c r="O22" s="45"/>
      <c r="P22" s="45"/>
      <c r="Q22" s="45"/>
      <c r="R22" s="45"/>
      <c r="S22" s="14"/>
      <c r="T22" s="89" t="str">
        <f>Segmentation!H28</f>
        <v>AOC 1x50-56G SFP56</v>
      </c>
    </row>
    <row r="23" spans="2:20">
      <c r="B23" s="94" t="str">
        <f>Segmentation!B29</f>
        <v>AOC</v>
      </c>
      <c r="C23" s="77" t="str">
        <f>Segmentation!C29</f>
        <v>200G</v>
      </c>
      <c r="D23" s="77" t="str">
        <f>Segmentation!D29</f>
        <v>50-56G</v>
      </c>
      <c r="E23" s="77">
        <f>Segmentation!E29</f>
        <v>4</v>
      </c>
      <c r="F23" s="96" t="str">
        <f>Segmentation!F29</f>
        <v>QSFP56</v>
      </c>
      <c r="G23" s="45"/>
      <c r="H23" s="45"/>
      <c r="I23" s="45"/>
      <c r="J23" s="45"/>
      <c r="K23" s="45"/>
      <c r="L23" s="70"/>
      <c r="M23" s="45"/>
      <c r="N23" s="45"/>
      <c r="O23" s="45"/>
      <c r="P23" s="45"/>
      <c r="Q23" s="45"/>
      <c r="R23" s="45"/>
      <c r="S23" s="14"/>
      <c r="T23" s="89" t="str">
        <f>Segmentation!H29</f>
        <v>AOC 4x50-56G QSFP56</v>
      </c>
    </row>
    <row r="24" spans="2:20">
      <c r="B24" s="94" t="str">
        <f>Segmentation!B30</f>
        <v>EOM</v>
      </c>
      <c r="C24" s="77" t="str">
        <f>Segmentation!C30</f>
        <v>200G - 3.2T</v>
      </c>
      <c r="D24" s="77" t="str">
        <f>Segmentation!D30</f>
        <v>50-56G, 100G</v>
      </c>
      <c r="E24" s="77" t="str">
        <f>Segmentation!E30</f>
        <v>8,12,16,24</v>
      </c>
      <c r="F24" s="96" t="str">
        <f>Segmentation!F30</f>
        <v>TBD</v>
      </c>
      <c r="G24" s="45"/>
      <c r="H24" s="45"/>
      <c r="I24" s="45"/>
      <c r="J24" s="45"/>
      <c r="K24" s="45"/>
      <c r="L24" s="70"/>
      <c r="M24" s="45"/>
      <c r="N24" s="45"/>
      <c r="O24" s="45"/>
      <c r="P24" s="45"/>
      <c r="Q24" s="45"/>
      <c r="R24" s="45"/>
      <c r="S24" s="14"/>
      <c r="T24" s="89" t="str">
        <f>Segmentation!H30</f>
        <v>EOM Next Gen</v>
      </c>
    </row>
    <row r="25" spans="2:20">
      <c r="B25" s="94" t="str">
        <f>Segmentation!B31</f>
        <v>AOC</v>
      </c>
      <c r="C25" s="77" t="str">
        <f>Segmentation!C31</f>
        <v>400G, 2x200G</v>
      </c>
      <c r="D25" s="77" t="str">
        <f>Segmentation!D31</f>
        <v>50-56G, 100G</v>
      </c>
      <c r="E25" s="77" t="str">
        <f>Segmentation!E31</f>
        <v>4 or 8</v>
      </c>
      <c r="F25" s="96" t="str">
        <f>Segmentation!F31</f>
        <v>QSFP-DD, OSFP, QSFP112</v>
      </c>
      <c r="G25" s="70"/>
      <c r="H25" s="70"/>
      <c r="I25" s="70"/>
      <c r="J25" s="70"/>
      <c r="K25" s="70"/>
      <c r="L25" s="70"/>
      <c r="M25" s="70"/>
      <c r="N25" s="70"/>
      <c r="O25" s="70"/>
      <c r="P25" s="70"/>
      <c r="Q25" s="70"/>
      <c r="R25" s="70"/>
      <c r="S25" s="14"/>
      <c r="T25" s="89" t="str">
        <f>Segmentation!H31</f>
        <v>AOC 400G</v>
      </c>
    </row>
    <row r="26" spans="2:20">
      <c r="B26" s="94" t="str">
        <f>Segmentation!B32</f>
        <v>AOC</v>
      </c>
      <c r="C26" s="77" t="str">
        <f>Segmentation!C32</f>
        <v>400G, 2x200G</v>
      </c>
      <c r="D26" s="77" t="str">
        <f>Segmentation!D32</f>
        <v>50-56G, 100G</v>
      </c>
      <c r="E26" s="77" t="str">
        <f>Segmentation!E32</f>
        <v>4:1 or 8:1</v>
      </c>
      <c r="F26" s="96" t="str">
        <f>Segmentation!F32</f>
        <v>QSFP-DD, OSFP, QSFP112</v>
      </c>
      <c r="G26" s="70"/>
      <c r="H26" s="70"/>
      <c r="I26" s="70"/>
      <c r="J26" s="70"/>
      <c r="K26" s="70"/>
      <c r="L26" s="70"/>
      <c r="M26" s="70"/>
      <c r="N26" s="70"/>
      <c r="O26" s="70"/>
      <c r="P26" s="70"/>
      <c r="Q26" s="70"/>
      <c r="R26" s="70"/>
      <c r="S26" s="14"/>
      <c r="T26" s="89" t="str">
        <f>Segmentation!H32</f>
        <v>AOC 400G breakout</v>
      </c>
    </row>
    <row r="27" spans="2:20">
      <c r="B27" s="94" t="str">
        <f>Segmentation!B33</f>
        <v>AOC</v>
      </c>
      <c r="C27" s="77" t="str">
        <f>Segmentation!C33</f>
        <v>800G</v>
      </c>
      <c r="D27" s="77" t="str">
        <f>Segmentation!D33</f>
        <v>100G</v>
      </c>
      <c r="E27" s="77" t="str">
        <f>Segmentation!E33</f>
        <v>8:1</v>
      </c>
      <c r="F27" s="96" t="str">
        <f>Segmentation!F33</f>
        <v xml:space="preserve">QSFP-DD800, OSFP </v>
      </c>
      <c r="G27" s="70"/>
      <c r="H27" s="70"/>
      <c r="I27" s="70"/>
      <c r="J27" s="70"/>
      <c r="K27" s="70"/>
      <c r="L27" s="70"/>
      <c r="M27" s="70"/>
      <c r="N27" s="70"/>
      <c r="O27" s="70"/>
      <c r="P27" s="70"/>
      <c r="Q27" s="70"/>
      <c r="R27" s="70"/>
      <c r="S27" s="14"/>
      <c r="T27" s="89" t="str">
        <f>Segmentation!H33</f>
        <v>AOC 800G</v>
      </c>
    </row>
    <row r="28" spans="2:20">
      <c r="B28" s="97" t="str">
        <f>Segmentation!B34</f>
        <v>AOC</v>
      </c>
      <c r="C28" s="78" t="str">
        <f>Segmentation!C34</f>
        <v>1.6T</v>
      </c>
      <c r="D28" s="78" t="str">
        <f>Segmentation!D34</f>
        <v>100G</v>
      </c>
      <c r="E28" s="78">
        <f>Segmentation!E34</f>
        <v>16</v>
      </c>
      <c r="F28" s="142" t="str">
        <f>Segmentation!F34</f>
        <v>OSFP-XD</v>
      </c>
      <c r="G28" s="40"/>
      <c r="H28" s="40"/>
      <c r="I28" s="40"/>
      <c r="J28" s="40"/>
      <c r="K28" s="40"/>
      <c r="L28" s="40"/>
      <c r="M28" s="40"/>
      <c r="N28" s="40"/>
      <c r="O28" s="40"/>
      <c r="P28" s="40"/>
      <c r="Q28" s="40"/>
      <c r="R28" s="40"/>
      <c r="S28" s="14"/>
      <c r="T28" s="89" t="str">
        <f>Segmentation!H34</f>
        <v>AOC 1.6T</v>
      </c>
    </row>
    <row r="29" spans="2:20">
      <c r="B29" s="94" t="str">
        <f>Segmentation!B35</f>
        <v>CPO</v>
      </c>
      <c r="C29" s="77" t="s">
        <v>117</v>
      </c>
      <c r="D29" s="77" t="str">
        <f>Segmentation!D35</f>
        <v>100G</v>
      </c>
      <c r="E29" s="77" t="str">
        <f>Segmentation!E35</f>
        <v>30m</v>
      </c>
      <c r="F29" s="96" t="s">
        <v>44</v>
      </c>
      <c r="G29" s="45"/>
      <c r="H29" s="45"/>
      <c r="I29" s="45"/>
      <c r="J29" s="45"/>
      <c r="K29" s="45"/>
      <c r="L29" s="45"/>
      <c r="M29" s="45"/>
      <c r="N29" s="45"/>
      <c r="O29" s="45"/>
      <c r="P29" s="45"/>
      <c r="Q29" s="70"/>
      <c r="R29" s="70"/>
      <c r="S29" s="18"/>
      <c r="T29" s="89" t="str">
        <f>Segmentation!H35</f>
        <v>CPO 800 Gbps 30m</v>
      </c>
    </row>
    <row r="30" spans="2:20">
      <c r="B30" s="94" t="str">
        <f>Segmentation!B36</f>
        <v>CPO</v>
      </c>
      <c r="C30" s="77" t="s">
        <v>117</v>
      </c>
      <c r="D30" s="77" t="str">
        <f>Segmentation!D36</f>
        <v>100G</v>
      </c>
      <c r="E30" s="77" t="str">
        <f>Segmentation!E36</f>
        <v>100 m</v>
      </c>
      <c r="F30" s="96" t="str">
        <f>Segmentation!F36</f>
        <v>TBD</v>
      </c>
      <c r="G30" s="45"/>
      <c r="H30" s="45"/>
      <c r="I30" s="45"/>
      <c r="J30" s="45"/>
      <c r="K30" s="45"/>
      <c r="L30" s="45"/>
      <c r="M30" s="45"/>
      <c r="N30" s="45"/>
      <c r="O30" s="45"/>
      <c r="P30" s="45"/>
      <c r="Q30" s="70"/>
      <c r="R30" s="70"/>
      <c r="S30" s="18"/>
      <c r="T30" s="89" t="str">
        <f>Segmentation!H36</f>
        <v>CPO 800 Gbps 100 m</v>
      </c>
    </row>
    <row r="31" spans="2:20">
      <c r="B31" s="94" t="str">
        <f>Segmentation!B37</f>
        <v>CPO</v>
      </c>
      <c r="C31" s="77" t="s">
        <v>117</v>
      </c>
      <c r="D31" s="77" t="str">
        <f>Segmentation!D37</f>
        <v>100G</v>
      </c>
      <c r="E31" s="77" t="str">
        <f>Segmentation!E37</f>
        <v>500 m</v>
      </c>
      <c r="F31" s="96" t="str">
        <f>Segmentation!F37</f>
        <v>TBD</v>
      </c>
      <c r="G31" s="45"/>
      <c r="H31" s="45"/>
      <c r="I31" s="45"/>
      <c r="J31" s="45"/>
      <c r="K31" s="45"/>
      <c r="L31" s="45"/>
      <c r="M31" s="45"/>
      <c r="N31" s="45"/>
      <c r="O31" s="45"/>
      <c r="P31" s="45"/>
      <c r="Q31" s="70"/>
      <c r="R31" s="70"/>
      <c r="S31" s="18"/>
      <c r="T31" s="89" t="str">
        <f>Segmentation!H37</f>
        <v>CPO 800 Gbps 500 m</v>
      </c>
    </row>
    <row r="32" spans="2:20">
      <c r="B32" s="94" t="str">
        <f>Segmentation!B38</f>
        <v>CPO</v>
      </c>
      <c r="C32" s="77" t="s">
        <v>117</v>
      </c>
      <c r="D32" s="77" t="str">
        <f>Segmentation!D38</f>
        <v>100G</v>
      </c>
      <c r="E32" s="77" t="str">
        <f>Segmentation!E38</f>
        <v>2 km</v>
      </c>
      <c r="F32" s="96" t="s">
        <v>44</v>
      </c>
      <c r="G32" s="45"/>
      <c r="H32" s="45"/>
      <c r="I32" s="45"/>
      <c r="J32" s="45"/>
      <c r="K32" s="45"/>
      <c r="L32" s="45"/>
      <c r="M32" s="45"/>
      <c r="N32" s="45"/>
      <c r="O32" s="45"/>
      <c r="P32" s="45"/>
      <c r="Q32" s="70"/>
      <c r="R32" s="70"/>
      <c r="S32" s="18"/>
      <c r="T32" s="89" t="str">
        <f>Segmentation!H38</f>
        <v>CPO 800 Gbps 2 km</v>
      </c>
    </row>
    <row r="33" spans="2:21">
      <c r="B33" s="94" t="str">
        <f>Segmentation!B39</f>
        <v>CPO</v>
      </c>
      <c r="C33" s="77" t="s">
        <v>117</v>
      </c>
      <c r="D33" s="77" t="str">
        <f>Segmentation!D39</f>
        <v>100G</v>
      </c>
      <c r="E33" s="77" t="str">
        <f>Segmentation!E39</f>
        <v>10 km</v>
      </c>
      <c r="F33" s="96" t="str">
        <f>Segmentation!F39</f>
        <v>TBD</v>
      </c>
      <c r="G33" s="45"/>
      <c r="H33" s="45"/>
      <c r="I33" s="45"/>
      <c r="J33" s="45"/>
      <c r="K33" s="45"/>
      <c r="L33" s="45"/>
      <c r="M33" s="45"/>
      <c r="N33" s="45"/>
      <c r="O33" s="45"/>
      <c r="P33" s="45"/>
      <c r="Q33" s="70"/>
      <c r="R33" s="70"/>
      <c r="S33" s="18"/>
      <c r="T33" s="89" t="str">
        <f>Segmentation!H39</f>
        <v>CPO 800 Gbps 10 km</v>
      </c>
    </row>
    <row r="34" spans="2:21">
      <c r="B34" s="94" t="str">
        <f>Segmentation!B40</f>
        <v>CPO</v>
      </c>
      <c r="C34" s="77" t="s">
        <v>224</v>
      </c>
      <c r="D34" s="77" t="str">
        <f>Segmentation!D40</f>
        <v>100G</v>
      </c>
      <c r="E34" s="77" t="str">
        <f>Segmentation!E40</f>
        <v>30m</v>
      </c>
      <c r="F34" s="96" t="str">
        <f>Segmentation!F40</f>
        <v>TBD</v>
      </c>
      <c r="G34" s="45"/>
      <c r="H34" s="45"/>
      <c r="I34" s="45"/>
      <c r="J34" s="45"/>
      <c r="K34" s="45"/>
      <c r="L34" s="45"/>
      <c r="M34" s="45"/>
      <c r="N34" s="45"/>
      <c r="O34" s="45"/>
      <c r="P34" s="45"/>
      <c r="Q34" s="70"/>
      <c r="R34" s="70"/>
      <c r="S34" s="18"/>
      <c r="T34" s="89" t="str">
        <f>Segmentation!H40</f>
        <v>CPO 1.6 Tbps 30m</v>
      </c>
    </row>
    <row r="35" spans="2:21">
      <c r="B35" s="94" t="str">
        <f>Segmentation!B41</f>
        <v>CPO</v>
      </c>
      <c r="C35" s="77" t="s">
        <v>224</v>
      </c>
      <c r="D35" s="77" t="str">
        <f>Segmentation!D41</f>
        <v>100G</v>
      </c>
      <c r="E35" s="77" t="str">
        <f>Segmentation!E41</f>
        <v>100 m</v>
      </c>
      <c r="F35" s="96" t="s">
        <v>44</v>
      </c>
      <c r="G35" s="45"/>
      <c r="H35" s="45"/>
      <c r="I35" s="45"/>
      <c r="J35" s="45"/>
      <c r="K35" s="45"/>
      <c r="L35" s="45"/>
      <c r="M35" s="45"/>
      <c r="N35" s="45"/>
      <c r="O35" s="45"/>
      <c r="P35" s="45"/>
      <c r="Q35" s="70"/>
      <c r="R35" s="70"/>
      <c r="S35" s="18"/>
      <c r="T35" s="89" t="str">
        <f>Segmentation!H41</f>
        <v>CPO 1.6 Tbps 100 m</v>
      </c>
    </row>
    <row r="36" spans="2:21">
      <c r="B36" s="94" t="str">
        <f>Segmentation!B42</f>
        <v>CPO</v>
      </c>
      <c r="C36" s="77" t="s">
        <v>224</v>
      </c>
      <c r="D36" s="77" t="str">
        <f>Segmentation!D42</f>
        <v>100G</v>
      </c>
      <c r="E36" s="77" t="str">
        <f>Segmentation!E42</f>
        <v>500 m</v>
      </c>
      <c r="F36" s="96" t="str">
        <f>Segmentation!F42</f>
        <v>TBD</v>
      </c>
      <c r="G36" s="45"/>
      <c r="H36" s="45"/>
      <c r="I36" s="45"/>
      <c r="J36" s="45"/>
      <c r="K36" s="45"/>
      <c r="L36" s="45"/>
      <c r="M36" s="45"/>
      <c r="N36" s="45"/>
      <c r="O36" s="45"/>
      <c r="P36" s="45"/>
      <c r="Q36" s="70"/>
      <c r="R36" s="70"/>
      <c r="S36" s="18"/>
      <c r="T36" s="89" t="str">
        <f>Segmentation!H42</f>
        <v>CPO 1.6 Tbps 500 m</v>
      </c>
    </row>
    <row r="37" spans="2:21">
      <c r="B37" s="94" t="str">
        <f>Segmentation!B43</f>
        <v>CPO</v>
      </c>
      <c r="C37" s="77" t="s">
        <v>224</v>
      </c>
      <c r="D37" s="77" t="str">
        <f>Segmentation!D43</f>
        <v>100G</v>
      </c>
      <c r="E37" s="77" t="str">
        <f>Segmentation!E43</f>
        <v>2 km</v>
      </c>
      <c r="F37" s="96" t="str">
        <f>Segmentation!F43</f>
        <v>TBD</v>
      </c>
      <c r="G37" s="45"/>
      <c r="H37" s="45"/>
      <c r="I37" s="45"/>
      <c r="J37" s="45"/>
      <c r="K37" s="45"/>
      <c r="L37" s="45"/>
      <c r="M37" s="45"/>
      <c r="N37" s="45"/>
      <c r="O37" s="45"/>
      <c r="P37" s="45"/>
      <c r="Q37" s="70"/>
      <c r="R37" s="70"/>
      <c r="S37" s="428"/>
      <c r="T37" s="89" t="str">
        <f>Segmentation!H43</f>
        <v>CPO 1.6 Tbps 2 km</v>
      </c>
    </row>
    <row r="38" spans="2:21">
      <c r="B38" s="97" t="str">
        <f>Segmentation!B44</f>
        <v>CPO</v>
      </c>
      <c r="C38" s="78" t="s">
        <v>224</v>
      </c>
      <c r="D38" s="78" t="str">
        <f>Segmentation!D44</f>
        <v>100G</v>
      </c>
      <c r="E38" s="78" t="str">
        <f>Segmentation!E44</f>
        <v>10 km</v>
      </c>
      <c r="F38" s="142" t="str">
        <f>Segmentation!F44</f>
        <v>TBD</v>
      </c>
      <c r="G38" s="45"/>
      <c r="H38" s="45"/>
      <c r="I38" s="45"/>
      <c r="J38" s="45"/>
      <c r="K38" s="45"/>
      <c r="L38" s="45"/>
      <c r="M38" s="45"/>
      <c r="N38" s="45"/>
      <c r="O38" s="45"/>
      <c r="P38" s="45"/>
      <c r="Q38" s="70"/>
      <c r="R38" s="70"/>
      <c r="S38" s="428"/>
      <c r="T38" s="89" t="str">
        <f>Segmentation!H44</f>
        <v>CPO 1.6 Tbps 10 km</v>
      </c>
    </row>
    <row r="39" spans="2:21">
      <c r="B39" s="224" t="str">
        <f>Segmentation!B45</f>
        <v>External laser module (Comb) -LP</v>
      </c>
      <c r="C39" s="77"/>
      <c r="D39" s="77"/>
      <c r="E39" s="77"/>
      <c r="F39" s="96"/>
      <c r="G39" s="156"/>
      <c r="H39" s="119"/>
      <c r="I39" s="119"/>
      <c r="J39" s="119"/>
      <c r="K39" s="119"/>
      <c r="L39" s="119"/>
      <c r="M39" s="119"/>
      <c r="N39" s="119"/>
      <c r="O39" s="119"/>
      <c r="P39" s="119"/>
      <c r="Q39" s="79"/>
      <c r="R39" s="79"/>
      <c r="S39" s="428"/>
      <c r="T39" s="88" t="str">
        <f>Segmentation!H45</f>
        <v xml:space="preserve">External laser module (Comb) -LP  </v>
      </c>
      <c r="U39" s="35"/>
    </row>
    <row r="40" spans="2:21">
      <c r="B40" s="224" t="str">
        <f>Segmentation!B46</f>
        <v>External laser module (Comb) - HP</v>
      </c>
      <c r="C40" s="77"/>
      <c r="D40" s="77"/>
      <c r="E40" s="77"/>
      <c r="F40" s="96"/>
      <c r="G40" s="135"/>
      <c r="H40" s="45"/>
      <c r="I40" s="45"/>
      <c r="J40" s="45"/>
      <c r="K40" s="45"/>
      <c r="L40" s="45"/>
      <c r="M40" s="45"/>
      <c r="N40" s="45"/>
      <c r="O40" s="45"/>
      <c r="P40" s="45"/>
      <c r="Q40" s="70"/>
      <c r="R40" s="70"/>
      <c r="S40" s="428"/>
      <c r="T40" s="89" t="str">
        <f>Segmentation!H46</f>
        <v xml:space="preserve">External laser module (Comb) - HP  </v>
      </c>
    </row>
    <row r="41" spans="2:21">
      <c r="B41" s="224" t="str">
        <f>Segmentation!B47</f>
        <v>External laser module (4xDR4)</v>
      </c>
      <c r="C41" s="77"/>
      <c r="D41" s="77"/>
      <c r="E41" s="77"/>
      <c r="F41" s="96"/>
      <c r="G41" s="135"/>
      <c r="H41" s="45"/>
      <c r="I41" s="45"/>
      <c r="J41" s="45"/>
      <c r="K41" s="45"/>
      <c r="L41" s="45"/>
      <c r="M41" s="45"/>
      <c r="N41" s="45"/>
      <c r="O41" s="45"/>
      <c r="P41" s="45"/>
      <c r="Q41" s="70"/>
      <c r="R41" s="70"/>
      <c r="S41" s="428"/>
      <c r="T41" s="89" t="str">
        <f>Segmentation!H47</f>
        <v xml:space="preserve">External laser module (4xDR4)  </v>
      </c>
    </row>
    <row r="42" spans="2:21">
      <c r="B42" s="219" t="str">
        <f>Segmentation!B48</f>
        <v>External laser module (4xFR4)</v>
      </c>
      <c r="C42" s="78"/>
      <c r="D42" s="78"/>
      <c r="E42" s="78"/>
      <c r="F42" s="142"/>
      <c r="G42" s="46"/>
      <c r="H42" s="27"/>
      <c r="I42" s="27"/>
      <c r="J42" s="27"/>
      <c r="K42" s="27"/>
      <c r="L42" s="27"/>
      <c r="M42" s="27"/>
      <c r="N42" s="27"/>
      <c r="O42" s="27"/>
      <c r="P42" s="27"/>
      <c r="Q42" s="40"/>
      <c r="R42" s="40"/>
      <c r="S42" s="428"/>
      <c r="T42" s="90" t="str">
        <f>Segmentation!H48</f>
        <v xml:space="preserve">External laser module (4xFR4)  </v>
      </c>
      <c r="U42" s="12"/>
    </row>
    <row r="43" spans="2:21" customFormat="1">
      <c r="B43" s="130" t="s">
        <v>232</v>
      </c>
      <c r="C43" s="127" t="s">
        <v>64</v>
      </c>
      <c r="D43" s="127" t="s">
        <v>44</v>
      </c>
      <c r="E43" s="127" t="s">
        <v>121</v>
      </c>
      <c r="F43" s="128" t="s">
        <v>233</v>
      </c>
      <c r="G43" s="45">
        <v>4845145.5</v>
      </c>
      <c r="H43" s="45">
        <v>4589910</v>
      </c>
      <c r="I43" s="45"/>
      <c r="J43" s="45"/>
      <c r="K43" s="45"/>
      <c r="L43" s="45"/>
      <c r="M43" s="45"/>
      <c r="N43" s="45"/>
      <c r="O43" s="45"/>
      <c r="P43" s="45"/>
      <c r="Q43" s="45"/>
      <c r="R43" s="45"/>
      <c r="S43" s="428"/>
      <c r="T43" s="89" t="str">
        <f t="shared" ref="T43:T56" si="0">B43&amp;" "&amp;C43&amp;" "&amp;E43&amp;" "&amp;F43</f>
        <v>DAC 10G 30m SFP</v>
      </c>
    </row>
    <row r="44" spans="2:21" customFormat="1">
      <c r="B44" s="130" t="s">
        <v>232</v>
      </c>
      <c r="C44" s="127" t="s">
        <v>70</v>
      </c>
      <c r="D44" s="127" t="s">
        <v>44</v>
      </c>
      <c r="E44" s="127" t="s">
        <v>121</v>
      </c>
      <c r="F44" s="128" t="s">
        <v>82</v>
      </c>
      <c r="G44" s="45">
        <v>568611.75000000012</v>
      </c>
      <c r="H44" s="45">
        <v>1246925.55</v>
      </c>
      <c r="I44" s="45"/>
      <c r="J44" s="45"/>
      <c r="K44" s="45"/>
      <c r="L44" s="45"/>
      <c r="M44" s="45"/>
      <c r="N44" s="45"/>
      <c r="O44" s="45"/>
      <c r="P44" s="45"/>
      <c r="Q44" s="45"/>
      <c r="R44" s="45"/>
      <c r="S44" s="18"/>
      <c r="T44" s="89" t="str">
        <f t="shared" si="0"/>
        <v>DAC 25G 30m SFP+</v>
      </c>
    </row>
    <row r="45" spans="2:21" customFormat="1">
      <c r="B45" s="130" t="s">
        <v>232</v>
      </c>
      <c r="C45" s="127" t="s">
        <v>71</v>
      </c>
      <c r="D45" s="127" t="s">
        <v>64</v>
      </c>
      <c r="E45" s="127" t="s">
        <v>121</v>
      </c>
      <c r="F45" s="128" t="s">
        <v>234</v>
      </c>
      <c r="G45" s="45">
        <v>1672205.7074885746</v>
      </c>
      <c r="H45" s="45">
        <v>1222748.8825000001</v>
      </c>
      <c r="I45" s="45"/>
      <c r="J45" s="45"/>
      <c r="K45" s="45"/>
      <c r="L45" s="45"/>
      <c r="M45" s="45"/>
      <c r="N45" s="45"/>
      <c r="O45" s="45"/>
      <c r="P45" s="45"/>
      <c r="Q45" s="45"/>
      <c r="R45" s="45"/>
      <c r="S45" s="18"/>
      <c r="T45" s="89" t="str">
        <f t="shared" si="0"/>
        <v>DAC 40G 30m QSFP</v>
      </c>
    </row>
    <row r="46" spans="2:21" customFormat="1">
      <c r="B46" s="130" t="s">
        <v>232</v>
      </c>
      <c r="C46" s="127" t="s">
        <v>128</v>
      </c>
      <c r="D46" s="127" t="s">
        <v>235</v>
      </c>
      <c r="E46" s="127" t="s">
        <v>121</v>
      </c>
      <c r="F46" s="128" t="s">
        <v>234</v>
      </c>
      <c r="G46" s="45">
        <v>402361.84385246772</v>
      </c>
      <c r="H46" s="45">
        <v>364851.71764485457</v>
      </c>
      <c r="I46" s="45"/>
      <c r="J46" s="45"/>
      <c r="K46" s="45"/>
      <c r="L46" s="45"/>
      <c r="M46" s="45"/>
      <c r="N46" s="45"/>
      <c r="O46" s="45"/>
      <c r="P46" s="45"/>
      <c r="Q46" s="45"/>
      <c r="R46" s="45"/>
      <c r="S46" s="18"/>
      <c r="T46" s="89" t="str">
        <f t="shared" si="0"/>
        <v>DAC 56G 30m QSFP</v>
      </c>
    </row>
    <row r="47" spans="2:21" customFormat="1">
      <c r="B47" s="130" t="s">
        <v>236</v>
      </c>
      <c r="C47" s="127" t="s">
        <v>74</v>
      </c>
      <c r="D47" s="127" t="s">
        <v>44</v>
      </c>
      <c r="E47" s="127" t="s">
        <v>121</v>
      </c>
      <c r="F47" s="128" t="s">
        <v>50</v>
      </c>
      <c r="G47" s="45">
        <v>16281.133999999998</v>
      </c>
      <c r="H47" s="45">
        <v>46432.393999999993</v>
      </c>
      <c r="I47" s="45"/>
      <c r="J47" s="45"/>
      <c r="K47" s="45"/>
      <c r="L47" s="45"/>
      <c r="M47" s="45"/>
      <c r="N47" s="45"/>
      <c r="O47" s="45"/>
      <c r="P47" s="45"/>
      <c r="Q47" s="45"/>
      <c r="R47" s="45"/>
      <c r="S47" s="18"/>
      <c r="T47" s="89" t="str">
        <f t="shared" si="0"/>
        <v>Active Cu 100G 30m QSFP28</v>
      </c>
    </row>
    <row r="48" spans="2:21" customFormat="1">
      <c r="B48" s="130" t="s">
        <v>232</v>
      </c>
      <c r="C48" s="127" t="s">
        <v>74</v>
      </c>
      <c r="D48" s="127" t="s">
        <v>44</v>
      </c>
      <c r="E48" s="127" t="s">
        <v>121</v>
      </c>
      <c r="F48" s="128" t="s">
        <v>50</v>
      </c>
      <c r="G48" s="45">
        <v>146530.20600000003</v>
      </c>
      <c r="H48" s="45">
        <v>417891.54600000003</v>
      </c>
      <c r="I48" s="45"/>
      <c r="J48" s="45"/>
      <c r="K48" s="45"/>
      <c r="L48" s="45"/>
      <c r="M48" s="45"/>
      <c r="N48" s="45"/>
      <c r="O48" s="45"/>
      <c r="P48" s="45"/>
      <c r="Q48" s="45"/>
      <c r="R48" s="45"/>
      <c r="S48" s="18"/>
      <c r="T48" s="89" t="str">
        <f t="shared" si="0"/>
        <v>DAC 100G 30m QSFP28</v>
      </c>
    </row>
    <row r="49" spans="1:20" customFormat="1">
      <c r="B49" s="130" t="s">
        <v>236</v>
      </c>
      <c r="C49" s="127" t="s">
        <v>75</v>
      </c>
      <c r="D49" s="127" t="s">
        <v>44</v>
      </c>
      <c r="E49" s="127" t="s">
        <v>121</v>
      </c>
      <c r="F49" s="128" t="s">
        <v>61</v>
      </c>
      <c r="G49" s="45">
        <v>0</v>
      </c>
      <c r="H49" s="45">
        <v>0</v>
      </c>
      <c r="I49" s="45"/>
      <c r="J49" s="45"/>
      <c r="K49" s="45"/>
      <c r="L49" s="45"/>
      <c r="M49" s="45"/>
      <c r="N49" s="45"/>
      <c r="O49" s="45"/>
      <c r="P49" s="45"/>
      <c r="Q49" s="45"/>
      <c r="R49" s="45"/>
      <c r="S49" s="18"/>
      <c r="T49" s="89" t="str">
        <f t="shared" si="0"/>
        <v>Active Cu 200G 30m QSFP56</v>
      </c>
    </row>
    <row r="50" spans="1:20" customFormat="1">
      <c r="B50" s="130" t="s">
        <v>232</v>
      </c>
      <c r="C50" s="127" t="s">
        <v>75</v>
      </c>
      <c r="D50" s="127" t="s">
        <v>44</v>
      </c>
      <c r="E50" s="127" t="s">
        <v>121</v>
      </c>
      <c r="F50" s="128" t="s">
        <v>61</v>
      </c>
      <c r="G50" s="45">
        <v>0</v>
      </c>
      <c r="H50" s="45">
        <v>0</v>
      </c>
      <c r="I50" s="45"/>
      <c r="J50" s="45"/>
      <c r="K50" s="45"/>
      <c r="L50" s="45"/>
      <c r="M50" s="45"/>
      <c r="N50" s="45"/>
      <c r="O50" s="45"/>
      <c r="P50" s="45"/>
      <c r="Q50" s="45"/>
      <c r="R50" s="45"/>
      <c r="S50" s="18"/>
      <c r="T50" s="89" t="str">
        <f t="shared" si="0"/>
        <v>DAC 200G 30m QSFP56</v>
      </c>
    </row>
    <row r="51" spans="1:20" customFormat="1">
      <c r="B51" s="130" t="s">
        <v>236</v>
      </c>
      <c r="C51" s="127" t="s">
        <v>112</v>
      </c>
      <c r="D51" s="127" t="s">
        <v>44</v>
      </c>
      <c r="E51" s="127" t="s">
        <v>121</v>
      </c>
      <c r="F51" s="128" t="s">
        <v>44</v>
      </c>
      <c r="G51" s="45">
        <v>0</v>
      </c>
      <c r="H51" s="45">
        <v>0</v>
      </c>
      <c r="I51" s="45"/>
      <c r="J51" s="45"/>
      <c r="K51" s="45"/>
      <c r="L51" s="45"/>
      <c r="M51" s="45"/>
      <c r="N51" s="45"/>
      <c r="O51" s="45"/>
      <c r="P51" s="45"/>
      <c r="Q51" s="45"/>
      <c r="R51" s="45"/>
      <c r="S51" s="18"/>
      <c r="T51" s="89" t="str">
        <f t="shared" si="0"/>
        <v>Active Cu 400G 30m TBD</v>
      </c>
    </row>
    <row r="52" spans="1:20" customFormat="1">
      <c r="B52" s="130" t="s">
        <v>232</v>
      </c>
      <c r="C52" s="127" t="s">
        <v>112</v>
      </c>
      <c r="D52" s="127" t="s">
        <v>44</v>
      </c>
      <c r="E52" s="127" t="s">
        <v>121</v>
      </c>
      <c r="F52" s="128" t="s">
        <v>44</v>
      </c>
      <c r="G52" s="45">
        <v>0</v>
      </c>
      <c r="H52" s="45">
        <v>0</v>
      </c>
      <c r="I52" s="45"/>
      <c r="J52" s="45"/>
      <c r="K52" s="45"/>
      <c r="L52" s="45"/>
      <c r="M52" s="45"/>
      <c r="N52" s="45"/>
      <c r="O52" s="45"/>
      <c r="P52" s="45"/>
      <c r="Q52" s="45"/>
      <c r="R52" s="45"/>
      <c r="S52" s="18"/>
      <c r="T52" s="89" t="str">
        <f t="shared" si="0"/>
        <v>DAC 400G 30m TBD</v>
      </c>
    </row>
    <row r="53" spans="1:20" customFormat="1">
      <c r="B53" s="130" t="s">
        <v>236</v>
      </c>
      <c r="C53" s="127" t="s">
        <v>117</v>
      </c>
      <c r="D53" s="127" t="s">
        <v>44</v>
      </c>
      <c r="E53" s="127" t="s">
        <v>121</v>
      </c>
      <c r="F53" s="128" t="s">
        <v>44</v>
      </c>
      <c r="G53" s="45">
        <v>0</v>
      </c>
      <c r="H53" s="45">
        <v>0</v>
      </c>
      <c r="I53" s="45"/>
      <c r="J53" s="45"/>
      <c r="K53" s="45"/>
      <c r="L53" s="45"/>
      <c r="M53" s="45"/>
      <c r="N53" s="45"/>
      <c r="O53" s="45"/>
      <c r="P53" s="45"/>
      <c r="Q53" s="45"/>
      <c r="R53" s="45"/>
      <c r="S53" s="18"/>
      <c r="T53" s="89" t="str">
        <f t="shared" si="0"/>
        <v>Active Cu 800G 30m TBD</v>
      </c>
    </row>
    <row r="54" spans="1:20" customFormat="1">
      <c r="B54" s="130" t="s">
        <v>232</v>
      </c>
      <c r="C54" s="127" t="str">
        <f>C53</f>
        <v>800G</v>
      </c>
      <c r="D54" s="127" t="s">
        <v>44</v>
      </c>
      <c r="E54" s="127" t="s">
        <v>121</v>
      </c>
      <c r="F54" s="128" t="s">
        <v>44</v>
      </c>
      <c r="G54" s="45">
        <v>0</v>
      </c>
      <c r="H54" s="45">
        <v>0</v>
      </c>
      <c r="I54" s="45"/>
      <c r="J54" s="45"/>
      <c r="K54" s="45"/>
      <c r="L54" s="45"/>
      <c r="M54" s="45"/>
      <c r="N54" s="45"/>
      <c r="O54" s="45"/>
      <c r="P54" s="45"/>
      <c r="Q54" s="45"/>
      <c r="R54" s="45"/>
      <c r="S54" s="18"/>
      <c r="T54" s="89" t="str">
        <f t="shared" si="0"/>
        <v>DAC 800G 30m TBD</v>
      </c>
    </row>
    <row r="55" spans="1:20" customFormat="1">
      <c r="B55" s="130" t="s">
        <v>236</v>
      </c>
      <c r="C55" s="127" t="s">
        <v>116</v>
      </c>
      <c r="D55" s="127" t="s">
        <v>44</v>
      </c>
      <c r="E55" s="127" t="s">
        <v>121</v>
      </c>
      <c r="F55" s="128" t="s">
        <v>44</v>
      </c>
      <c r="G55" s="45">
        <v>0</v>
      </c>
      <c r="H55" s="45">
        <v>0</v>
      </c>
      <c r="I55" s="45"/>
      <c r="J55" s="45"/>
      <c r="K55" s="45"/>
      <c r="L55" s="45"/>
      <c r="M55" s="45"/>
      <c r="N55" s="45"/>
      <c r="O55" s="45"/>
      <c r="P55" s="45"/>
      <c r="Q55" s="45"/>
      <c r="R55" s="45"/>
      <c r="S55" s="18"/>
      <c r="T55" s="89" t="str">
        <f t="shared" si="0"/>
        <v>Active Cu 1.6 Tbps 30m TBD</v>
      </c>
    </row>
    <row r="56" spans="1:20" customFormat="1">
      <c r="B56" s="130" t="s">
        <v>232</v>
      </c>
      <c r="C56" s="374" t="s">
        <v>116</v>
      </c>
      <c r="D56" s="127" t="s">
        <v>44</v>
      </c>
      <c r="E56" s="127" t="s">
        <v>121</v>
      </c>
      <c r="F56" s="128" t="s">
        <v>44</v>
      </c>
      <c r="G56" s="45">
        <v>0</v>
      </c>
      <c r="H56" s="45">
        <v>0</v>
      </c>
      <c r="I56" s="45"/>
      <c r="J56" s="45"/>
      <c r="K56" s="45"/>
      <c r="L56" s="45"/>
      <c r="M56" s="45"/>
      <c r="N56" s="45"/>
      <c r="O56" s="45"/>
      <c r="P56" s="45"/>
      <c r="Q56" s="45"/>
      <c r="R56" s="45"/>
      <c r="S56" s="18"/>
      <c r="T56" s="89" t="str">
        <f t="shared" si="0"/>
        <v>DAC 1.6 Tbps 30m TBD</v>
      </c>
    </row>
    <row r="57" spans="1:20">
      <c r="A57"/>
      <c r="B57" s="241" t="s">
        <v>13</v>
      </c>
      <c r="C57" s="100" t="s">
        <v>57</v>
      </c>
      <c r="D57" s="100" t="s">
        <v>57</v>
      </c>
      <c r="E57" s="129" t="s">
        <v>57</v>
      </c>
      <c r="F57" s="92" t="s">
        <v>57</v>
      </c>
      <c r="G57" s="136">
        <f t="shared" ref="G57:R57" si="1">SUM(G8:G56)</f>
        <v>10221522.4984839</v>
      </c>
      <c r="H57" s="136">
        <f t="shared" si="1"/>
        <v>12132707.090144856</v>
      </c>
      <c r="I57" s="136">
        <f t="shared" si="1"/>
        <v>0</v>
      </c>
      <c r="J57" s="136">
        <f t="shared" si="1"/>
        <v>0</v>
      </c>
      <c r="K57" s="136">
        <f t="shared" si="1"/>
        <v>0</v>
      </c>
      <c r="L57" s="136">
        <f t="shared" si="1"/>
        <v>0</v>
      </c>
      <c r="M57" s="136">
        <f t="shared" si="1"/>
        <v>0</v>
      </c>
      <c r="N57" s="136">
        <f t="shared" si="1"/>
        <v>0</v>
      </c>
      <c r="O57" s="136">
        <f t="shared" si="1"/>
        <v>0</v>
      </c>
      <c r="P57" s="136">
        <f t="shared" si="1"/>
        <v>0</v>
      </c>
      <c r="Q57" s="136">
        <f t="shared" si="1"/>
        <v>0</v>
      </c>
      <c r="R57" s="136">
        <f t="shared" si="1"/>
        <v>0</v>
      </c>
      <c r="S57" s="18"/>
      <c r="T57" s="89" t="s">
        <v>225</v>
      </c>
    </row>
    <row r="58" spans="1:20">
      <c r="A58"/>
      <c r="B58" s="77"/>
      <c r="C58" s="77"/>
      <c r="E58" s="77"/>
      <c r="F58" s="77"/>
      <c r="G58" s="77"/>
      <c r="H58" s="77"/>
      <c r="I58" s="77"/>
      <c r="J58" s="77"/>
      <c r="K58" s="77"/>
      <c r="L58" s="77"/>
      <c r="M58" s="77"/>
      <c r="N58" s="77"/>
      <c r="O58" s="77"/>
      <c r="P58" s="77"/>
      <c r="Q58" s="77"/>
      <c r="R58" s="77"/>
      <c r="T58" s="89" t="str">
        <f>A58&amp;" "&amp;C58&amp;" "&amp;E58&amp;" "&amp;F58</f>
        <v xml:space="preserve">   </v>
      </c>
    </row>
    <row r="59" spans="1:20">
      <c r="B59" s="87" t="str">
        <f>B7</f>
        <v>Type</v>
      </c>
      <c r="C59" s="100" t="str">
        <f>C7</f>
        <v>Agg. Speed</v>
      </c>
      <c r="D59" s="100" t="str">
        <f>D7</f>
        <v>Lane Speed</v>
      </c>
      <c r="E59" s="100" t="str">
        <f>E7</f>
        <v>Lanes</v>
      </c>
      <c r="F59" s="196" t="str">
        <f>F7</f>
        <v>Form Factor</v>
      </c>
      <c r="G59" s="80">
        <v>2016</v>
      </c>
      <c r="H59" s="35">
        <v>2017</v>
      </c>
      <c r="I59" s="35">
        <v>2018</v>
      </c>
      <c r="J59" s="35">
        <v>2019</v>
      </c>
      <c r="K59" s="35">
        <v>2020</v>
      </c>
      <c r="L59" s="35">
        <v>2021</v>
      </c>
      <c r="M59" s="35">
        <v>2022</v>
      </c>
      <c r="N59" s="35">
        <v>2023</v>
      </c>
      <c r="O59" s="35">
        <v>2024</v>
      </c>
      <c r="P59" s="35">
        <v>2025</v>
      </c>
      <c r="Q59" s="35">
        <v>2026</v>
      </c>
      <c r="R59" s="35">
        <v>2027</v>
      </c>
      <c r="T59" s="89"/>
    </row>
    <row r="60" spans="1:20">
      <c r="B60" s="93" t="s">
        <v>47</v>
      </c>
      <c r="C60" s="82" t="s">
        <v>57</v>
      </c>
      <c r="D60" s="82" t="s">
        <v>57</v>
      </c>
      <c r="E60" s="82" t="s">
        <v>62</v>
      </c>
      <c r="F60" s="95" t="s">
        <v>57</v>
      </c>
      <c r="G60" s="25">
        <f t="shared" ref="G60:R60" si="2">G8+G15+G22+G26</f>
        <v>1664178</v>
      </c>
      <c r="H60" s="25">
        <f t="shared" si="2"/>
        <v>3402357</v>
      </c>
      <c r="I60" s="25">
        <f t="shared" si="2"/>
        <v>0</v>
      </c>
      <c r="J60" s="25">
        <f t="shared" si="2"/>
        <v>0</v>
      </c>
      <c r="K60" s="25">
        <f t="shared" si="2"/>
        <v>0</v>
      </c>
      <c r="L60" s="25">
        <f t="shared" si="2"/>
        <v>0</v>
      </c>
      <c r="M60" s="25">
        <f t="shared" si="2"/>
        <v>0</v>
      </c>
      <c r="N60" s="25">
        <f t="shared" si="2"/>
        <v>0</v>
      </c>
      <c r="O60" s="25">
        <f t="shared" si="2"/>
        <v>0</v>
      </c>
      <c r="P60" s="25">
        <f t="shared" si="2"/>
        <v>0</v>
      </c>
      <c r="Q60" s="25">
        <f t="shared" si="2"/>
        <v>0</v>
      </c>
      <c r="R60" s="25">
        <f t="shared" si="2"/>
        <v>0</v>
      </c>
      <c r="T60" s="89" t="str">
        <f>B60&amp;" "&amp;E60&amp;" "&amp;F60</f>
        <v>AOC Single All</v>
      </c>
    </row>
    <row r="61" spans="1:20">
      <c r="B61" s="94" t="s">
        <v>47</v>
      </c>
      <c r="C61" s="77" t="s">
        <v>57</v>
      </c>
      <c r="D61" s="77" t="s">
        <v>57</v>
      </c>
      <c r="E61" s="77" t="s">
        <v>63</v>
      </c>
      <c r="F61" s="96" t="s">
        <v>57</v>
      </c>
      <c r="G61" s="50">
        <f t="shared" ref="G61:R61" si="3">G9+G11+G13+G14+G16+G18+G19+G23+G17+G10+G25+G27+G28</f>
        <v>828208.35714285716</v>
      </c>
      <c r="H61" s="50">
        <f t="shared" si="3"/>
        <v>707074</v>
      </c>
      <c r="I61" s="50">
        <f t="shared" si="3"/>
        <v>0</v>
      </c>
      <c r="J61" s="50">
        <f t="shared" si="3"/>
        <v>0</v>
      </c>
      <c r="K61" s="50">
        <f t="shared" si="3"/>
        <v>0</v>
      </c>
      <c r="L61" s="50">
        <f t="shared" si="3"/>
        <v>0</v>
      </c>
      <c r="M61" s="50">
        <f t="shared" si="3"/>
        <v>0</v>
      </c>
      <c r="N61" s="50">
        <f t="shared" si="3"/>
        <v>0</v>
      </c>
      <c r="O61" s="50">
        <f t="shared" si="3"/>
        <v>0</v>
      </c>
      <c r="P61" s="50">
        <f t="shared" si="3"/>
        <v>0</v>
      </c>
      <c r="Q61" s="50">
        <f t="shared" si="3"/>
        <v>0</v>
      </c>
      <c r="R61" s="50">
        <f t="shared" si="3"/>
        <v>0</v>
      </c>
      <c r="T61" s="89" t="str">
        <f>B61&amp;" "&amp;E61&amp;" "&amp;F61</f>
        <v>AOC Multi- All</v>
      </c>
    </row>
    <row r="62" spans="1:20">
      <c r="B62" s="94" t="s">
        <v>45</v>
      </c>
      <c r="C62" s="77" t="s">
        <v>57</v>
      </c>
      <c r="D62" s="77" t="s">
        <v>57</v>
      </c>
      <c r="E62" s="77" t="s">
        <v>57</v>
      </c>
      <c r="F62" s="96" t="s">
        <v>57</v>
      </c>
      <c r="G62" s="50">
        <f t="shared" ref="G62:R62" si="4">+G20+G24+G21+G12</f>
        <v>78000</v>
      </c>
      <c r="H62" s="50">
        <f t="shared" si="4"/>
        <v>134516</v>
      </c>
      <c r="I62" s="50">
        <f t="shared" si="4"/>
        <v>0</v>
      </c>
      <c r="J62" s="50">
        <f t="shared" si="4"/>
        <v>0</v>
      </c>
      <c r="K62" s="50">
        <f t="shared" si="4"/>
        <v>0</v>
      </c>
      <c r="L62" s="50">
        <f t="shared" si="4"/>
        <v>0</v>
      </c>
      <c r="M62" s="50">
        <f t="shared" si="4"/>
        <v>0</v>
      </c>
      <c r="N62" s="50">
        <f t="shared" si="4"/>
        <v>0</v>
      </c>
      <c r="O62" s="50">
        <f t="shared" si="4"/>
        <v>0</v>
      </c>
      <c r="P62" s="50">
        <f t="shared" si="4"/>
        <v>0</v>
      </c>
      <c r="Q62" s="50">
        <f t="shared" si="4"/>
        <v>0</v>
      </c>
      <c r="R62" s="50">
        <f t="shared" si="4"/>
        <v>0</v>
      </c>
      <c r="T62" s="89" t="str">
        <f>B62&amp;" "&amp;C62</f>
        <v>EOM All</v>
      </c>
    </row>
    <row r="63" spans="1:20">
      <c r="B63" s="94" t="s">
        <v>188</v>
      </c>
      <c r="C63" s="77" t="s">
        <v>57</v>
      </c>
      <c r="D63" s="77" t="s">
        <v>57</v>
      </c>
      <c r="E63" s="77" t="s">
        <v>57</v>
      </c>
      <c r="F63" s="96" t="s">
        <v>44</v>
      </c>
      <c r="G63" s="50">
        <f t="shared" ref="G63:R63" si="5">SUM(G29:G38)</f>
        <v>0</v>
      </c>
      <c r="H63" s="50">
        <f t="shared" si="5"/>
        <v>0</v>
      </c>
      <c r="I63" s="50">
        <f t="shared" si="5"/>
        <v>0</v>
      </c>
      <c r="J63" s="50">
        <f t="shared" si="5"/>
        <v>0</v>
      </c>
      <c r="K63" s="50">
        <f t="shared" si="5"/>
        <v>0</v>
      </c>
      <c r="L63" s="50">
        <f t="shared" si="5"/>
        <v>0</v>
      </c>
      <c r="M63" s="50">
        <f t="shared" si="5"/>
        <v>0</v>
      </c>
      <c r="N63" s="50">
        <f t="shared" si="5"/>
        <v>0</v>
      </c>
      <c r="O63" s="50">
        <f t="shared" si="5"/>
        <v>0</v>
      </c>
      <c r="P63" s="50">
        <f t="shared" si="5"/>
        <v>0</v>
      </c>
      <c r="Q63" s="50">
        <f t="shared" si="5"/>
        <v>0</v>
      </c>
      <c r="R63" s="50">
        <f t="shared" si="5"/>
        <v>0</v>
      </c>
      <c r="T63" s="89" t="str">
        <f>B63&amp;" "&amp;C63</f>
        <v>CPO All</v>
      </c>
    </row>
    <row r="64" spans="1:20" customFormat="1">
      <c r="B64" s="430" t="s">
        <v>280</v>
      </c>
      <c r="C64" s="8"/>
      <c r="D64" s="76"/>
      <c r="E64" s="8"/>
      <c r="F64" s="138"/>
      <c r="G64" s="13">
        <f>SUM(G39:G42)</f>
        <v>0</v>
      </c>
      <c r="H64" s="13">
        <f t="shared" ref="H64:R64" si="6">SUM(H39:H42)</f>
        <v>0</v>
      </c>
      <c r="I64" s="13">
        <f t="shared" si="6"/>
        <v>0</v>
      </c>
      <c r="J64" s="13">
        <f t="shared" si="6"/>
        <v>0</v>
      </c>
      <c r="K64" s="13">
        <f t="shared" si="6"/>
        <v>0</v>
      </c>
      <c r="L64" s="13">
        <f t="shared" si="6"/>
        <v>0</v>
      </c>
      <c r="M64" s="13">
        <f t="shared" si="6"/>
        <v>0</v>
      </c>
      <c r="N64" s="13">
        <f t="shared" si="6"/>
        <v>0</v>
      </c>
      <c r="O64" s="13">
        <f t="shared" si="6"/>
        <v>0</v>
      </c>
      <c r="P64" s="13">
        <f t="shared" si="6"/>
        <v>0</v>
      </c>
      <c r="Q64" s="13">
        <f t="shared" si="6"/>
        <v>0</v>
      </c>
      <c r="R64" s="13">
        <f t="shared" si="6"/>
        <v>0</v>
      </c>
      <c r="S64" s="8"/>
      <c r="T64" s="8"/>
    </row>
    <row r="65" spans="2:20" customFormat="1">
      <c r="B65" s="94" t="s">
        <v>94</v>
      </c>
      <c r="C65" s="77" t="s">
        <v>57</v>
      </c>
      <c r="D65" s="77" t="s">
        <v>57</v>
      </c>
      <c r="E65" s="77" t="s">
        <v>57</v>
      </c>
      <c r="F65" s="96" t="s">
        <v>57</v>
      </c>
      <c r="G65" s="362">
        <f t="shared" ref="G65:R65" si="7">SUM(G43:G56)</f>
        <v>7651136.1413410418</v>
      </c>
      <c r="H65" s="211">
        <f t="shared" si="7"/>
        <v>7888760.090144855</v>
      </c>
      <c r="I65" s="211">
        <f t="shared" si="7"/>
        <v>0</v>
      </c>
      <c r="J65" s="211">
        <f t="shared" si="7"/>
        <v>0</v>
      </c>
      <c r="K65" s="211">
        <f t="shared" si="7"/>
        <v>0</v>
      </c>
      <c r="L65" s="211">
        <f t="shared" si="7"/>
        <v>0</v>
      </c>
      <c r="M65" s="211">
        <f t="shared" si="7"/>
        <v>0</v>
      </c>
      <c r="N65" s="211">
        <f t="shared" si="7"/>
        <v>0</v>
      </c>
      <c r="O65" s="211">
        <f t="shared" si="7"/>
        <v>0</v>
      </c>
      <c r="P65" s="211">
        <f t="shared" si="7"/>
        <v>0</v>
      </c>
      <c r="Q65" s="211">
        <f t="shared" si="7"/>
        <v>0</v>
      </c>
      <c r="R65" s="211">
        <f t="shared" si="7"/>
        <v>0</v>
      </c>
      <c r="T65" s="89" t="str">
        <f>B65&amp;" "&amp;C65</f>
        <v>Copper All</v>
      </c>
    </row>
    <row r="66" spans="2:20">
      <c r="B66" s="87" t="s">
        <v>123</v>
      </c>
      <c r="C66" s="129" t="s">
        <v>57</v>
      </c>
      <c r="D66" s="129" t="s">
        <v>57</v>
      </c>
      <c r="E66" s="129" t="s">
        <v>57</v>
      </c>
      <c r="F66" s="92" t="s">
        <v>57</v>
      </c>
      <c r="G66" s="84">
        <f t="shared" ref="G66:R66" si="8">SUM(G60:G65)</f>
        <v>10221522.4984839</v>
      </c>
      <c r="H66" s="36">
        <f t="shared" si="8"/>
        <v>12132707.090144854</v>
      </c>
      <c r="I66" s="36">
        <f t="shared" si="8"/>
        <v>0</v>
      </c>
      <c r="J66" s="36">
        <f t="shared" si="8"/>
        <v>0</v>
      </c>
      <c r="K66" s="36">
        <f t="shared" si="8"/>
        <v>0</v>
      </c>
      <c r="L66" s="36">
        <f t="shared" si="8"/>
        <v>0</v>
      </c>
      <c r="M66" s="36">
        <f t="shared" si="8"/>
        <v>0</v>
      </c>
      <c r="N66" s="36">
        <f t="shared" si="8"/>
        <v>0</v>
      </c>
      <c r="O66" s="36">
        <f t="shared" si="8"/>
        <v>0</v>
      </c>
      <c r="P66" s="36">
        <f t="shared" si="8"/>
        <v>0</v>
      </c>
      <c r="Q66" s="36">
        <f t="shared" si="8"/>
        <v>0</v>
      </c>
      <c r="R66" s="36">
        <f t="shared" si="8"/>
        <v>0</v>
      </c>
      <c r="T66" s="90" t="s">
        <v>123</v>
      </c>
    </row>
    <row r="67" spans="2:20">
      <c r="G67" s="76"/>
      <c r="H67" s="76"/>
      <c r="I67" s="76"/>
      <c r="J67" s="76"/>
      <c r="K67" s="76"/>
      <c r="L67" s="76"/>
      <c r="M67" s="76"/>
      <c r="N67" s="76"/>
      <c r="O67" s="76"/>
      <c r="P67" s="76"/>
      <c r="Q67" s="76"/>
      <c r="R67" s="76"/>
    </row>
    <row r="68" spans="2:20" ht="21">
      <c r="B68" s="23" t="s">
        <v>23</v>
      </c>
      <c r="C68" s="23"/>
      <c r="E68" s="23"/>
      <c r="F68" s="358"/>
      <c r="O68" s="13"/>
      <c r="P68" s="13"/>
    </row>
    <row r="69" spans="2:20">
      <c r="B69" s="87" t="str">
        <f t="shared" ref="B69:F78" si="9">B7</f>
        <v>Type</v>
      </c>
      <c r="C69" s="100" t="str">
        <f t="shared" si="9"/>
        <v>Agg. Speed</v>
      </c>
      <c r="D69" s="100" t="str">
        <f t="shared" si="9"/>
        <v>Lane Speed</v>
      </c>
      <c r="E69" s="100" t="str">
        <f t="shared" si="9"/>
        <v>Lanes</v>
      </c>
      <c r="F69" s="196" t="str">
        <f t="shared" si="9"/>
        <v>Form Factor</v>
      </c>
      <c r="G69" s="30">
        <v>2016</v>
      </c>
      <c r="H69" s="30">
        <v>2017</v>
      </c>
      <c r="I69" s="30">
        <v>2018</v>
      </c>
      <c r="J69" s="30">
        <v>2019</v>
      </c>
      <c r="K69" s="30">
        <v>2020</v>
      </c>
      <c r="L69" s="30">
        <v>2021</v>
      </c>
      <c r="M69" s="30">
        <v>2022</v>
      </c>
      <c r="N69" s="30">
        <v>2023</v>
      </c>
      <c r="O69" s="30">
        <v>2024</v>
      </c>
      <c r="P69" s="30">
        <v>2025</v>
      </c>
      <c r="Q69" s="30">
        <v>2026</v>
      </c>
      <c r="R69" s="30">
        <v>2027</v>
      </c>
    </row>
    <row r="70" spans="2:20">
      <c r="B70" s="94" t="str">
        <f t="shared" si="9"/>
        <v>AOC</v>
      </c>
      <c r="C70" s="77" t="str">
        <f t="shared" si="9"/>
        <v>10G</v>
      </c>
      <c r="D70" s="77" t="str">
        <f t="shared" si="9"/>
        <v>≤10G</v>
      </c>
      <c r="E70" s="77">
        <f t="shared" si="9"/>
        <v>1</v>
      </c>
      <c r="F70" s="96" t="str">
        <f t="shared" si="9"/>
        <v>SFP+</v>
      </c>
      <c r="G70" s="67">
        <v>24.310908090186217</v>
      </c>
      <c r="H70" s="67">
        <v>18.729353700291334</v>
      </c>
      <c r="I70" s="67"/>
      <c r="J70" s="67"/>
      <c r="K70" s="67"/>
      <c r="L70" s="67"/>
      <c r="M70" s="67"/>
      <c r="N70" s="67"/>
      <c r="O70" s="67"/>
      <c r="P70" s="67"/>
      <c r="Q70" s="67"/>
      <c r="R70" s="67"/>
    </row>
    <row r="71" spans="2:20">
      <c r="B71" s="94" t="str">
        <f t="shared" si="9"/>
        <v>AOC</v>
      </c>
      <c r="C71" s="77" t="str">
        <f t="shared" si="9"/>
        <v>40G</v>
      </c>
      <c r="D71" s="76" t="str">
        <f t="shared" si="9"/>
        <v>≤10G</v>
      </c>
      <c r="E71" s="77">
        <f t="shared" si="9"/>
        <v>4</v>
      </c>
      <c r="F71" s="96" t="str">
        <f t="shared" si="9"/>
        <v>QSFP+</v>
      </c>
      <c r="G71" s="67">
        <v>101.84107594770762</v>
      </c>
      <c r="H71" s="67">
        <v>98.843343304455885</v>
      </c>
      <c r="I71" s="67"/>
      <c r="J71" s="67"/>
      <c r="K71" s="67"/>
      <c r="L71" s="67"/>
      <c r="M71" s="67"/>
      <c r="N71" s="67"/>
      <c r="O71" s="67"/>
      <c r="P71" s="67"/>
      <c r="Q71" s="67"/>
      <c r="R71" s="67"/>
    </row>
    <row r="72" spans="2:20">
      <c r="B72" s="94" t="str">
        <f t="shared" si="9"/>
        <v>AOC</v>
      </c>
      <c r="C72" s="77" t="str">
        <f t="shared" si="9"/>
        <v>40G</v>
      </c>
      <c r="D72" s="76" t="str">
        <f t="shared" si="9"/>
        <v>≤10G</v>
      </c>
      <c r="E72" s="77" t="str">
        <f t="shared" si="9"/>
        <v>4:1</v>
      </c>
      <c r="F72" s="96" t="str">
        <f t="shared" si="9"/>
        <v>QSFP+/SFP+</v>
      </c>
      <c r="G72" s="67">
        <v>160</v>
      </c>
      <c r="H72" s="67">
        <v>155</v>
      </c>
      <c r="I72" s="67"/>
      <c r="J72" s="67"/>
      <c r="K72" s="67"/>
      <c r="L72" s="67"/>
      <c r="M72" s="67"/>
      <c r="N72" s="67"/>
      <c r="O72" s="67"/>
      <c r="P72" s="67"/>
      <c r="Q72" s="67"/>
      <c r="R72" s="67"/>
    </row>
    <row r="73" spans="2:20">
      <c r="B73" s="94" t="str">
        <f t="shared" si="9"/>
        <v>AOC</v>
      </c>
      <c r="C73" s="77" t="str">
        <f t="shared" si="9"/>
        <v>150G</v>
      </c>
      <c r="D73" s="76" t="str">
        <f t="shared" si="9"/>
        <v>≤12.5G</v>
      </c>
      <c r="E73" s="77">
        <f t="shared" si="9"/>
        <v>12</v>
      </c>
      <c r="F73" s="96" t="str">
        <f t="shared" si="9"/>
        <v>CXP</v>
      </c>
      <c r="G73" s="67">
        <v>379.20111824867195</v>
      </c>
      <c r="H73" s="67">
        <v>317.82665794839966</v>
      </c>
      <c r="I73" s="67"/>
      <c r="J73" s="67"/>
      <c r="K73" s="67"/>
      <c r="L73" s="67"/>
      <c r="M73" s="67"/>
      <c r="N73" s="67"/>
      <c r="O73" s="67"/>
      <c r="P73" s="67"/>
      <c r="Q73" s="67"/>
      <c r="R73" s="67"/>
    </row>
    <row r="74" spans="2:20">
      <c r="B74" s="94" t="str">
        <f t="shared" si="9"/>
        <v>EOM</v>
      </c>
      <c r="C74" s="77" t="str">
        <f t="shared" si="9"/>
        <v>150G</v>
      </c>
      <c r="D74" s="76" t="str">
        <f t="shared" si="9"/>
        <v>≤12.5G</v>
      </c>
      <c r="E74" s="77">
        <f t="shared" si="9"/>
        <v>12</v>
      </c>
      <c r="F74" s="96" t="str">
        <f t="shared" si="9"/>
        <v>XCVR - CXP</v>
      </c>
      <c r="G74" s="67">
        <v>342.7488586381445</v>
      </c>
      <c r="H74" s="67">
        <v>343.56395738203958</v>
      </c>
      <c r="I74" s="67"/>
      <c r="J74" s="67"/>
      <c r="K74" s="67"/>
      <c r="L74" s="67"/>
      <c r="M74" s="67"/>
      <c r="N74" s="67"/>
      <c r="O74" s="67"/>
      <c r="P74" s="67"/>
      <c r="Q74" s="67"/>
      <c r="R74" s="67"/>
    </row>
    <row r="75" spans="2:20">
      <c r="B75" s="94" t="str">
        <f t="shared" si="9"/>
        <v>AOC</v>
      </c>
      <c r="C75" s="77" t="str">
        <f t="shared" si="9"/>
        <v>56G</v>
      </c>
      <c r="D75" s="76" t="str">
        <f t="shared" si="9"/>
        <v>12-14G</v>
      </c>
      <c r="E75" s="77">
        <f t="shared" si="9"/>
        <v>4</v>
      </c>
      <c r="F75" s="96" t="str">
        <f t="shared" si="9"/>
        <v>QSFP+</v>
      </c>
      <c r="G75" s="67">
        <v>135.19212280876991</v>
      </c>
      <c r="H75" s="67">
        <v>135.81171439039514</v>
      </c>
      <c r="I75" s="67"/>
      <c r="J75" s="67"/>
      <c r="K75" s="67"/>
      <c r="L75" s="67"/>
      <c r="M75" s="67"/>
      <c r="N75" s="67"/>
      <c r="O75" s="67"/>
      <c r="P75" s="67"/>
      <c r="Q75" s="67"/>
      <c r="R75" s="67"/>
    </row>
    <row r="76" spans="2:20">
      <c r="B76" s="94" t="str">
        <f t="shared" si="9"/>
        <v>AOC</v>
      </c>
      <c r="C76" s="77" t="str">
        <f t="shared" si="9"/>
        <v>48G</v>
      </c>
      <c r="D76" s="76" t="str">
        <f t="shared" si="9"/>
        <v>12G</v>
      </c>
      <c r="E76" s="77">
        <f t="shared" si="9"/>
        <v>4</v>
      </c>
      <c r="F76" s="96" t="str">
        <f t="shared" si="9"/>
        <v>Mini-SAS HD</v>
      </c>
      <c r="G76" s="67">
        <v>170</v>
      </c>
      <c r="H76" s="67">
        <v>133.03030303030303</v>
      </c>
      <c r="I76" s="67"/>
      <c r="J76" s="67"/>
      <c r="K76" s="67"/>
      <c r="L76" s="67"/>
      <c r="M76" s="67"/>
      <c r="N76" s="67"/>
      <c r="O76" s="67"/>
      <c r="P76" s="67"/>
      <c r="Q76" s="67"/>
      <c r="R76" s="67"/>
    </row>
    <row r="77" spans="2:20">
      <c r="B77" s="94" t="str">
        <f t="shared" si="9"/>
        <v>AOC</v>
      </c>
      <c r="C77" s="77" t="str">
        <f t="shared" si="9"/>
        <v>25G</v>
      </c>
      <c r="D77" s="76" t="str">
        <f t="shared" si="9"/>
        <v>25-28G</v>
      </c>
      <c r="E77" s="77">
        <f t="shared" si="9"/>
        <v>1</v>
      </c>
      <c r="F77" s="96" t="str">
        <f t="shared" si="9"/>
        <v>SFP28</v>
      </c>
      <c r="G77" s="67">
        <v>110</v>
      </c>
      <c r="H77" s="67">
        <v>77.02469352835007</v>
      </c>
      <c r="I77" s="67"/>
      <c r="J77" s="67"/>
      <c r="K77" s="67"/>
      <c r="L77" s="67"/>
      <c r="M77" s="67"/>
      <c r="N77" s="67"/>
      <c r="O77" s="67"/>
      <c r="P77" s="67"/>
      <c r="Q77" s="67"/>
      <c r="R77" s="67"/>
    </row>
    <row r="78" spans="2:20">
      <c r="B78" s="94" t="str">
        <f t="shared" si="9"/>
        <v>AOC</v>
      </c>
      <c r="C78" s="77" t="str">
        <f t="shared" si="9"/>
        <v>100G</v>
      </c>
      <c r="D78" s="76" t="str">
        <f t="shared" si="9"/>
        <v>25-28G, 50G, 100G</v>
      </c>
      <c r="E78" s="77" t="str">
        <f t="shared" si="9"/>
        <v>1, 2, or 4</v>
      </c>
      <c r="F78" s="96" t="str">
        <f t="shared" si="9"/>
        <v>QSFP28, SFP-DD, SFP112</v>
      </c>
      <c r="G78" s="67">
        <v>480</v>
      </c>
      <c r="H78" s="67">
        <v>272</v>
      </c>
      <c r="I78" s="67"/>
      <c r="J78" s="67"/>
      <c r="K78" s="67"/>
      <c r="L78" s="67"/>
      <c r="M78" s="67"/>
      <c r="N78" s="67"/>
      <c r="O78" s="67"/>
      <c r="P78" s="67"/>
      <c r="Q78" s="67"/>
      <c r="R78" s="67"/>
    </row>
    <row r="79" spans="2:20">
      <c r="B79" s="94" t="str">
        <f t="shared" ref="B79:F88" si="10">B17</f>
        <v>AOC</v>
      </c>
      <c r="C79" s="77" t="str">
        <f t="shared" si="10"/>
        <v>100G</v>
      </c>
      <c r="D79" s="76" t="str">
        <f t="shared" si="10"/>
        <v>25-28G</v>
      </c>
      <c r="E79" s="77" t="str">
        <f t="shared" si="10"/>
        <v>4:1</v>
      </c>
      <c r="F79" s="96" t="str">
        <f t="shared" si="10"/>
        <v>QSFP28/SFP28</v>
      </c>
      <c r="G79" s="67"/>
      <c r="H79" s="67">
        <v>350</v>
      </c>
      <c r="I79" s="67"/>
      <c r="J79" s="67"/>
      <c r="K79" s="67"/>
      <c r="L79" s="67"/>
      <c r="M79" s="67"/>
      <c r="N79" s="67"/>
      <c r="O79" s="67"/>
      <c r="P79" s="67"/>
      <c r="Q79" s="67"/>
      <c r="R79" s="67"/>
    </row>
    <row r="80" spans="2:20">
      <c r="B80" s="94" t="str">
        <f t="shared" si="10"/>
        <v>AOC</v>
      </c>
      <c r="C80" s="77" t="str">
        <f t="shared" si="10"/>
        <v>96G</v>
      </c>
      <c r="D80" s="76" t="str">
        <f t="shared" si="10"/>
        <v>24G</v>
      </c>
      <c r="E80" s="77">
        <f t="shared" si="10"/>
        <v>4</v>
      </c>
      <c r="F80" s="96" t="str">
        <f t="shared" si="10"/>
        <v>Mini-SAS HD</v>
      </c>
      <c r="G80" s="67"/>
      <c r="H80" s="67">
        <v>0</v>
      </c>
      <c r="I80" s="67"/>
      <c r="J80" s="67"/>
      <c r="K80" s="67"/>
      <c r="L80" s="67"/>
      <c r="M80" s="67"/>
      <c r="N80" s="67"/>
      <c r="O80" s="67"/>
      <c r="P80" s="67"/>
      <c r="Q80" s="67"/>
      <c r="R80" s="67"/>
    </row>
    <row r="81" spans="2:18" ht="15" customHeight="1">
      <c r="B81" s="94" t="str">
        <f t="shared" si="10"/>
        <v>AOC</v>
      </c>
      <c r="C81" s="77" t="str">
        <f t="shared" si="10"/>
        <v>300G</v>
      </c>
      <c r="D81" s="76" t="str">
        <f t="shared" si="10"/>
        <v>25-28G</v>
      </c>
      <c r="E81" s="77">
        <f t="shared" si="10"/>
        <v>12</v>
      </c>
      <c r="F81" s="96" t="str">
        <f t="shared" si="10"/>
        <v>CXP28</v>
      </c>
      <c r="G81" s="67">
        <v>0</v>
      </c>
      <c r="H81" s="67">
        <v>1665</v>
      </c>
      <c r="I81" s="67"/>
      <c r="J81" s="67"/>
      <c r="K81" s="67"/>
      <c r="L81" s="67"/>
      <c r="M81" s="67"/>
      <c r="N81" s="67"/>
      <c r="O81" s="67"/>
      <c r="P81" s="67"/>
      <c r="Q81" s="67"/>
      <c r="R81" s="67"/>
    </row>
    <row r="82" spans="2:18" ht="15" customHeight="1">
      <c r="B82" s="94" t="str">
        <f t="shared" si="10"/>
        <v>EOM</v>
      </c>
      <c r="C82" s="77" t="str">
        <f t="shared" si="10"/>
        <v>100G-600G</v>
      </c>
      <c r="D82" s="76" t="str">
        <f t="shared" si="10"/>
        <v>25-28G</v>
      </c>
      <c r="E82" s="77" t="str">
        <f t="shared" si="10"/>
        <v>4,8,12,16,24</v>
      </c>
      <c r="F82" s="96" t="str">
        <f t="shared" si="10"/>
        <v>XCVR</v>
      </c>
      <c r="G82" s="67">
        <v>458.28301165637117</v>
      </c>
      <c r="H82" s="67">
        <v>419</v>
      </c>
      <c r="I82" s="67"/>
      <c r="J82" s="67"/>
      <c r="K82" s="67"/>
      <c r="L82" s="67"/>
      <c r="M82" s="67"/>
      <c r="N82" s="67"/>
      <c r="O82" s="67"/>
      <c r="P82" s="67"/>
      <c r="Q82" s="67"/>
      <c r="R82" s="67"/>
    </row>
    <row r="83" spans="2:18" ht="15" customHeight="1">
      <c r="B83" s="94" t="str">
        <f t="shared" si="10"/>
        <v>EOM</v>
      </c>
      <c r="C83" s="77" t="str">
        <f t="shared" si="10"/>
        <v>300G</v>
      </c>
      <c r="D83" s="76" t="str">
        <f t="shared" si="10"/>
        <v>25-28G</v>
      </c>
      <c r="E83" s="77">
        <f t="shared" si="10"/>
        <v>12</v>
      </c>
      <c r="F83" s="96" t="str">
        <f t="shared" si="10"/>
        <v>XCVR - CXP28</v>
      </c>
      <c r="G83" s="67">
        <v>0</v>
      </c>
      <c r="H83" s="67">
        <v>0</v>
      </c>
      <c r="I83" s="67"/>
      <c r="J83" s="67"/>
      <c r="K83" s="67"/>
      <c r="L83" s="67"/>
      <c r="M83" s="67"/>
      <c r="N83" s="67"/>
      <c r="O83" s="67"/>
      <c r="P83" s="67"/>
      <c r="Q83" s="67"/>
      <c r="R83" s="67"/>
    </row>
    <row r="84" spans="2:18" ht="15" customHeight="1">
      <c r="B84" s="94" t="str">
        <f t="shared" si="10"/>
        <v>AOC</v>
      </c>
      <c r="C84" s="77" t="str">
        <f t="shared" si="10"/>
        <v>50G</v>
      </c>
      <c r="D84" s="76" t="str">
        <f t="shared" si="10"/>
        <v>50-56G</v>
      </c>
      <c r="E84" s="77">
        <f t="shared" si="10"/>
        <v>1</v>
      </c>
      <c r="F84" s="96" t="str">
        <f t="shared" si="10"/>
        <v>SFP56</v>
      </c>
      <c r="G84" s="67"/>
      <c r="H84" s="67"/>
      <c r="I84" s="67"/>
      <c r="J84" s="67"/>
      <c r="K84" s="67"/>
      <c r="L84" s="67"/>
      <c r="M84" s="67"/>
      <c r="N84" s="67"/>
      <c r="O84" s="67"/>
      <c r="P84" s="67"/>
      <c r="Q84" s="67"/>
      <c r="R84" s="67"/>
    </row>
    <row r="85" spans="2:18">
      <c r="B85" s="94" t="str">
        <f t="shared" si="10"/>
        <v>AOC</v>
      </c>
      <c r="C85" s="77" t="str">
        <f t="shared" si="10"/>
        <v>200G</v>
      </c>
      <c r="D85" s="76" t="str">
        <f t="shared" si="10"/>
        <v>50-56G</v>
      </c>
      <c r="E85" s="77">
        <f t="shared" si="10"/>
        <v>4</v>
      </c>
      <c r="F85" s="96" t="str">
        <f t="shared" si="10"/>
        <v>QSFP56</v>
      </c>
      <c r="G85" s="67"/>
      <c r="H85" s="67"/>
      <c r="I85" s="67"/>
      <c r="J85" s="67"/>
      <c r="K85" s="67"/>
      <c r="L85" s="67"/>
      <c r="M85" s="67"/>
      <c r="N85" s="67"/>
      <c r="O85" s="67"/>
      <c r="P85" s="67"/>
      <c r="Q85" s="67"/>
      <c r="R85" s="67"/>
    </row>
    <row r="86" spans="2:18">
      <c r="B86" s="94" t="str">
        <f t="shared" si="10"/>
        <v>EOM</v>
      </c>
      <c r="C86" s="77" t="str">
        <f t="shared" si="10"/>
        <v>200G - 3.2T</v>
      </c>
      <c r="D86" s="76" t="str">
        <f t="shared" si="10"/>
        <v>50-56G, 100G</v>
      </c>
      <c r="E86" s="77" t="str">
        <f t="shared" si="10"/>
        <v>8,12,16,24</v>
      </c>
      <c r="F86" s="96" t="str">
        <f t="shared" si="10"/>
        <v>TBD</v>
      </c>
      <c r="G86" s="67"/>
      <c r="H86" s="67"/>
      <c r="I86" s="67"/>
      <c r="J86" s="67"/>
      <c r="K86" s="67"/>
      <c r="L86" s="67"/>
      <c r="M86" s="67"/>
      <c r="N86" s="67"/>
      <c r="O86" s="67"/>
      <c r="P86" s="67"/>
      <c r="Q86" s="67"/>
      <c r="R86" s="67"/>
    </row>
    <row r="87" spans="2:18">
      <c r="B87" s="94" t="str">
        <f t="shared" si="10"/>
        <v>AOC</v>
      </c>
      <c r="C87" s="77" t="str">
        <f t="shared" si="10"/>
        <v>400G, 2x200G</v>
      </c>
      <c r="D87" s="76" t="str">
        <f t="shared" si="10"/>
        <v>50-56G, 100G</v>
      </c>
      <c r="E87" s="77" t="str">
        <f t="shared" si="10"/>
        <v>4 or 8</v>
      </c>
      <c r="F87" s="96" t="str">
        <f t="shared" si="10"/>
        <v>QSFP-DD, OSFP, QSFP112</v>
      </c>
      <c r="G87" s="67"/>
      <c r="H87" s="67"/>
      <c r="I87" s="67"/>
      <c r="J87" s="67"/>
      <c r="K87" s="67"/>
      <c r="L87" s="67"/>
      <c r="M87" s="67"/>
      <c r="N87" s="67"/>
      <c r="O87" s="67"/>
      <c r="P87" s="67"/>
      <c r="Q87" s="67"/>
      <c r="R87" s="67"/>
    </row>
    <row r="88" spans="2:18">
      <c r="B88" s="94" t="str">
        <f t="shared" si="10"/>
        <v>AOC</v>
      </c>
      <c r="C88" s="77" t="str">
        <f t="shared" si="10"/>
        <v>400G, 2x200G</v>
      </c>
      <c r="D88" s="76" t="str">
        <f t="shared" si="10"/>
        <v>50-56G, 100G</v>
      </c>
      <c r="E88" s="77" t="str">
        <f t="shared" si="10"/>
        <v>4:1 or 8:1</v>
      </c>
      <c r="F88" s="96" t="str">
        <f t="shared" si="10"/>
        <v>QSFP-DD, OSFP, QSFP112</v>
      </c>
      <c r="G88" s="67"/>
      <c r="H88" s="67"/>
      <c r="I88" s="67"/>
      <c r="J88" s="67"/>
      <c r="K88" s="67"/>
      <c r="L88" s="67"/>
      <c r="M88" s="67"/>
      <c r="N88" s="67"/>
      <c r="O88" s="67"/>
      <c r="P88" s="67"/>
      <c r="Q88" s="67"/>
      <c r="R88" s="67"/>
    </row>
    <row r="89" spans="2:18">
      <c r="B89" s="94" t="str">
        <f t="shared" ref="B89:F98" si="11">B27</f>
        <v>AOC</v>
      </c>
      <c r="C89" s="77" t="str">
        <f t="shared" si="11"/>
        <v>800G</v>
      </c>
      <c r="D89" s="77" t="str">
        <f t="shared" si="11"/>
        <v>100G</v>
      </c>
      <c r="E89" s="77" t="str">
        <f t="shared" si="11"/>
        <v>8:1</v>
      </c>
      <c r="F89" s="96" t="str">
        <f t="shared" si="11"/>
        <v xml:space="preserve">QSFP-DD800, OSFP </v>
      </c>
      <c r="G89" s="67"/>
      <c r="H89" s="67"/>
      <c r="I89" s="67"/>
      <c r="J89" s="67"/>
      <c r="K89" s="67"/>
      <c r="L89" s="67"/>
      <c r="M89" s="67"/>
      <c r="N89" s="67"/>
      <c r="O89" s="67"/>
      <c r="P89" s="67"/>
      <c r="Q89" s="67"/>
      <c r="R89" s="67"/>
    </row>
    <row r="90" spans="2:18">
      <c r="B90" s="97" t="str">
        <f t="shared" si="11"/>
        <v>AOC</v>
      </c>
      <c r="C90" s="78" t="str">
        <f t="shared" si="11"/>
        <v>1.6T</v>
      </c>
      <c r="D90" s="78" t="str">
        <f t="shared" si="11"/>
        <v>100G</v>
      </c>
      <c r="E90" s="78">
        <f t="shared" si="11"/>
        <v>16</v>
      </c>
      <c r="F90" s="142" t="str">
        <f t="shared" si="11"/>
        <v>OSFP-XD</v>
      </c>
      <c r="G90" s="68"/>
      <c r="H90" s="68"/>
      <c r="I90" s="68"/>
      <c r="J90" s="68"/>
      <c r="K90" s="68"/>
      <c r="L90" s="68"/>
      <c r="M90" s="68"/>
      <c r="N90" s="68"/>
      <c r="O90" s="68"/>
      <c r="P90" s="68"/>
      <c r="Q90" s="68"/>
      <c r="R90" s="68"/>
    </row>
    <row r="91" spans="2:18">
      <c r="B91" s="94" t="str">
        <f t="shared" si="11"/>
        <v>CPO</v>
      </c>
      <c r="C91" s="77" t="str">
        <f t="shared" si="11"/>
        <v>800G</v>
      </c>
      <c r="D91" s="77" t="str">
        <f t="shared" si="11"/>
        <v>100G</v>
      </c>
      <c r="E91" s="77" t="str">
        <f t="shared" si="11"/>
        <v>30m</v>
      </c>
      <c r="F91" s="96" t="str">
        <f t="shared" si="11"/>
        <v>TBD</v>
      </c>
      <c r="G91" s="179"/>
      <c r="H91" s="67"/>
      <c r="I91" s="67"/>
      <c r="J91" s="67"/>
      <c r="K91" s="67"/>
      <c r="L91" s="67"/>
      <c r="M91" s="67"/>
      <c r="N91" s="67"/>
      <c r="O91" s="67"/>
      <c r="P91" s="67"/>
      <c r="Q91" s="67"/>
      <c r="R91" s="67"/>
    </row>
    <row r="92" spans="2:18">
      <c r="B92" s="94" t="str">
        <f t="shared" si="11"/>
        <v>CPO</v>
      </c>
      <c r="C92" s="77" t="str">
        <f t="shared" si="11"/>
        <v>800G</v>
      </c>
      <c r="D92" s="77" t="str">
        <f t="shared" si="11"/>
        <v>100G</v>
      </c>
      <c r="E92" s="77" t="str">
        <f t="shared" si="11"/>
        <v>100 m</v>
      </c>
      <c r="F92" s="96" t="str">
        <f t="shared" si="11"/>
        <v>TBD</v>
      </c>
      <c r="G92" s="179"/>
      <c r="H92" s="67"/>
      <c r="I92" s="67"/>
      <c r="J92" s="67"/>
      <c r="K92" s="67"/>
      <c r="L92" s="67"/>
      <c r="M92" s="67"/>
      <c r="N92" s="67"/>
      <c r="O92" s="67"/>
      <c r="P92" s="67"/>
      <c r="Q92" s="67"/>
      <c r="R92" s="67"/>
    </row>
    <row r="93" spans="2:18">
      <c r="B93" s="94" t="str">
        <f t="shared" si="11"/>
        <v>CPO</v>
      </c>
      <c r="C93" s="77" t="str">
        <f t="shared" si="11"/>
        <v>800G</v>
      </c>
      <c r="D93" s="77" t="str">
        <f t="shared" si="11"/>
        <v>100G</v>
      </c>
      <c r="E93" s="77" t="str">
        <f t="shared" si="11"/>
        <v>500 m</v>
      </c>
      <c r="F93" s="96" t="str">
        <f t="shared" si="11"/>
        <v>TBD</v>
      </c>
      <c r="G93" s="179"/>
      <c r="H93" s="67"/>
      <c r="I93" s="67"/>
      <c r="J93" s="67"/>
      <c r="K93" s="67"/>
      <c r="L93" s="67"/>
      <c r="M93" s="67"/>
      <c r="N93" s="67"/>
      <c r="O93" s="67"/>
      <c r="P93" s="67"/>
      <c r="Q93" s="67"/>
      <c r="R93" s="67"/>
    </row>
    <row r="94" spans="2:18">
      <c r="B94" s="94" t="str">
        <f t="shared" si="11"/>
        <v>CPO</v>
      </c>
      <c r="C94" s="77" t="str">
        <f t="shared" si="11"/>
        <v>800G</v>
      </c>
      <c r="D94" s="77" t="str">
        <f t="shared" si="11"/>
        <v>100G</v>
      </c>
      <c r="E94" s="77" t="str">
        <f t="shared" si="11"/>
        <v>2 km</v>
      </c>
      <c r="F94" s="96" t="str">
        <f t="shared" si="11"/>
        <v>TBD</v>
      </c>
      <c r="G94" s="179"/>
      <c r="H94" s="67"/>
      <c r="I94" s="67"/>
      <c r="J94" s="67"/>
      <c r="K94" s="67"/>
      <c r="L94" s="67"/>
      <c r="M94" s="67"/>
      <c r="N94" s="67"/>
      <c r="O94" s="67"/>
      <c r="P94" s="67"/>
      <c r="Q94" s="67"/>
      <c r="R94" s="67"/>
    </row>
    <row r="95" spans="2:18">
      <c r="B95" s="94" t="str">
        <f t="shared" si="11"/>
        <v>CPO</v>
      </c>
      <c r="C95" s="77" t="str">
        <f t="shared" si="11"/>
        <v>800G</v>
      </c>
      <c r="D95" s="77" t="str">
        <f t="shared" si="11"/>
        <v>100G</v>
      </c>
      <c r="E95" s="77" t="str">
        <f t="shared" si="11"/>
        <v>10 km</v>
      </c>
      <c r="F95" s="96" t="str">
        <f t="shared" si="11"/>
        <v>TBD</v>
      </c>
      <c r="G95" s="179"/>
      <c r="H95" s="67"/>
      <c r="I95" s="67"/>
      <c r="J95" s="67"/>
      <c r="K95" s="67"/>
      <c r="L95" s="67"/>
      <c r="M95" s="67"/>
      <c r="N95" s="67"/>
      <c r="O95" s="67"/>
      <c r="P95" s="67"/>
      <c r="Q95" s="67"/>
      <c r="R95" s="67"/>
    </row>
    <row r="96" spans="2:18">
      <c r="B96" s="94" t="str">
        <f t="shared" si="11"/>
        <v>CPO</v>
      </c>
      <c r="C96" s="77" t="str">
        <f t="shared" si="11"/>
        <v>1.6T</v>
      </c>
      <c r="D96" s="77" t="str">
        <f t="shared" si="11"/>
        <v>100G</v>
      </c>
      <c r="E96" s="77" t="str">
        <f t="shared" si="11"/>
        <v>30m</v>
      </c>
      <c r="F96" s="96" t="str">
        <f t="shared" si="11"/>
        <v>TBD</v>
      </c>
      <c r="G96" s="179"/>
      <c r="H96" s="67"/>
      <c r="I96" s="67"/>
      <c r="J96" s="67"/>
      <c r="K96" s="67"/>
      <c r="L96" s="67"/>
      <c r="M96" s="67"/>
      <c r="N96" s="67"/>
      <c r="O96" s="67"/>
      <c r="P96" s="67"/>
      <c r="Q96" s="67"/>
      <c r="R96" s="67"/>
    </row>
    <row r="97" spans="1:20">
      <c r="B97" s="94" t="str">
        <f t="shared" si="11"/>
        <v>CPO</v>
      </c>
      <c r="C97" s="77" t="str">
        <f t="shared" si="11"/>
        <v>1.6T</v>
      </c>
      <c r="D97" s="77" t="str">
        <f t="shared" si="11"/>
        <v>100G</v>
      </c>
      <c r="E97" s="77" t="str">
        <f t="shared" si="11"/>
        <v>100 m</v>
      </c>
      <c r="F97" s="96" t="str">
        <f t="shared" si="11"/>
        <v>TBD</v>
      </c>
      <c r="G97" s="179"/>
      <c r="H97" s="67"/>
      <c r="I97" s="67"/>
      <c r="J97" s="67"/>
      <c r="K97" s="67"/>
      <c r="L97" s="67"/>
      <c r="M97" s="67"/>
      <c r="N97" s="67"/>
      <c r="O97" s="67"/>
      <c r="P97" s="67"/>
      <c r="Q97" s="67"/>
      <c r="R97" s="67"/>
    </row>
    <row r="98" spans="1:20">
      <c r="B98" s="94" t="str">
        <f t="shared" si="11"/>
        <v>CPO</v>
      </c>
      <c r="C98" s="77" t="str">
        <f t="shared" si="11"/>
        <v>1.6T</v>
      </c>
      <c r="D98" s="77" t="str">
        <f t="shared" si="11"/>
        <v>100G</v>
      </c>
      <c r="E98" s="77" t="str">
        <f t="shared" si="11"/>
        <v>500 m</v>
      </c>
      <c r="F98" s="96" t="str">
        <f t="shared" si="11"/>
        <v>TBD</v>
      </c>
      <c r="G98" s="179"/>
      <c r="H98" s="67"/>
      <c r="I98" s="67"/>
      <c r="J98" s="67"/>
      <c r="K98" s="67"/>
      <c r="L98" s="67"/>
      <c r="M98" s="67"/>
      <c r="N98" s="67"/>
      <c r="O98" s="67"/>
      <c r="P98" s="67"/>
      <c r="Q98" s="67"/>
      <c r="R98" s="67"/>
    </row>
    <row r="99" spans="1:20">
      <c r="B99" s="94" t="str">
        <f t="shared" ref="B99:F100" si="12">B37</f>
        <v>CPO</v>
      </c>
      <c r="C99" s="77" t="str">
        <f t="shared" si="12"/>
        <v>1.6T</v>
      </c>
      <c r="D99" s="77" t="str">
        <f t="shared" si="12"/>
        <v>100G</v>
      </c>
      <c r="E99" s="77" t="str">
        <f t="shared" si="12"/>
        <v>2 km</v>
      </c>
      <c r="F99" s="96" t="str">
        <f t="shared" si="12"/>
        <v>TBD</v>
      </c>
      <c r="G99" s="179"/>
      <c r="H99" s="67"/>
      <c r="I99" s="67"/>
      <c r="J99" s="67"/>
      <c r="K99" s="67"/>
      <c r="L99" s="67"/>
      <c r="M99" s="67"/>
      <c r="N99" s="67"/>
      <c r="O99" s="67"/>
      <c r="P99" s="67"/>
      <c r="Q99" s="67"/>
      <c r="R99" s="67"/>
    </row>
    <row r="100" spans="1:20">
      <c r="B100" s="97" t="str">
        <f t="shared" si="12"/>
        <v>CPO</v>
      </c>
      <c r="C100" s="78" t="str">
        <f t="shared" si="12"/>
        <v>1.6T</v>
      </c>
      <c r="D100" s="78" t="str">
        <f t="shared" si="12"/>
        <v>100G</v>
      </c>
      <c r="E100" s="78" t="str">
        <f t="shared" si="12"/>
        <v>10 km</v>
      </c>
      <c r="F100" s="142" t="str">
        <f t="shared" si="12"/>
        <v>TBD</v>
      </c>
      <c r="G100" s="387"/>
      <c r="H100" s="68"/>
      <c r="I100" s="68"/>
      <c r="J100" s="68"/>
      <c r="K100" s="68"/>
      <c r="L100" s="68"/>
      <c r="M100" s="68"/>
      <c r="N100" s="68"/>
      <c r="O100" s="68"/>
      <c r="P100" s="68"/>
      <c r="Q100" s="68"/>
      <c r="R100" s="68"/>
    </row>
    <row r="101" spans="1:20">
      <c r="B101" s="218" t="str">
        <f t="shared" ref="B101" si="13">B39</f>
        <v>External laser module (Comb) -LP</v>
      </c>
      <c r="C101" s="82"/>
      <c r="D101" s="82"/>
      <c r="E101" s="82"/>
      <c r="F101" s="95"/>
      <c r="G101" s="431"/>
      <c r="H101" s="120"/>
      <c r="I101" s="120"/>
      <c r="J101" s="120"/>
      <c r="K101" s="120"/>
      <c r="L101" s="120"/>
      <c r="M101" s="120"/>
      <c r="N101" s="120"/>
      <c r="O101" s="120"/>
      <c r="P101" s="120"/>
      <c r="Q101" s="120"/>
      <c r="R101" s="120"/>
    </row>
    <row r="102" spans="1:20">
      <c r="B102" s="224" t="str">
        <f t="shared" ref="B102" si="14">B40</f>
        <v>External laser module (Comb) - HP</v>
      </c>
      <c r="C102" s="77"/>
      <c r="D102" s="77"/>
      <c r="E102" s="77"/>
      <c r="F102" s="96"/>
      <c r="G102" s="179"/>
      <c r="H102" s="67"/>
      <c r="I102" s="67"/>
      <c r="J102" s="67"/>
      <c r="K102" s="67"/>
      <c r="L102" s="67"/>
      <c r="M102" s="67"/>
      <c r="N102" s="67"/>
      <c r="O102" s="67"/>
      <c r="P102" s="67"/>
      <c r="Q102" s="67"/>
      <c r="R102" s="67"/>
    </row>
    <row r="103" spans="1:20">
      <c r="B103" s="224" t="str">
        <f t="shared" ref="B103" si="15">B41</f>
        <v>External laser module (4xDR4)</v>
      </c>
      <c r="C103" s="77"/>
      <c r="D103" s="77"/>
      <c r="E103" s="77"/>
      <c r="F103" s="96"/>
      <c r="G103" s="179"/>
      <c r="H103" s="67"/>
      <c r="I103" s="67"/>
      <c r="J103" s="67"/>
      <c r="K103" s="67"/>
      <c r="L103" s="67"/>
      <c r="M103" s="67"/>
      <c r="N103" s="67"/>
      <c r="O103" s="67"/>
      <c r="P103" s="67"/>
      <c r="Q103" s="67"/>
      <c r="R103" s="67"/>
    </row>
    <row r="104" spans="1:20">
      <c r="B104" s="219" t="str">
        <f t="shared" ref="B104" si="16">B42</f>
        <v>External laser module (4xFR4)</v>
      </c>
      <c r="C104" s="78"/>
      <c r="D104" s="78"/>
      <c r="E104" s="78"/>
      <c r="F104" s="142"/>
      <c r="G104" s="387"/>
      <c r="H104" s="68"/>
      <c r="I104" s="68"/>
      <c r="J104" s="68"/>
      <c r="K104" s="68"/>
      <c r="L104" s="68"/>
      <c r="M104" s="68"/>
      <c r="N104" s="68"/>
      <c r="O104" s="68"/>
      <c r="P104" s="68"/>
      <c r="Q104" s="68"/>
      <c r="R104" s="68"/>
    </row>
    <row r="105" spans="1:20" customFormat="1">
      <c r="A105" s="8"/>
      <c r="B105" s="130" t="str">
        <f t="shared" ref="B105:D125" si="17">B43</f>
        <v>DAC</v>
      </c>
      <c r="C105" s="127" t="str">
        <f t="shared" si="17"/>
        <v>10G</v>
      </c>
      <c r="D105" s="127" t="str">
        <f t="shared" si="17"/>
        <v>TBD</v>
      </c>
      <c r="E105" s="127" t="s">
        <v>121</v>
      </c>
      <c r="F105" s="128" t="s">
        <v>233</v>
      </c>
      <c r="G105" s="67">
        <f>'Copper cable forecast'!C33</f>
        <v>14.586544854111729</v>
      </c>
      <c r="H105" s="67">
        <f>'Copper cable forecast'!D33</f>
        <v>11.2376122201748</v>
      </c>
      <c r="I105" s="67"/>
      <c r="J105" s="67"/>
      <c r="K105" s="67"/>
      <c r="L105" s="67"/>
      <c r="M105" s="67"/>
      <c r="N105" s="67"/>
      <c r="O105" s="67"/>
      <c r="P105" s="67"/>
      <c r="Q105" s="67"/>
      <c r="R105" s="67"/>
      <c r="T105" s="8"/>
    </row>
    <row r="106" spans="1:20" customFormat="1">
      <c r="A106" s="8"/>
      <c r="B106" s="130" t="str">
        <f t="shared" si="17"/>
        <v>DAC</v>
      </c>
      <c r="C106" s="127" t="str">
        <f t="shared" si="17"/>
        <v>25G</v>
      </c>
      <c r="D106" s="127" t="str">
        <f t="shared" si="17"/>
        <v>TBD</v>
      </c>
      <c r="E106" s="127" t="s">
        <v>121</v>
      </c>
      <c r="F106" s="128" t="s">
        <v>82</v>
      </c>
      <c r="G106" s="67">
        <f>'Copper cable forecast'!C34</f>
        <v>66</v>
      </c>
      <c r="H106" s="67">
        <f>'Copper cable forecast'!D34</f>
        <v>46.214816117010038</v>
      </c>
      <c r="I106" s="67"/>
      <c r="J106" s="67"/>
      <c r="K106" s="67"/>
      <c r="L106" s="67"/>
      <c r="M106" s="67"/>
      <c r="N106" s="67"/>
      <c r="O106" s="67"/>
      <c r="P106" s="67"/>
      <c r="Q106" s="67"/>
      <c r="R106" s="67"/>
      <c r="T106" s="8"/>
    </row>
    <row r="107" spans="1:20" customFormat="1">
      <c r="A107" s="8"/>
      <c r="B107" s="130" t="str">
        <f t="shared" si="17"/>
        <v>DAC</v>
      </c>
      <c r="C107" s="127" t="str">
        <f t="shared" si="17"/>
        <v>40G</v>
      </c>
      <c r="D107" s="127" t="str">
        <f t="shared" si="17"/>
        <v>10G</v>
      </c>
      <c r="E107" s="127" t="s">
        <v>121</v>
      </c>
      <c r="F107" s="128" t="s">
        <v>234</v>
      </c>
      <c r="G107" s="67">
        <f>'Copper cable forecast'!C35</f>
        <v>61.104645568624569</v>
      </c>
      <c r="H107" s="67">
        <f>'Copper cable forecast'!D35</f>
        <v>59.306005982673526</v>
      </c>
      <c r="I107" s="67"/>
      <c r="J107" s="67"/>
      <c r="K107" s="67"/>
      <c r="L107" s="67"/>
      <c r="M107" s="67"/>
      <c r="N107" s="67"/>
      <c r="O107" s="67"/>
      <c r="P107" s="67"/>
      <c r="Q107" s="67"/>
      <c r="R107" s="67"/>
      <c r="T107" s="8"/>
    </row>
    <row r="108" spans="1:20" customFormat="1">
      <c r="A108" s="8"/>
      <c r="B108" s="130" t="str">
        <f t="shared" si="17"/>
        <v>DAC</v>
      </c>
      <c r="C108" s="127" t="str">
        <f t="shared" si="17"/>
        <v>56G</v>
      </c>
      <c r="D108" s="21" t="str">
        <f t="shared" si="17"/>
        <v>14G</v>
      </c>
      <c r="E108" s="127" t="s">
        <v>121</v>
      </c>
      <c r="F108" s="128" t="s">
        <v>234</v>
      </c>
      <c r="G108" s="67">
        <f>'Copper cable forecast'!C36</f>
        <v>67.596061404384955</v>
      </c>
      <c r="H108" s="67">
        <f>'Copper cable forecast'!D36</f>
        <v>67.905857195197569</v>
      </c>
      <c r="I108" s="67"/>
      <c r="J108" s="67"/>
      <c r="K108" s="67"/>
      <c r="L108" s="67"/>
      <c r="M108" s="67"/>
      <c r="N108" s="67"/>
      <c r="O108" s="67"/>
      <c r="P108" s="67"/>
      <c r="Q108" s="67"/>
      <c r="R108" s="67"/>
      <c r="T108" s="8"/>
    </row>
    <row r="109" spans="1:20" customFormat="1">
      <c r="A109" s="8"/>
      <c r="B109" s="130" t="str">
        <f t="shared" si="17"/>
        <v>Active Cu</v>
      </c>
      <c r="C109" s="127" t="str">
        <f t="shared" si="17"/>
        <v>100G</v>
      </c>
      <c r="D109" s="21" t="str">
        <f t="shared" si="17"/>
        <v>TBD</v>
      </c>
      <c r="E109" s="127" t="s">
        <v>121</v>
      </c>
      <c r="F109" s="128" t="s">
        <v>50</v>
      </c>
      <c r="G109" s="67">
        <f>'Copper cable forecast'!C37</f>
        <v>288</v>
      </c>
      <c r="H109" s="67">
        <f>'Copper cable forecast'!D37</f>
        <v>163.19999999999999</v>
      </c>
      <c r="I109" s="67"/>
      <c r="J109" s="67"/>
      <c r="K109" s="67"/>
      <c r="L109" s="67"/>
      <c r="M109" s="67"/>
      <c r="N109" s="67"/>
      <c r="O109" s="67"/>
      <c r="P109" s="67"/>
      <c r="Q109" s="67"/>
      <c r="R109" s="67"/>
      <c r="T109" s="8"/>
    </row>
    <row r="110" spans="1:20" customFormat="1">
      <c r="A110" s="8"/>
      <c r="B110" s="130" t="str">
        <f t="shared" si="17"/>
        <v>DAC</v>
      </c>
      <c r="C110" s="127" t="str">
        <f t="shared" si="17"/>
        <v>100G</v>
      </c>
      <c r="D110" s="21" t="str">
        <f t="shared" si="17"/>
        <v>TBD</v>
      </c>
      <c r="E110" s="127" t="s">
        <v>121</v>
      </c>
      <c r="F110" s="128" t="s">
        <v>50</v>
      </c>
      <c r="G110" s="67">
        <f>'Copper cable forecast'!C38</f>
        <v>192</v>
      </c>
      <c r="H110" s="67">
        <f>'Copper cable forecast'!D38</f>
        <v>108.80000000000001</v>
      </c>
      <c r="I110" s="67"/>
      <c r="J110" s="67"/>
      <c r="K110" s="67"/>
      <c r="L110" s="67"/>
      <c r="M110" s="67"/>
      <c r="N110" s="67"/>
      <c r="O110" s="67"/>
      <c r="P110" s="67"/>
      <c r="Q110" s="67"/>
      <c r="R110" s="67"/>
      <c r="T110" s="8"/>
    </row>
    <row r="111" spans="1:20" customFormat="1">
      <c r="A111" s="8"/>
      <c r="B111" s="130" t="str">
        <f t="shared" si="17"/>
        <v>Active Cu</v>
      </c>
      <c r="C111" s="127" t="str">
        <f t="shared" si="17"/>
        <v>200G</v>
      </c>
      <c r="D111" s="21" t="str">
        <f t="shared" si="17"/>
        <v>TBD</v>
      </c>
      <c r="E111" s="127" t="s">
        <v>121</v>
      </c>
      <c r="F111" s="128" t="s">
        <v>61</v>
      </c>
      <c r="G111" s="67">
        <f>'Copper cable forecast'!C39</f>
        <v>0</v>
      </c>
      <c r="H111" s="67">
        <f>'Copper cable forecast'!D39</f>
        <v>0</v>
      </c>
      <c r="I111" s="67"/>
      <c r="J111" s="67"/>
      <c r="K111" s="67"/>
      <c r="L111" s="67"/>
      <c r="M111" s="67"/>
      <c r="N111" s="67"/>
      <c r="O111" s="67"/>
      <c r="P111" s="67"/>
      <c r="Q111" s="67"/>
      <c r="R111" s="67"/>
      <c r="T111" s="8"/>
    </row>
    <row r="112" spans="1:20" customFormat="1">
      <c r="A112" s="8"/>
      <c r="B112" s="130" t="str">
        <f t="shared" si="17"/>
        <v>DAC</v>
      </c>
      <c r="C112" s="127" t="str">
        <f t="shared" si="17"/>
        <v>200G</v>
      </c>
      <c r="D112" s="21" t="str">
        <f t="shared" si="17"/>
        <v>TBD</v>
      </c>
      <c r="E112" s="127" t="s">
        <v>121</v>
      </c>
      <c r="F112" s="128" t="s">
        <v>61</v>
      </c>
      <c r="G112" s="67">
        <f>'Copper cable forecast'!C40</f>
        <v>0</v>
      </c>
      <c r="H112" s="67">
        <f>'Copper cable forecast'!D40</f>
        <v>0</v>
      </c>
      <c r="I112" s="67"/>
      <c r="J112" s="67"/>
      <c r="K112" s="67"/>
      <c r="L112" s="67"/>
      <c r="M112" s="67"/>
      <c r="N112" s="67"/>
      <c r="O112" s="67"/>
      <c r="P112" s="67"/>
      <c r="Q112" s="67"/>
      <c r="R112" s="67"/>
      <c r="T112" s="8"/>
    </row>
    <row r="113" spans="1:20" customFormat="1">
      <c r="A113" s="8"/>
      <c r="B113" s="130" t="str">
        <f t="shared" si="17"/>
        <v>Active Cu</v>
      </c>
      <c r="C113" s="127" t="str">
        <f t="shared" si="17"/>
        <v>400G</v>
      </c>
      <c r="D113" s="21" t="str">
        <f t="shared" si="17"/>
        <v>TBD</v>
      </c>
      <c r="E113" s="127" t="s">
        <v>121</v>
      </c>
      <c r="F113" s="128" t="s">
        <v>44</v>
      </c>
      <c r="G113" s="67">
        <f>'Copper cable forecast'!C41</f>
        <v>0</v>
      </c>
      <c r="H113" s="67">
        <f>'Copper cable forecast'!D41</f>
        <v>0</v>
      </c>
      <c r="I113" s="67"/>
      <c r="J113" s="67"/>
      <c r="K113" s="67"/>
      <c r="L113" s="67"/>
      <c r="M113" s="67"/>
      <c r="N113" s="67"/>
      <c r="O113" s="67"/>
      <c r="P113" s="67"/>
      <c r="Q113" s="67"/>
      <c r="R113" s="67"/>
      <c r="T113" s="8"/>
    </row>
    <row r="114" spans="1:20" customFormat="1">
      <c r="A114" s="8"/>
      <c r="B114" s="130" t="str">
        <f t="shared" si="17"/>
        <v>DAC</v>
      </c>
      <c r="C114" s="127" t="str">
        <f t="shared" si="17"/>
        <v>400G</v>
      </c>
      <c r="D114" s="21" t="str">
        <f t="shared" si="17"/>
        <v>TBD</v>
      </c>
      <c r="E114" s="127" t="s">
        <v>121</v>
      </c>
      <c r="F114" s="128" t="s">
        <v>44</v>
      </c>
      <c r="G114" s="67">
        <f>'Copper cable forecast'!C42</f>
        <v>0</v>
      </c>
      <c r="H114" s="67">
        <f>'Copper cable forecast'!D42</f>
        <v>0</v>
      </c>
      <c r="I114" s="67"/>
      <c r="J114" s="67"/>
      <c r="K114" s="67"/>
      <c r="L114" s="67"/>
      <c r="M114" s="67"/>
      <c r="N114" s="67"/>
      <c r="O114" s="67"/>
      <c r="P114" s="67"/>
      <c r="Q114" s="67"/>
      <c r="R114" s="67"/>
      <c r="T114" s="8"/>
    </row>
    <row r="115" spans="1:20" customFormat="1">
      <c r="A115" s="8"/>
      <c r="B115" s="130" t="str">
        <f t="shared" si="17"/>
        <v>Active Cu</v>
      </c>
      <c r="C115" s="127" t="str">
        <f t="shared" si="17"/>
        <v>800G</v>
      </c>
      <c r="D115" s="21" t="str">
        <f t="shared" si="17"/>
        <v>TBD</v>
      </c>
      <c r="E115" s="127" t="s">
        <v>121</v>
      </c>
      <c r="F115" s="128" t="s">
        <v>44</v>
      </c>
      <c r="G115" s="67">
        <f>'Copper cable forecast'!C43</f>
        <v>0</v>
      </c>
      <c r="H115" s="67">
        <f>'Copper cable forecast'!D43</f>
        <v>0</v>
      </c>
      <c r="I115" s="67"/>
      <c r="J115" s="67"/>
      <c r="K115" s="67"/>
      <c r="L115" s="67"/>
      <c r="M115" s="67"/>
      <c r="N115" s="67"/>
      <c r="O115" s="67"/>
      <c r="P115" s="67"/>
      <c r="Q115" s="67"/>
      <c r="R115" s="67"/>
      <c r="T115" s="8"/>
    </row>
    <row r="116" spans="1:20" customFormat="1">
      <c r="A116" s="8"/>
      <c r="B116" s="130" t="str">
        <f t="shared" si="17"/>
        <v>DAC</v>
      </c>
      <c r="C116" s="127" t="str">
        <f t="shared" si="17"/>
        <v>800G</v>
      </c>
      <c r="D116" s="21" t="str">
        <f t="shared" si="17"/>
        <v>TBD</v>
      </c>
      <c r="E116" s="127" t="s">
        <v>121</v>
      </c>
      <c r="F116" s="128" t="s">
        <v>44</v>
      </c>
      <c r="G116" s="67">
        <f>'Copper cable forecast'!C44</f>
        <v>0</v>
      </c>
      <c r="H116" s="67">
        <f>'Copper cable forecast'!D44</f>
        <v>0</v>
      </c>
      <c r="I116" s="67"/>
      <c r="J116" s="67"/>
      <c r="K116" s="67"/>
      <c r="L116" s="67"/>
      <c r="M116" s="67"/>
      <c r="N116" s="67"/>
      <c r="O116" s="67"/>
      <c r="P116" s="67"/>
      <c r="Q116" s="67"/>
      <c r="R116" s="67"/>
      <c r="T116" s="8"/>
    </row>
    <row r="117" spans="1:20" customFormat="1">
      <c r="A117" s="8"/>
      <c r="B117" s="130" t="str">
        <f t="shared" si="17"/>
        <v>Active Cu</v>
      </c>
      <c r="C117" s="127" t="str">
        <f t="shared" si="17"/>
        <v>1.6 Tbps</v>
      </c>
      <c r="D117" s="21" t="str">
        <f t="shared" si="17"/>
        <v>TBD</v>
      </c>
      <c r="E117" s="127" t="s">
        <v>121</v>
      </c>
      <c r="F117" s="128" t="s">
        <v>44</v>
      </c>
      <c r="G117" s="67">
        <f>'Copper cable forecast'!C45</f>
        <v>0</v>
      </c>
      <c r="H117" s="67">
        <f>'Copper cable forecast'!D45</f>
        <v>0</v>
      </c>
      <c r="I117" s="67"/>
      <c r="J117" s="67"/>
      <c r="K117" s="67"/>
      <c r="L117" s="67"/>
      <c r="M117" s="67"/>
      <c r="N117" s="67"/>
      <c r="O117" s="67"/>
      <c r="P117" s="67"/>
      <c r="Q117" s="67"/>
      <c r="R117" s="67"/>
      <c r="T117" s="8"/>
    </row>
    <row r="118" spans="1:20" customFormat="1">
      <c r="A118" s="8"/>
      <c r="B118" s="130" t="str">
        <f t="shared" si="17"/>
        <v>DAC</v>
      </c>
      <c r="C118" s="374" t="str">
        <f t="shared" si="17"/>
        <v>1.6 Tbps</v>
      </c>
      <c r="D118" s="21" t="str">
        <f t="shared" si="17"/>
        <v>TBD</v>
      </c>
      <c r="E118" s="127" t="s">
        <v>121</v>
      </c>
      <c r="F118" s="128" t="s">
        <v>44</v>
      </c>
      <c r="G118" s="67">
        <f>'Copper cable forecast'!C46</f>
        <v>0</v>
      </c>
      <c r="H118" s="67">
        <f>'Copper cable forecast'!D46</f>
        <v>0</v>
      </c>
      <c r="I118" s="67"/>
      <c r="J118" s="67"/>
      <c r="K118" s="67"/>
      <c r="L118" s="67"/>
      <c r="M118" s="67"/>
      <c r="N118" s="67"/>
      <c r="O118" s="67"/>
      <c r="P118" s="67"/>
      <c r="Q118" s="67"/>
      <c r="R118" s="67"/>
      <c r="T118" s="8"/>
    </row>
    <row r="119" spans="1:20">
      <c r="B119" s="87" t="str">
        <f t="shared" si="17"/>
        <v>Total</v>
      </c>
      <c r="C119" s="129" t="str">
        <f t="shared" si="17"/>
        <v>All</v>
      </c>
      <c r="D119" s="129" t="str">
        <f t="shared" si="17"/>
        <v>All</v>
      </c>
      <c r="E119" s="129" t="s">
        <v>57</v>
      </c>
      <c r="F119" s="92" t="s">
        <v>57</v>
      </c>
      <c r="G119" s="110">
        <f t="shared" ref="G119:R119" si="18">IF(G57=0,0,G181*10^6/G57)</f>
        <v>51.360739335753856</v>
      </c>
      <c r="H119" s="111">
        <f t="shared" si="18"/>
        <v>42.96855815052372</v>
      </c>
      <c r="I119" s="111">
        <f t="shared" si="18"/>
        <v>0</v>
      </c>
      <c r="J119" s="111">
        <f t="shared" si="18"/>
        <v>0</v>
      </c>
      <c r="K119" s="111">
        <f t="shared" si="18"/>
        <v>0</v>
      </c>
      <c r="L119" s="111">
        <f t="shared" si="18"/>
        <v>0</v>
      </c>
      <c r="M119" s="111">
        <f t="shared" si="18"/>
        <v>0</v>
      </c>
      <c r="N119" s="111">
        <f t="shared" si="18"/>
        <v>0</v>
      </c>
      <c r="O119" s="111">
        <f t="shared" si="18"/>
        <v>0</v>
      </c>
      <c r="P119" s="111">
        <f t="shared" si="18"/>
        <v>0</v>
      </c>
      <c r="Q119" s="111">
        <f t="shared" si="18"/>
        <v>0</v>
      </c>
      <c r="R119" s="111">
        <f t="shared" si="18"/>
        <v>0</v>
      </c>
      <c r="S119"/>
    </row>
    <row r="120" spans="1:20">
      <c r="B120" s="77">
        <f t="shared" si="17"/>
        <v>0</v>
      </c>
      <c r="C120" s="77">
        <f t="shared" si="17"/>
        <v>0</v>
      </c>
      <c r="D120" s="76">
        <f t="shared" si="17"/>
        <v>0</v>
      </c>
      <c r="E120" s="77"/>
      <c r="F120" s="77"/>
      <c r="G120" s="51"/>
      <c r="H120" s="51"/>
      <c r="I120" s="51"/>
      <c r="J120" s="51"/>
      <c r="K120" s="51"/>
      <c r="L120" s="51"/>
      <c r="M120" s="51"/>
      <c r="N120" s="51"/>
      <c r="O120" s="51"/>
      <c r="P120" s="51"/>
      <c r="Q120" s="141"/>
      <c r="R120" s="141"/>
      <c r="S120"/>
    </row>
    <row r="121" spans="1:20">
      <c r="B121" s="85" t="str">
        <f t="shared" si="17"/>
        <v>Type</v>
      </c>
      <c r="C121" s="86" t="str">
        <f t="shared" si="17"/>
        <v>Agg. Speed</v>
      </c>
      <c r="D121" s="129" t="str">
        <f t="shared" si="17"/>
        <v>Lane Speed</v>
      </c>
      <c r="E121" s="100" t="s">
        <v>52</v>
      </c>
      <c r="F121" s="196" t="s">
        <v>53</v>
      </c>
      <c r="G121" s="80">
        <v>2016</v>
      </c>
      <c r="H121" s="35">
        <v>2017</v>
      </c>
      <c r="I121" s="35">
        <v>2018</v>
      </c>
      <c r="J121" s="35">
        <v>2019</v>
      </c>
      <c r="K121" s="35">
        <v>2020</v>
      </c>
      <c r="L121" s="35">
        <v>2021</v>
      </c>
      <c r="M121" s="35">
        <v>2022</v>
      </c>
      <c r="N121" s="35">
        <v>2023</v>
      </c>
      <c r="O121" s="35">
        <v>2024</v>
      </c>
      <c r="P121" s="35">
        <v>2025</v>
      </c>
      <c r="Q121" s="35">
        <v>2026</v>
      </c>
      <c r="R121" s="35">
        <v>2027</v>
      </c>
      <c r="S121"/>
    </row>
    <row r="122" spans="1:20">
      <c r="B122" s="93" t="str">
        <f t="shared" si="17"/>
        <v>AOC</v>
      </c>
      <c r="C122" s="82" t="str">
        <f t="shared" si="17"/>
        <v>All</v>
      </c>
      <c r="D122" s="76" t="str">
        <f t="shared" si="17"/>
        <v>All</v>
      </c>
      <c r="E122" s="82" t="str">
        <f t="shared" ref="E122:F125" si="19">E60</f>
        <v>Single</v>
      </c>
      <c r="F122" s="95" t="str">
        <f t="shared" si="19"/>
        <v>All</v>
      </c>
      <c r="G122" s="162">
        <f t="shared" ref="G122:R122" si="20">IF(G60=0,0,G184*10^6/G60)</f>
        <v>24.825811495409784</v>
      </c>
      <c r="H122" s="162">
        <f t="shared" si="20"/>
        <v>21.653272716531514</v>
      </c>
      <c r="I122" s="162">
        <f t="shared" si="20"/>
        <v>0</v>
      </c>
      <c r="J122" s="162">
        <f t="shared" si="20"/>
        <v>0</v>
      </c>
      <c r="K122" s="162">
        <f t="shared" si="20"/>
        <v>0</v>
      </c>
      <c r="L122" s="162">
        <f t="shared" si="20"/>
        <v>0</v>
      </c>
      <c r="M122" s="162">
        <f t="shared" si="20"/>
        <v>0</v>
      </c>
      <c r="N122" s="162">
        <f t="shared" si="20"/>
        <v>0</v>
      </c>
      <c r="O122" s="162">
        <f t="shared" si="20"/>
        <v>0</v>
      </c>
      <c r="P122" s="162">
        <f t="shared" si="20"/>
        <v>0</v>
      </c>
      <c r="Q122" s="162">
        <f t="shared" si="20"/>
        <v>0</v>
      </c>
      <c r="R122" s="162">
        <f t="shared" si="20"/>
        <v>0</v>
      </c>
      <c r="S122"/>
    </row>
    <row r="123" spans="1:20">
      <c r="B123" s="94" t="str">
        <f t="shared" si="17"/>
        <v>AOC</v>
      </c>
      <c r="C123" s="77" t="str">
        <f t="shared" si="17"/>
        <v>All</v>
      </c>
      <c r="D123" s="76" t="str">
        <f t="shared" si="17"/>
        <v>All</v>
      </c>
      <c r="E123" s="77" t="str">
        <f t="shared" si="19"/>
        <v>Multi-</v>
      </c>
      <c r="F123" s="96" t="str">
        <f t="shared" si="19"/>
        <v>All</v>
      </c>
      <c r="G123" s="137">
        <f t="shared" ref="G123:R123" si="21">IF(G61=0,0,G185*10^6/G61)</f>
        <v>217.83162885822696</v>
      </c>
      <c r="H123" s="137">
        <f t="shared" si="21"/>
        <v>188.08108816551055</v>
      </c>
      <c r="I123" s="137">
        <f t="shared" si="21"/>
        <v>0</v>
      </c>
      <c r="J123" s="137">
        <f t="shared" si="21"/>
        <v>0</v>
      </c>
      <c r="K123" s="137">
        <f t="shared" si="21"/>
        <v>0</v>
      </c>
      <c r="L123" s="137">
        <f t="shared" si="21"/>
        <v>0</v>
      </c>
      <c r="M123" s="137">
        <f t="shared" si="21"/>
        <v>0</v>
      </c>
      <c r="N123" s="137">
        <f t="shared" si="21"/>
        <v>0</v>
      </c>
      <c r="O123" s="137">
        <f t="shared" si="21"/>
        <v>0</v>
      </c>
      <c r="P123" s="137">
        <f t="shared" si="21"/>
        <v>0</v>
      </c>
      <c r="Q123" s="137">
        <f t="shared" si="21"/>
        <v>0</v>
      </c>
      <c r="R123" s="137">
        <f t="shared" si="21"/>
        <v>0</v>
      </c>
      <c r="S123"/>
    </row>
    <row r="124" spans="1:20">
      <c r="B124" s="94" t="str">
        <f t="shared" si="17"/>
        <v>EOM</v>
      </c>
      <c r="C124" s="77" t="str">
        <f t="shared" si="17"/>
        <v>All</v>
      </c>
      <c r="D124" s="76" t="str">
        <f t="shared" si="17"/>
        <v>All</v>
      </c>
      <c r="E124" s="77" t="str">
        <f t="shared" si="19"/>
        <v>All</v>
      </c>
      <c r="F124" s="96" t="str">
        <f t="shared" si="19"/>
        <v>All</v>
      </c>
      <c r="G124" s="137">
        <f t="shared" ref="G124:R124" si="22">IF(G62=0,0,G186*10^6/G62)</f>
        <v>421.25283440693948</v>
      </c>
      <c r="H124" s="137">
        <f t="shared" si="22"/>
        <v>409.78892473757764</v>
      </c>
      <c r="I124" s="137">
        <f t="shared" si="22"/>
        <v>0</v>
      </c>
      <c r="J124" s="137">
        <f t="shared" si="22"/>
        <v>0</v>
      </c>
      <c r="K124" s="137">
        <f t="shared" si="22"/>
        <v>0</v>
      </c>
      <c r="L124" s="137">
        <f t="shared" si="22"/>
        <v>0</v>
      </c>
      <c r="M124" s="137">
        <f t="shared" si="22"/>
        <v>0</v>
      </c>
      <c r="N124" s="137">
        <f t="shared" si="22"/>
        <v>0</v>
      </c>
      <c r="O124" s="137">
        <f t="shared" si="22"/>
        <v>0</v>
      </c>
      <c r="P124" s="137">
        <f t="shared" si="22"/>
        <v>0</v>
      </c>
      <c r="Q124" s="137">
        <f t="shared" si="22"/>
        <v>0</v>
      </c>
      <c r="R124" s="137">
        <f t="shared" si="22"/>
        <v>0</v>
      </c>
      <c r="S124"/>
    </row>
    <row r="125" spans="1:20">
      <c r="B125" s="94" t="str">
        <f t="shared" si="17"/>
        <v>CPO</v>
      </c>
      <c r="C125" s="77" t="str">
        <f t="shared" si="17"/>
        <v>All</v>
      </c>
      <c r="D125" s="76" t="str">
        <f t="shared" si="17"/>
        <v>All</v>
      </c>
      <c r="E125" s="77" t="str">
        <f t="shared" si="19"/>
        <v>All</v>
      </c>
      <c r="F125" s="96" t="str">
        <f t="shared" si="19"/>
        <v>TBD</v>
      </c>
      <c r="G125" s="137">
        <f t="shared" ref="G125:R125" si="23">IF(G63=0,0,G187*10^6/G63)</f>
        <v>0</v>
      </c>
      <c r="H125" s="137">
        <f t="shared" si="23"/>
        <v>0</v>
      </c>
      <c r="I125" s="137">
        <f t="shared" si="23"/>
        <v>0</v>
      </c>
      <c r="J125" s="137">
        <f t="shared" si="23"/>
        <v>0</v>
      </c>
      <c r="K125" s="137">
        <f t="shared" si="23"/>
        <v>0</v>
      </c>
      <c r="L125" s="137">
        <f t="shared" si="23"/>
        <v>0</v>
      </c>
      <c r="M125" s="137">
        <f t="shared" si="23"/>
        <v>0</v>
      </c>
      <c r="N125" s="137">
        <f t="shared" si="23"/>
        <v>0</v>
      </c>
      <c r="O125" s="137">
        <f t="shared" si="23"/>
        <v>0</v>
      </c>
      <c r="P125" s="137">
        <f t="shared" si="23"/>
        <v>0</v>
      </c>
      <c r="Q125" s="137">
        <f t="shared" si="23"/>
        <v>0</v>
      </c>
      <c r="R125" s="137">
        <f t="shared" si="23"/>
        <v>0</v>
      </c>
      <c r="S125"/>
    </row>
    <row r="126" spans="1:20">
      <c r="B126" s="430" t="str">
        <f>B64</f>
        <v>External laser modules</v>
      </c>
      <c r="C126" s="77"/>
      <c r="E126" s="77"/>
      <c r="F126" s="96"/>
      <c r="G126" s="137"/>
      <c r="H126" s="137"/>
      <c r="I126" s="137"/>
      <c r="J126" s="137"/>
      <c r="K126" s="137"/>
      <c r="L126" s="137"/>
      <c r="M126" s="137"/>
      <c r="N126" s="137"/>
      <c r="O126" s="137"/>
      <c r="P126" s="137"/>
      <c r="Q126" s="137"/>
      <c r="R126" s="137"/>
      <c r="S126"/>
    </row>
    <row r="127" spans="1:20">
      <c r="B127" s="94" t="str">
        <f>B65</f>
        <v>Copper</v>
      </c>
      <c r="C127" s="77" t="str">
        <f>C65</f>
        <v>All</v>
      </c>
      <c r="D127" s="76" t="str">
        <f>D65</f>
        <v>All</v>
      </c>
      <c r="E127" s="77" t="str">
        <f>E65</f>
        <v>All</v>
      </c>
      <c r="F127" s="96" t="str">
        <f>F65</f>
        <v>All</v>
      </c>
      <c r="G127" s="137">
        <f t="shared" ref="G127:R127" si="24">IF(G65=0,0,G189*10^6/G65)</f>
        <v>35.341507690752785</v>
      </c>
      <c r="H127" s="137">
        <f t="shared" si="24"/>
        <v>32.900271883899407</v>
      </c>
      <c r="I127" s="137">
        <f t="shared" si="24"/>
        <v>0</v>
      </c>
      <c r="J127" s="137">
        <f t="shared" si="24"/>
        <v>0</v>
      </c>
      <c r="K127" s="137">
        <f t="shared" si="24"/>
        <v>0</v>
      </c>
      <c r="L127" s="137">
        <f t="shared" si="24"/>
        <v>0</v>
      </c>
      <c r="M127" s="137">
        <f t="shared" si="24"/>
        <v>0</v>
      </c>
      <c r="N127" s="137">
        <f t="shared" si="24"/>
        <v>0</v>
      </c>
      <c r="O127" s="137">
        <f t="shared" si="24"/>
        <v>0</v>
      </c>
      <c r="P127" s="137">
        <f t="shared" si="24"/>
        <v>0</v>
      </c>
      <c r="Q127" s="137">
        <f t="shared" si="24"/>
        <v>0</v>
      </c>
      <c r="R127" s="137">
        <f t="shared" si="24"/>
        <v>0</v>
      </c>
      <c r="S127"/>
    </row>
    <row r="128" spans="1:20">
      <c r="B128" s="87" t="str">
        <f>B66</f>
        <v>Total 2</v>
      </c>
      <c r="C128" s="100" t="str">
        <f>C66</f>
        <v>All</v>
      </c>
      <c r="D128" s="129" t="str">
        <f>D66</f>
        <v>All</v>
      </c>
      <c r="E128" s="129" t="s">
        <v>57</v>
      </c>
      <c r="F128" s="92" t="s">
        <v>57</v>
      </c>
      <c r="G128" s="110">
        <f t="shared" ref="G128:R128" si="25">IF(G66=0,0,G190*10^6/G66)</f>
        <v>51.360739335753856</v>
      </c>
      <c r="H128" s="111">
        <f t="shared" si="25"/>
        <v>42.968558150523734</v>
      </c>
      <c r="I128" s="111">
        <f t="shared" si="25"/>
        <v>0</v>
      </c>
      <c r="J128" s="111">
        <f t="shared" si="25"/>
        <v>0</v>
      </c>
      <c r="K128" s="111">
        <f t="shared" si="25"/>
        <v>0</v>
      </c>
      <c r="L128" s="111">
        <f t="shared" si="25"/>
        <v>0</v>
      </c>
      <c r="M128" s="111">
        <f t="shared" si="25"/>
        <v>0</v>
      </c>
      <c r="N128" s="111">
        <f t="shared" si="25"/>
        <v>0</v>
      </c>
      <c r="O128" s="111">
        <f t="shared" si="25"/>
        <v>0</v>
      </c>
      <c r="P128" s="111">
        <f t="shared" si="25"/>
        <v>0</v>
      </c>
      <c r="Q128" s="111">
        <f t="shared" si="25"/>
        <v>0</v>
      </c>
      <c r="R128" s="111">
        <f t="shared" si="25"/>
        <v>0</v>
      </c>
      <c r="S128"/>
    </row>
    <row r="129" spans="2:19">
      <c r="S129"/>
    </row>
    <row r="130" spans="2:19" ht="21">
      <c r="B130" s="24" t="s">
        <v>20</v>
      </c>
      <c r="C130" s="357">
        <f>COUNTA(A132:A161)</f>
        <v>0</v>
      </c>
      <c r="E130" s="23"/>
      <c r="F130" s="358"/>
      <c r="H130" s="8" t="s">
        <v>15</v>
      </c>
      <c r="S130"/>
    </row>
    <row r="131" spans="2:19">
      <c r="B131" s="87" t="str">
        <f>B69</f>
        <v>Type</v>
      </c>
      <c r="C131" s="100" t="str">
        <f>C69</f>
        <v>Agg. Speed</v>
      </c>
      <c r="D131" s="100" t="str">
        <f>D69</f>
        <v>Lane Speed</v>
      </c>
      <c r="E131" s="100" t="str">
        <f>E69</f>
        <v>Lanes</v>
      </c>
      <c r="F131" s="196" t="str">
        <f>F69</f>
        <v>Form Factor</v>
      </c>
      <c r="G131" s="30">
        <v>2016</v>
      </c>
      <c r="H131" s="30">
        <v>2017</v>
      </c>
      <c r="I131" s="30">
        <v>2018</v>
      </c>
      <c r="J131" s="30">
        <v>2019</v>
      </c>
      <c r="K131" s="30">
        <v>2020</v>
      </c>
      <c r="L131" s="30">
        <v>2021</v>
      </c>
      <c r="M131" s="30">
        <v>2022</v>
      </c>
      <c r="N131" s="30">
        <v>2023</v>
      </c>
      <c r="O131" s="30">
        <v>2024</v>
      </c>
      <c r="P131" s="30">
        <v>2025</v>
      </c>
      <c r="Q131" s="30">
        <v>2026</v>
      </c>
      <c r="R131" s="30">
        <v>2027</v>
      </c>
      <c r="S131"/>
    </row>
    <row r="132" spans="2:19">
      <c r="B132" s="94" t="str">
        <f t="shared" ref="B132:F141" si="26">B8</f>
        <v>AOC</v>
      </c>
      <c r="C132" s="77" t="str">
        <f t="shared" si="26"/>
        <v>10G</v>
      </c>
      <c r="D132" s="77" t="str">
        <f t="shared" si="26"/>
        <v>≤10G</v>
      </c>
      <c r="E132" s="77">
        <f t="shared" si="26"/>
        <v>1</v>
      </c>
      <c r="F132" s="96" t="str">
        <f t="shared" si="26"/>
        <v>SFP+</v>
      </c>
      <c r="G132" s="37">
        <f t="shared" ref="G132:H132" si="27">IF(G8=0,,G8*G70/10^6)</f>
        <v>40.21456932280806</v>
      </c>
      <c r="H132" s="37">
        <f t="shared" si="27"/>
        <v>60.527746000000008</v>
      </c>
      <c r="I132" s="37"/>
      <c r="J132" s="37"/>
      <c r="K132" s="37"/>
      <c r="L132" s="37"/>
      <c r="M132" s="109"/>
      <c r="N132" s="37"/>
      <c r="O132" s="37"/>
      <c r="P132" s="37"/>
      <c r="Q132" s="37"/>
      <c r="R132" s="37"/>
      <c r="S132"/>
    </row>
    <row r="133" spans="2:19">
      <c r="B133" s="94" t="str">
        <f t="shared" si="26"/>
        <v>AOC</v>
      </c>
      <c r="C133" s="77" t="str">
        <f t="shared" si="26"/>
        <v>40G</v>
      </c>
      <c r="D133" s="77" t="str">
        <f t="shared" si="26"/>
        <v>≤10G</v>
      </c>
      <c r="E133" s="77">
        <f t="shared" si="26"/>
        <v>4</v>
      </c>
      <c r="F133" s="96" t="str">
        <f t="shared" si="26"/>
        <v>QSFP+</v>
      </c>
      <c r="G133" s="37">
        <f t="shared" ref="G133:H133" si="28">IF(G9=0,,G9*G71/10^6)</f>
        <v>34.523513699817194</v>
      </c>
      <c r="H133" s="37">
        <f t="shared" si="28"/>
        <v>20.354611999999992</v>
      </c>
      <c r="I133" s="37"/>
      <c r="J133" s="37"/>
      <c r="K133" s="37"/>
      <c r="L133" s="37"/>
      <c r="M133" s="109"/>
      <c r="N133" s="37"/>
      <c r="O133" s="37"/>
      <c r="P133" s="37"/>
      <c r="Q133" s="37"/>
      <c r="R133" s="37"/>
      <c r="S133"/>
    </row>
    <row r="134" spans="2:19">
      <c r="B134" s="94" t="str">
        <f t="shared" si="26"/>
        <v>AOC</v>
      </c>
      <c r="C134" s="77" t="str">
        <f t="shared" si="26"/>
        <v>40G</v>
      </c>
      <c r="D134" s="77" t="str">
        <f t="shared" si="26"/>
        <v>≤10G</v>
      </c>
      <c r="E134" s="77" t="str">
        <f t="shared" si="26"/>
        <v>4:1</v>
      </c>
      <c r="F134" s="96" t="str">
        <f t="shared" si="26"/>
        <v>QSFP+/SFP+</v>
      </c>
      <c r="G134" s="37">
        <f t="shared" ref="G134:H134" si="29">IF(G10=0,,G10*G72/10^6)</f>
        <v>6.7839999999999998</v>
      </c>
      <c r="H134" s="37">
        <f t="shared" si="29"/>
        <v>5.7350000000000003</v>
      </c>
      <c r="I134" s="37"/>
      <c r="J134" s="37"/>
      <c r="K134" s="37"/>
      <c r="L134" s="37"/>
      <c r="M134" s="109"/>
      <c r="N134" s="37"/>
      <c r="O134" s="37"/>
      <c r="P134" s="37"/>
      <c r="Q134" s="37"/>
      <c r="R134" s="37"/>
      <c r="S134"/>
    </row>
    <row r="135" spans="2:19">
      <c r="B135" s="94" t="str">
        <f t="shared" si="26"/>
        <v>AOC</v>
      </c>
      <c r="C135" s="77" t="str">
        <f t="shared" si="26"/>
        <v>150G</v>
      </c>
      <c r="D135" s="77" t="str">
        <f t="shared" si="26"/>
        <v>≤12.5G</v>
      </c>
      <c r="E135" s="77">
        <f t="shared" si="26"/>
        <v>12</v>
      </c>
      <c r="F135" s="96" t="str">
        <f t="shared" si="26"/>
        <v>CXP</v>
      </c>
      <c r="G135" s="37">
        <f t="shared" ref="G135:H135" si="30">IF(G11=0,,G11*G73/10^6)</f>
        <v>45.894846770607558</v>
      </c>
      <c r="H135" s="37">
        <f t="shared" si="30"/>
        <v>28.678134999999997</v>
      </c>
      <c r="I135" s="37"/>
      <c r="J135" s="37"/>
      <c r="K135" s="37"/>
      <c r="L135" s="37"/>
      <c r="M135" s="109"/>
      <c r="N135" s="37"/>
      <c r="O135" s="37"/>
      <c r="P135" s="37"/>
      <c r="Q135" s="37"/>
      <c r="R135" s="37"/>
      <c r="S135"/>
    </row>
    <row r="136" spans="2:19">
      <c r="B136" s="94" t="str">
        <f t="shared" si="26"/>
        <v>EOM</v>
      </c>
      <c r="C136" s="77" t="str">
        <f t="shared" si="26"/>
        <v>150G</v>
      </c>
      <c r="D136" s="77" t="str">
        <f t="shared" si="26"/>
        <v>≤12.5G</v>
      </c>
      <c r="E136" s="77">
        <f t="shared" si="26"/>
        <v>12</v>
      </c>
      <c r="F136" s="96" t="str">
        <f t="shared" si="26"/>
        <v>XCVR - CXP</v>
      </c>
      <c r="G136" s="37">
        <f t="shared" ref="G136:H136" si="31">IF(G12=0,,G12*G74/10^6)</f>
        <v>8.5687214659536135</v>
      </c>
      <c r="H136" s="37">
        <f t="shared" si="31"/>
        <v>5.6430379999999998</v>
      </c>
      <c r="I136" s="37"/>
      <c r="J136" s="37"/>
      <c r="K136" s="37"/>
      <c r="L136" s="37"/>
      <c r="M136" s="109"/>
      <c r="N136" s="37"/>
      <c r="O136" s="37"/>
      <c r="P136" s="37"/>
      <c r="Q136" s="37"/>
      <c r="R136" s="37"/>
      <c r="S136"/>
    </row>
    <row r="137" spans="2:19">
      <c r="B137" s="94" t="str">
        <f t="shared" si="26"/>
        <v>AOC</v>
      </c>
      <c r="C137" s="77" t="str">
        <f t="shared" si="26"/>
        <v>56G</v>
      </c>
      <c r="D137" s="77" t="str">
        <f t="shared" si="26"/>
        <v>12-14G</v>
      </c>
      <c r="E137" s="77">
        <f t="shared" si="26"/>
        <v>4</v>
      </c>
      <c r="F137" s="96" t="str">
        <f t="shared" si="26"/>
        <v>QSFP+</v>
      </c>
      <c r="G137" s="37">
        <f t="shared" ref="G137:H137" si="32">IF(G13=0,,G13*G75/10^6)</f>
        <v>21.655615000000001</v>
      </c>
      <c r="H137" s="37">
        <f t="shared" si="32"/>
        <v>18.634046272934164</v>
      </c>
      <c r="I137" s="37"/>
      <c r="J137" s="37"/>
      <c r="K137" s="37"/>
      <c r="L137" s="37"/>
      <c r="M137" s="109"/>
      <c r="N137" s="37"/>
      <c r="O137" s="37"/>
      <c r="P137" s="37"/>
      <c r="Q137" s="37"/>
      <c r="R137" s="37"/>
      <c r="S137"/>
    </row>
    <row r="138" spans="2:19">
      <c r="B138" s="94" t="str">
        <f t="shared" si="26"/>
        <v>AOC</v>
      </c>
      <c r="C138" s="77" t="str">
        <f t="shared" si="26"/>
        <v>48G</v>
      </c>
      <c r="D138" s="77" t="str">
        <f t="shared" si="26"/>
        <v>12G</v>
      </c>
      <c r="E138" s="77">
        <f t="shared" si="26"/>
        <v>4</v>
      </c>
      <c r="F138" s="96" t="str">
        <f t="shared" si="26"/>
        <v>Mini-SAS HD</v>
      </c>
      <c r="G138" s="67">
        <f t="shared" ref="G138:H138" si="33">IF(G14=0,,G14*G76/10^6)</f>
        <v>4.3520000000000003</v>
      </c>
      <c r="H138" s="67">
        <f t="shared" si="33"/>
        <v>4.8556060606060605</v>
      </c>
      <c r="I138" s="67"/>
      <c r="J138" s="67"/>
      <c r="K138" s="67"/>
      <c r="L138" s="67"/>
      <c r="M138" s="191"/>
      <c r="N138" s="67"/>
      <c r="O138" s="67"/>
      <c r="P138" s="67"/>
      <c r="Q138" s="67"/>
      <c r="R138" s="67"/>
      <c r="S138"/>
    </row>
    <row r="139" spans="2:19">
      <c r="B139" s="94" t="str">
        <f t="shared" si="26"/>
        <v>AOC</v>
      </c>
      <c r="C139" s="77" t="str">
        <f t="shared" si="26"/>
        <v>25G</v>
      </c>
      <c r="D139" s="77" t="str">
        <f t="shared" si="26"/>
        <v>25-28G</v>
      </c>
      <c r="E139" s="77">
        <f t="shared" si="26"/>
        <v>1</v>
      </c>
      <c r="F139" s="96" t="str">
        <f t="shared" si="26"/>
        <v>SFP28</v>
      </c>
      <c r="G139" s="67">
        <f t="shared" ref="G139:H139" si="34">IF(G15=0,,G15*G77/10^6)</f>
        <v>1.1000000000000001</v>
      </c>
      <c r="H139" s="67">
        <f t="shared" si="34"/>
        <v>13.144417999999996</v>
      </c>
      <c r="I139" s="67"/>
      <c r="J139" s="67"/>
      <c r="K139" s="67"/>
      <c r="L139" s="67"/>
      <c r="M139" s="191"/>
      <c r="N139" s="67"/>
      <c r="O139" s="67"/>
      <c r="P139" s="67"/>
      <c r="Q139" s="67"/>
      <c r="R139" s="67"/>
      <c r="S139"/>
    </row>
    <row r="140" spans="2:19">
      <c r="B140" s="94" t="str">
        <f t="shared" si="26"/>
        <v>AOC</v>
      </c>
      <c r="C140" s="77" t="str">
        <f t="shared" si="26"/>
        <v>100G</v>
      </c>
      <c r="D140" s="77" t="str">
        <f t="shared" si="26"/>
        <v>25-28G, 50G, 100G</v>
      </c>
      <c r="E140" s="77" t="str">
        <f t="shared" si="26"/>
        <v>1, 2, or 4</v>
      </c>
      <c r="F140" s="96" t="str">
        <f t="shared" si="26"/>
        <v>QSFP28, SFP-DD, SFP112</v>
      </c>
      <c r="G140" s="37">
        <f t="shared" ref="G140:H140" si="35">IF(G16=0,,G16*G78/10^6)</f>
        <v>67.2</v>
      </c>
      <c r="H140" s="37">
        <f t="shared" si="35"/>
        <v>53.504848000000003</v>
      </c>
      <c r="I140" s="37"/>
      <c r="J140" s="37"/>
      <c r="K140" s="37"/>
      <c r="L140" s="37"/>
      <c r="M140" s="109"/>
      <c r="N140" s="37"/>
      <c r="O140" s="37"/>
      <c r="P140" s="37"/>
      <c r="Q140" s="37"/>
      <c r="R140" s="37"/>
      <c r="S140"/>
    </row>
    <row r="141" spans="2:19">
      <c r="B141" s="94" t="str">
        <f t="shared" si="26"/>
        <v>AOC</v>
      </c>
      <c r="C141" s="77" t="str">
        <f t="shared" si="26"/>
        <v>100G</v>
      </c>
      <c r="D141" s="77" t="str">
        <f t="shared" si="26"/>
        <v>25-28G</v>
      </c>
      <c r="E141" s="77" t="str">
        <f t="shared" si="26"/>
        <v>4:1</v>
      </c>
      <c r="F141" s="96" t="str">
        <f t="shared" si="26"/>
        <v>QSFP28/SFP28</v>
      </c>
      <c r="G141" s="37">
        <f t="shared" ref="G141:H141" si="36">IF(G17=0,,G17*G79/10^6)</f>
        <v>0</v>
      </c>
      <c r="H141" s="37">
        <f t="shared" si="36"/>
        <v>1.2250000000000001</v>
      </c>
      <c r="I141" s="37"/>
      <c r="J141" s="37"/>
      <c r="K141" s="37"/>
      <c r="L141" s="37"/>
      <c r="M141" s="109"/>
      <c r="N141" s="37"/>
      <c r="O141" s="37"/>
      <c r="P141" s="37"/>
      <c r="Q141" s="37"/>
      <c r="R141" s="37"/>
      <c r="S141"/>
    </row>
    <row r="142" spans="2:19">
      <c r="B142" s="94" t="str">
        <f t="shared" ref="B142:F151" si="37">B18</f>
        <v>AOC</v>
      </c>
      <c r="C142" s="77" t="str">
        <f t="shared" si="37"/>
        <v>96G</v>
      </c>
      <c r="D142" s="77" t="str">
        <f t="shared" si="37"/>
        <v>24G</v>
      </c>
      <c r="E142" s="77">
        <f t="shared" si="37"/>
        <v>4</v>
      </c>
      <c r="F142" s="96" t="str">
        <f t="shared" si="37"/>
        <v>Mini-SAS HD</v>
      </c>
      <c r="G142" s="37"/>
      <c r="H142" s="37">
        <f t="shared" ref="H142" si="38">IF(H18=0,,H18*H80/10^6)</f>
        <v>0</v>
      </c>
      <c r="I142" s="37"/>
      <c r="J142" s="37"/>
      <c r="K142" s="37"/>
      <c r="L142" s="37"/>
      <c r="M142" s="109"/>
      <c r="N142" s="37"/>
      <c r="O142" s="37"/>
      <c r="P142" s="37"/>
      <c r="Q142" s="37"/>
      <c r="R142" s="37"/>
      <c r="S142"/>
    </row>
    <row r="143" spans="2:19">
      <c r="B143" s="94" t="str">
        <f t="shared" si="37"/>
        <v>AOC</v>
      </c>
      <c r="C143" s="77" t="str">
        <f t="shared" si="37"/>
        <v>300G</v>
      </c>
      <c r="D143" s="77" t="str">
        <f t="shared" si="37"/>
        <v>25-28G</v>
      </c>
      <c r="E143" s="77">
        <f t="shared" si="37"/>
        <v>12</v>
      </c>
      <c r="F143" s="96" t="str">
        <f t="shared" si="37"/>
        <v>CXP28</v>
      </c>
      <c r="G143" s="215">
        <f>IF(G19=0,,G19*G81/10^6)</f>
        <v>0</v>
      </c>
      <c r="H143" s="37">
        <f t="shared" ref="H143" si="39">IF(H19=0,,H19*H81/10^6)</f>
        <v>0</v>
      </c>
      <c r="I143" s="37"/>
      <c r="J143" s="37"/>
      <c r="K143" s="37"/>
      <c r="L143" s="37"/>
      <c r="M143" s="109"/>
      <c r="N143" s="37"/>
      <c r="O143" s="37"/>
      <c r="P143" s="37"/>
      <c r="Q143" s="37"/>
      <c r="R143" s="37"/>
      <c r="S143"/>
    </row>
    <row r="144" spans="2:19">
      <c r="B144" s="134" t="str">
        <f t="shared" si="37"/>
        <v>EOM</v>
      </c>
      <c r="C144" s="132" t="str">
        <f t="shared" si="37"/>
        <v>100G-600G</v>
      </c>
      <c r="D144" s="77" t="str">
        <f t="shared" si="37"/>
        <v>25-28G</v>
      </c>
      <c r="E144" s="77" t="str">
        <f t="shared" si="37"/>
        <v>4,8,12,16,24</v>
      </c>
      <c r="F144" s="177" t="str">
        <f t="shared" si="37"/>
        <v>XCVR</v>
      </c>
      <c r="G144" s="37">
        <f>IF(G20=0,,G20*G82/10^6)</f>
        <v>24.28899961778767</v>
      </c>
      <c r="H144" s="37">
        <f t="shared" ref="H144" si="40">IF(H20=0,,H20*H82/10^6)</f>
        <v>49.480128999999998</v>
      </c>
      <c r="I144" s="37"/>
      <c r="J144" s="37"/>
      <c r="K144" s="37"/>
      <c r="L144" s="37"/>
      <c r="M144" s="109"/>
      <c r="N144" s="37"/>
      <c r="O144" s="37"/>
      <c r="P144" s="37"/>
      <c r="Q144" s="37"/>
      <c r="R144" s="37"/>
      <c r="S144"/>
    </row>
    <row r="145" spans="2:19" ht="15" customHeight="1">
      <c r="B145" s="94" t="str">
        <f t="shared" si="37"/>
        <v>EOM</v>
      </c>
      <c r="C145" s="77" t="str">
        <f t="shared" si="37"/>
        <v>300G</v>
      </c>
      <c r="D145" s="77" t="str">
        <f t="shared" si="37"/>
        <v>25-28G</v>
      </c>
      <c r="E145" s="77">
        <f t="shared" si="37"/>
        <v>12</v>
      </c>
      <c r="F145" s="96" t="str">
        <f t="shared" si="37"/>
        <v>XCVR - CXP28</v>
      </c>
      <c r="G145" s="37"/>
      <c r="H145" s="215">
        <f t="shared" ref="H145" si="41">IF(H21=0,,H21*H83/10^6)</f>
        <v>0</v>
      </c>
      <c r="I145" s="37"/>
      <c r="J145" s="37"/>
      <c r="K145" s="37"/>
      <c r="L145" s="37"/>
      <c r="M145" s="109"/>
      <c r="N145" s="37"/>
      <c r="O145" s="37"/>
      <c r="P145" s="37"/>
      <c r="Q145" s="37"/>
      <c r="R145" s="37"/>
      <c r="S145"/>
    </row>
    <row r="146" spans="2:19">
      <c r="B146" s="94" t="str">
        <f t="shared" si="37"/>
        <v>AOC</v>
      </c>
      <c r="C146" s="77" t="str">
        <f t="shared" si="37"/>
        <v>50G</v>
      </c>
      <c r="D146" s="77" t="str">
        <f t="shared" si="37"/>
        <v>50-56G</v>
      </c>
      <c r="E146" s="77">
        <f t="shared" si="37"/>
        <v>1</v>
      </c>
      <c r="F146" s="96" t="str">
        <f t="shared" si="37"/>
        <v>SFP56</v>
      </c>
      <c r="G146" s="67"/>
      <c r="H146" s="67">
        <f t="shared" ref="H146" si="42">IF(H22=0,,H22*H84/10^6)</f>
        <v>0</v>
      </c>
      <c r="I146" s="67"/>
      <c r="J146" s="67"/>
      <c r="K146" s="67"/>
      <c r="L146" s="67"/>
      <c r="M146" s="191"/>
      <c r="N146" s="67"/>
      <c r="O146" s="67"/>
      <c r="P146" s="67"/>
      <c r="Q146" s="67"/>
      <c r="R146" s="67"/>
      <c r="S146"/>
    </row>
    <row r="147" spans="2:19">
      <c r="B147" s="94" t="str">
        <f t="shared" si="37"/>
        <v>AOC</v>
      </c>
      <c r="C147" s="77" t="str">
        <f t="shared" si="37"/>
        <v>200G</v>
      </c>
      <c r="D147" s="77" t="str">
        <f t="shared" si="37"/>
        <v>50-56G</v>
      </c>
      <c r="E147" s="77">
        <f t="shared" si="37"/>
        <v>4</v>
      </c>
      <c r="F147" s="96" t="str">
        <f t="shared" si="37"/>
        <v>QSFP56</v>
      </c>
      <c r="G147" s="67"/>
      <c r="H147" s="278">
        <f t="shared" ref="H147" si="43">IF(H23=0,,H23*H85/10^6)</f>
        <v>0</v>
      </c>
      <c r="I147" s="67"/>
      <c r="J147" s="67"/>
      <c r="K147" s="67"/>
      <c r="L147" s="67"/>
      <c r="M147" s="191"/>
      <c r="N147" s="67"/>
      <c r="O147" s="67"/>
      <c r="P147" s="67"/>
      <c r="Q147" s="67"/>
      <c r="R147" s="67"/>
      <c r="S147"/>
    </row>
    <row r="148" spans="2:19">
      <c r="B148" s="94" t="str">
        <f t="shared" si="37"/>
        <v>EOM</v>
      </c>
      <c r="C148" s="77" t="str">
        <f t="shared" si="37"/>
        <v>200G - 3.2T</v>
      </c>
      <c r="D148" s="77" t="str">
        <f t="shared" si="37"/>
        <v>50-56G, 100G</v>
      </c>
      <c r="E148" s="77" t="str">
        <f t="shared" si="37"/>
        <v>8,12,16,24</v>
      </c>
      <c r="F148" s="96" t="str">
        <f t="shared" si="37"/>
        <v>TBD</v>
      </c>
      <c r="G148" s="67"/>
      <c r="H148" s="67"/>
      <c r="I148" s="67"/>
      <c r="J148" s="67"/>
      <c r="K148" s="67"/>
      <c r="L148" s="67"/>
      <c r="M148" s="191"/>
      <c r="N148" s="67"/>
      <c r="O148" s="67"/>
      <c r="P148" s="67"/>
      <c r="Q148" s="67"/>
      <c r="R148" s="67"/>
      <c r="S148"/>
    </row>
    <row r="149" spans="2:19">
      <c r="B149" s="94" t="str">
        <f t="shared" si="37"/>
        <v>AOC</v>
      </c>
      <c r="C149" s="77" t="str">
        <f t="shared" si="37"/>
        <v>400G, 2x200G</v>
      </c>
      <c r="D149" s="77" t="str">
        <f t="shared" si="37"/>
        <v>50-56G, 100G</v>
      </c>
      <c r="E149" s="77" t="str">
        <f t="shared" si="37"/>
        <v>4 or 8</v>
      </c>
      <c r="F149" s="96" t="str">
        <f t="shared" si="37"/>
        <v>QSFP-DD, OSFP, QSFP112</v>
      </c>
      <c r="G149" s="37"/>
      <c r="H149" s="37"/>
      <c r="I149" s="37"/>
      <c r="J149" s="37"/>
      <c r="K149" s="37"/>
      <c r="L149" s="37"/>
      <c r="M149" s="109"/>
      <c r="N149" s="37"/>
      <c r="O149" s="37"/>
      <c r="P149" s="37"/>
      <c r="Q149" s="37"/>
      <c r="R149" s="37"/>
      <c r="S149"/>
    </row>
    <row r="150" spans="2:19">
      <c r="B150" s="94" t="str">
        <f t="shared" si="37"/>
        <v>AOC</v>
      </c>
      <c r="C150" s="77" t="str">
        <f t="shared" si="37"/>
        <v>400G, 2x200G</v>
      </c>
      <c r="D150" s="77" t="str">
        <f t="shared" si="37"/>
        <v>50-56G, 100G</v>
      </c>
      <c r="E150" s="77" t="str">
        <f t="shared" si="37"/>
        <v>4:1 or 8:1</v>
      </c>
      <c r="F150" s="96" t="str">
        <f t="shared" si="37"/>
        <v>QSFP-DD, OSFP, QSFP112</v>
      </c>
      <c r="G150" s="37"/>
      <c r="H150" s="37"/>
      <c r="I150" s="37"/>
      <c r="J150" s="37"/>
      <c r="K150" s="37"/>
      <c r="L150" s="37"/>
      <c r="M150" s="109"/>
      <c r="N150" s="37"/>
      <c r="O150" s="37"/>
      <c r="P150" s="37"/>
      <c r="Q150" s="37"/>
      <c r="R150" s="37"/>
      <c r="S150"/>
    </row>
    <row r="151" spans="2:19">
      <c r="B151" s="94" t="str">
        <f t="shared" si="37"/>
        <v>AOC</v>
      </c>
      <c r="C151" s="77" t="str">
        <f t="shared" si="37"/>
        <v>800G</v>
      </c>
      <c r="D151" s="77" t="str">
        <f t="shared" si="37"/>
        <v>100G</v>
      </c>
      <c r="E151" s="77" t="str">
        <f t="shared" si="37"/>
        <v>8:1</v>
      </c>
      <c r="F151" s="96" t="str">
        <f t="shared" si="37"/>
        <v xml:space="preserve">QSFP-DD800, OSFP </v>
      </c>
      <c r="G151" s="67"/>
      <c r="H151" s="67"/>
      <c r="I151" s="67"/>
      <c r="J151" s="67"/>
      <c r="K151" s="67"/>
      <c r="L151" s="67"/>
      <c r="M151" s="191"/>
      <c r="N151" s="67"/>
      <c r="O151" s="67"/>
      <c r="P151" s="67"/>
      <c r="Q151" s="67"/>
      <c r="R151" s="67"/>
      <c r="S151"/>
    </row>
    <row r="152" spans="2:19">
      <c r="B152" s="94" t="str">
        <f t="shared" ref="B152:F161" si="44">B28</f>
        <v>AOC</v>
      </c>
      <c r="C152" s="77" t="str">
        <f t="shared" si="44"/>
        <v>1.6T</v>
      </c>
      <c r="D152" s="77" t="str">
        <f t="shared" si="44"/>
        <v>100G</v>
      </c>
      <c r="E152" s="77">
        <f t="shared" si="44"/>
        <v>16</v>
      </c>
      <c r="F152" s="96" t="str">
        <f t="shared" si="44"/>
        <v>OSFP-XD</v>
      </c>
      <c r="G152" s="67"/>
      <c r="H152" s="67"/>
      <c r="I152" s="67"/>
      <c r="J152" s="67"/>
      <c r="K152" s="67"/>
      <c r="L152" s="67"/>
      <c r="M152" s="191"/>
      <c r="N152" s="67"/>
      <c r="O152" s="67"/>
      <c r="P152" s="67"/>
      <c r="Q152" s="67"/>
      <c r="R152" s="67"/>
      <c r="S152"/>
    </row>
    <row r="153" spans="2:19">
      <c r="B153" s="311" t="str">
        <f t="shared" si="44"/>
        <v>CPO</v>
      </c>
      <c r="C153" s="312" t="str">
        <f t="shared" si="44"/>
        <v>800G</v>
      </c>
      <c r="D153" s="312" t="str">
        <f t="shared" si="44"/>
        <v>100G</v>
      </c>
      <c r="E153" s="312" t="str">
        <f t="shared" si="44"/>
        <v>30m</v>
      </c>
      <c r="F153" s="313" t="str">
        <f t="shared" si="44"/>
        <v>TBD</v>
      </c>
      <c r="G153" s="239"/>
      <c r="H153" s="238"/>
      <c r="I153" s="238"/>
      <c r="J153" s="238"/>
      <c r="K153" s="238"/>
      <c r="L153" s="238"/>
      <c r="M153" s="419"/>
      <c r="N153" s="238"/>
      <c r="O153" s="238"/>
      <c r="P153" s="238"/>
      <c r="Q153" s="238"/>
      <c r="R153" s="238"/>
      <c r="S153"/>
    </row>
    <row r="154" spans="2:19">
      <c r="B154" s="94" t="str">
        <f t="shared" si="44"/>
        <v>CPO</v>
      </c>
      <c r="C154" s="77" t="str">
        <f t="shared" si="44"/>
        <v>800G</v>
      </c>
      <c r="D154" s="77" t="str">
        <f t="shared" si="44"/>
        <v>100G</v>
      </c>
      <c r="E154" s="77" t="str">
        <f t="shared" si="44"/>
        <v>100 m</v>
      </c>
      <c r="F154" s="96" t="str">
        <f t="shared" si="44"/>
        <v>TBD</v>
      </c>
      <c r="G154" s="67"/>
      <c r="H154" s="67"/>
      <c r="I154" s="67"/>
      <c r="J154" s="67"/>
      <c r="K154" s="67"/>
      <c r="L154" s="67"/>
      <c r="M154" s="191"/>
      <c r="N154" s="67"/>
      <c r="O154" s="67"/>
      <c r="P154" s="67"/>
      <c r="Q154" s="37"/>
      <c r="R154" s="37"/>
      <c r="S154"/>
    </row>
    <row r="155" spans="2:19">
      <c r="B155" s="94" t="str">
        <f t="shared" si="44"/>
        <v>CPO</v>
      </c>
      <c r="C155" s="77" t="str">
        <f t="shared" si="44"/>
        <v>800G</v>
      </c>
      <c r="D155" s="77" t="str">
        <f t="shared" si="44"/>
        <v>100G</v>
      </c>
      <c r="E155" s="77" t="str">
        <f t="shared" si="44"/>
        <v>500 m</v>
      </c>
      <c r="F155" s="96" t="str">
        <f t="shared" si="44"/>
        <v>TBD</v>
      </c>
      <c r="G155" s="67"/>
      <c r="H155" s="67"/>
      <c r="I155" s="67"/>
      <c r="J155" s="67"/>
      <c r="K155" s="67"/>
      <c r="L155" s="67"/>
      <c r="M155" s="191"/>
      <c r="N155" s="67"/>
      <c r="O155" s="67"/>
      <c r="P155" s="67"/>
      <c r="Q155" s="37"/>
      <c r="R155" s="37"/>
      <c r="S155"/>
    </row>
    <row r="156" spans="2:19">
      <c r="B156" s="94" t="str">
        <f t="shared" si="44"/>
        <v>CPO</v>
      </c>
      <c r="C156" s="77" t="str">
        <f t="shared" si="44"/>
        <v>800G</v>
      </c>
      <c r="D156" s="77" t="str">
        <f t="shared" si="44"/>
        <v>100G</v>
      </c>
      <c r="E156" s="77" t="str">
        <f t="shared" si="44"/>
        <v>2 km</v>
      </c>
      <c r="F156" s="96" t="str">
        <f t="shared" si="44"/>
        <v>TBD</v>
      </c>
      <c r="G156" s="67"/>
      <c r="H156" s="67"/>
      <c r="I156" s="67"/>
      <c r="J156" s="67"/>
      <c r="K156" s="67"/>
      <c r="L156" s="67"/>
      <c r="M156" s="191"/>
      <c r="N156" s="67"/>
      <c r="O156" s="67"/>
      <c r="P156" s="67"/>
      <c r="Q156" s="37"/>
      <c r="R156" s="37"/>
      <c r="S156"/>
    </row>
    <row r="157" spans="2:19">
      <c r="B157" s="94" t="str">
        <f t="shared" si="44"/>
        <v>CPO</v>
      </c>
      <c r="C157" s="77" t="str">
        <f t="shared" si="44"/>
        <v>800G</v>
      </c>
      <c r="D157" s="77" t="str">
        <f t="shared" si="44"/>
        <v>100G</v>
      </c>
      <c r="E157" s="77" t="str">
        <f t="shared" si="44"/>
        <v>10 km</v>
      </c>
      <c r="F157" s="96" t="str">
        <f t="shared" si="44"/>
        <v>TBD</v>
      </c>
      <c r="G157" s="67"/>
      <c r="H157" s="67"/>
      <c r="I157" s="67"/>
      <c r="J157" s="67"/>
      <c r="K157" s="67"/>
      <c r="L157" s="67"/>
      <c r="M157" s="67"/>
      <c r="N157" s="67"/>
      <c r="O157" s="67"/>
      <c r="P157" s="67"/>
      <c r="Q157" s="37"/>
      <c r="R157" s="37"/>
      <c r="S157"/>
    </row>
    <row r="158" spans="2:19">
      <c r="B158" s="94" t="str">
        <f t="shared" si="44"/>
        <v>CPO</v>
      </c>
      <c r="C158" s="77" t="str">
        <f t="shared" si="44"/>
        <v>1.6T</v>
      </c>
      <c r="D158" s="77" t="str">
        <f t="shared" si="44"/>
        <v>100G</v>
      </c>
      <c r="E158" s="77" t="str">
        <f t="shared" si="44"/>
        <v>30m</v>
      </c>
      <c r="F158" s="96" t="str">
        <f t="shared" si="44"/>
        <v>TBD</v>
      </c>
      <c r="G158" s="67"/>
      <c r="H158" s="67"/>
      <c r="I158" s="67"/>
      <c r="J158" s="67"/>
      <c r="K158" s="67"/>
      <c r="L158" s="67"/>
      <c r="M158" s="67"/>
      <c r="N158" s="67"/>
      <c r="O158" s="67"/>
      <c r="P158" s="67"/>
      <c r="Q158" s="37"/>
      <c r="R158" s="37"/>
      <c r="S158"/>
    </row>
    <row r="159" spans="2:19">
      <c r="B159" s="94" t="str">
        <f t="shared" si="44"/>
        <v>CPO</v>
      </c>
      <c r="C159" s="77" t="str">
        <f t="shared" si="44"/>
        <v>1.6T</v>
      </c>
      <c r="D159" s="77" t="str">
        <f t="shared" si="44"/>
        <v>100G</v>
      </c>
      <c r="E159" s="77" t="str">
        <f t="shared" si="44"/>
        <v>100 m</v>
      </c>
      <c r="F159" s="96" t="str">
        <f t="shared" si="44"/>
        <v>TBD</v>
      </c>
      <c r="G159" s="67"/>
      <c r="H159" s="67"/>
      <c r="I159" s="67"/>
      <c r="J159" s="67"/>
      <c r="K159" s="67"/>
      <c r="L159" s="67"/>
      <c r="M159" s="67"/>
      <c r="N159" s="67"/>
      <c r="O159" s="67"/>
      <c r="P159" s="67"/>
      <c r="Q159" s="37"/>
      <c r="R159" s="37"/>
      <c r="S159"/>
    </row>
    <row r="160" spans="2:19">
      <c r="B160" s="94" t="str">
        <f t="shared" si="44"/>
        <v>CPO</v>
      </c>
      <c r="C160" s="77" t="str">
        <f t="shared" si="44"/>
        <v>1.6T</v>
      </c>
      <c r="D160" s="77" t="str">
        <f t="shared" si="44"/>
        <v>100G</v>
      </c>
      <c r="E160" s="77" t="str">
        <f t="shared" si="44"/>
        <v>500 m</v>
      </c>
      <c r="F160" s="96" t="str">
        <f t="shared" si="44"/>
        <v>TBD</v>
      </c>
      <c r="G160" s="67"/>
      <c r="H160" s="67"/>
      <c r="I160" s="67"/>
      <c r="J160" s="67"/>
      <c r="K160" s="67"/>
      <c r="L160" s="67"/>
      <c r="M160" s="67"/>
      <c r="N160" s="67"/>
      <c r="O160" s="67"/>
      <c r="P160" s="67"/>
      <c r="Q160" s="37"/>
      <c r="R160" s="37"/>
      <c r="S160"/>
    </row>
    <row r="161" spans="1:20">
      <c r="B161" s="94" t="str">
        <f t="shared" si="44"/>
        <v>CPO</v>
      </c>
      <c r="C161" s="77" t="str">
        <f t="shared" si="44"/>
        <v>1.6T</v>
      </c>
      <c r="D161" s="77" t="str">
        <f t="shared" si="44"/>
        <v>100G</v>
      </c>
      <c r="E161" s="77" t="str">
        <f t="shared" si="44"/>
        <v>2 km</v>
      </c>
      <c r="F161" s="96" t="str">
        <f t="shared" si="44"/>
        <v>TBD</v>
      </c>
      <c r="G161" s="67"/>
      <c r="H161" s="67"/>
      <c r="I161" s="67"/>
      <c r="J161" s="67"/>
      <c r="K161" s="67"/>
      <c r="L161" s="67"/>
      <c r="M161" s="67"/>
      <c r="N161" s="67"/>
      <c r="O161" s="67"/>
      <c r="P161" s="67"/>
      <c r="Q161" s="37"/>
      <c r="R161" s="37"/>
      <c r="S161"/>
    </row>
    <row r="162" spans="1:20">
      <c r="B162" s="97" t="str">
        <f t="shared" ref="B162:F162" si="45">B38</f>
        <v>CPO</v>
      </c>
      <c r="C162" s="78" t="str">
        <f t="shared" si="45"/>
        <v>1.6T</v>
      </c>
      <c r="D162" s="78" t="str">
        <f t="shared" si="45"/>
        <v>100G</v>
      </c>
      <c r="E162" s="78" t="str">
        <f t="shared" si="45"/>
        <v>10 km</v>
      </c>
      <c r="F162" s="142" t="str">
        <f t="shared" si="45"/>
        <v>TBD</v>
      </c>
      <c r="G162" s="68"/>
      <c r="H162" s="68"/>
      <c r="I162" s="68"/>
      <c r="J162" s="68"/>
      <c r="K162" s="68"/>
      <c r="L162" s="68"/>
      <c r="M162" s="68"/>
      <c r="N162" s="68"/>
      <c r="O162" s="68"/>
      <c r="P162" s="68"/>
      <c r="Q162" s="99"/>
      <c r="R162" s="99"/>
      <c r="S162"/>
    </row>
    <row r="163" spans="1:20">
      <c r="B163" s="433" t="str">
        <f t="shared" ref="B163:B181" si="46">B39</f>
        <v>External laser module (Comb) -LP</v>
      </c>
      <c r="C163" s="82"/>
      <c r="D163" s="82"/>
      <c r="E163" s="82"/>
      <c r="F163" s="95"/>
      <c r="G163" s="120"/>
      <c r="H163" s="120"/>
      <c r="I163" s="120"/>
      <c r="J163" s="120"/>
      <c r="K163" s="120"/>
      <c r="L163" s="120"/>
      <c r="M163" s="120"/>
      <c r="N163" s="120"/>
      <c r="O163" s="120"/>
      <c r="P163" s="120"/>
      <c r="Q163" s="26"/>
      <c r="R163" s="26"/>
      <c r="S163"/>
    </row>
    <row r="164" spans="1:20">
      <c r="B164" s="430" t="str">
        <f t="shared" si="46"/>
        <v>External laser module (Comb) - HP</v>
      </c>
      <c r="C164" s="77"/>
      <c r="D164" s="77"/>
      <c r="E164" s="77"/>
      <c r="F164" s="96"/>
      <c r="G164" s="67"/>
      <c r="H164" s="67"/>
      <c r="I164" s="67"/>
      <c r="J164" s="67"/>
      <c r="K164" s="67"/>
      <c r="L164" s="67"/>
      <c r="M164" s="67"/>
      <c r="N164" s="67"/>
      <c r="O164" s="67"/>
      <c r="P164" s="67"/>
      <c r="Q164" s="37"/>
      <c r="R164" s="37"/>
      <c r="S164"/>
    </row>
    <row r="165" spans="1:20">
      <c r="B165" s="430" t="str">
        <f t="shared" si="46"/>
        <v>External laser module (4xDR4)</v>
      </c>
      <c r="C165" s="77"/>
      <c r="D165" s="77"/>
      <c r="E165" s="77"/>
      <c r="F165" s="96"/>
      <c r="G165" s="67"/>
      <c r="H165" s="67"/>
      <c r="I165" s="67"/>
      <c r="J165" s="67"/>
      <c r="K165" s="67"/>
      <c r="L165" s="67"/>
      <c r="M165" s="67"/>
      <c r="N165" s="67"/>
      <c r="O165" s="67"/>
      <c r="P165" s="67"/>
      <c r="Q165" s="37"/>
      <c r="R165" s="37"/>
      <c r="S165"/>
    </row>
    <row r="166" spans="1:20">
      <c r="B166" s="432" t="str">
        <f t="shared" si="46"/>
        <v>External laser module (4xFR4)</v>
      </c>
      <c r="C166" s="78"/>
      <c r="D166" s="78"/>
      <c r="E166" s="78"/>
      <c r="F166" s="142"/>
      <c r="G166" s="68"/>
      <c r="H166" s="68"/>
      <c r="I166" s="68"/>
      <c r="J166" s="68"/>
      <c r="K166" s="68"/>
      <c r="L166" s="68"/>
      <c r="M166" s="68"/>
      <c r="N166" s="68"/>
      <c r="O166" s="68"/>
      <c r="P166" s="68"/>
      <c r="Q166" s="99"/>
      <c r="R166" s="99"/>
      <c r="S166"/>
    </row>
    <row r="167" spans="1:20" customFormat="1">
      <c r="A167" s="8"/>
      <c r="B167" s="130" t="str">
        <f t="shared" si="46"/>
        <v>DAC</v>
      </c>
      <c r="C167" s="127" t="str">
        <f t="shared" ref="C167:F181" si="47">C43</f>
        <v>10G</v>
      </c>
      <c r="D167" s="127" t="str">
        <f t="shared" si="47"/>
        <v>TBD</v>
      </c>
      <c r="E167" s="127" t="str">
        <f t="shared" si="47"/>
        <v>30m</v>
      </c>
      <c r="F167" s="128" t="str">
        <f t="shared" si="47"/>
        <v>SFP</v>
      </c>
      <c r="G167" s="278">
        <f>'Copper cable forecast'!C58</f>
        <v>70.673932160447592</v>
      </c>
      <c r="H167" s="278">
        <f>'Copper cable forecast'!D58</f>
        <v>51.579628705502515</v>
      </c>
      <c r="I167" s="278"/>
      <c r="J167" s="278"/>
      <c r="K167" s="278"/>
      <c r="L167" s="278"/>
      <c r="M167" s="278"/>
      <c r="N167" s="278"/>
      <c r="O167" s="278"/>
      <c r="P167" s="278"/>
      <c r="Q167" s="278"/>
      <c r="R167" s="278"/>
      <c r="T167" s="8"/>
    </row>
    <row r="168" spans="1:20" customFormat="1">
      <c r="A168" s="8"/>
      <c r="B168" s="130" t="str">
        <f t="shared" si="46"/>
        <v>DAC</v>
      </c>
      <c r="C168" s="127" t="str">
        <f t="shared" si="47"/>
        <v>25G</v>
      </c>
      <c r="D168" s="127" t="str">
        <f t="shared" si="47"/>
        <v>TBD</v>
      </c>
      <c r="E168" s="127" t="str">
        <f t="shared" si="47"/>
        <v>30m</v>
      </c>
      <c r="F168" s="128" t="str">
        <f t="shared" si="47"/>
        <v>SFP+</v>
      </c>
      <c r="G168" s="278">
        <f>'Copper cable forecast'!C59</f>
        <v>37.52837550000001</v>
      </c>
      <c r="H168" s="278">
        <f>'Copper cable forecast'!D59</f>
        <v>57.626435004851608</v>
      </c>
      <c r="I168" s="278"/>
      <c r="J168" s="278"/>
      <c r="K168" s="278"/>
      <c r="L168" s="278"/>
      <c r="M168" s="278"/>
      <c r="N168" s="278"/>
      <c r="O168" s="278"/>
      <c r="P168" s="278"/>
      <c r="Q168" s="278"/>
      <c r="R168" s="278"/>
      <c r="T168" s="8"/>
    </row>
    <row r="169" spans="1:20" customFormat="1">
      <c r="A169" s="8"/>
      <c r="B169" s="130" t="str">
        <f t="shared" si="46"/>
        <v>DAC</v>
      </c>
      <c r="C169" s="127" t="str">
        <f t="shared" si="47"/>
        <v>40G</v>
      </c>
      <c r="D169" s="127" t="str">
        <f t="shared" si="47"/>
        <v>10G</v>
      </c>
      <c r="E169" s="127" t="str">
        <f t="shared" si="47"/>
        <v>30m</v>
      </c>
      <c r="F169" s="128" t="str">
        <f t="shared" si="47"/>
        <v>QSFP</v>
      </c>
      <c r="G169" s="278">
        <f>'Copper cable forecast'!C60</f>
        <v>102.17953707392044</v>
      </c>
      <c r="H169" s="278">
        <f>'Copper cable forecast'!D60</f>
        <v>72.516352540852367</v>
      </c>
      <c r="I169" s="278"/>
      <c r="J169" s="278"/>
      <c r="K169" s="278"/>
      <c r="L169" s="278"/>
      <c r="M169" s="278"/>
      <c r="N169" s="278"/>
      <c r="O169" s="278"/>
      <c r="P169" s="278"/>
      <c r="Q169" s="278"/>
      <c r="R169" s="278"/>
      <c r="T169" s="8"/>
    </row>
    <row r="170" spans="1:20" customFormat="1">
      <c r="A170" s="8"/>
      <c r="B170" s="130" t="str">
        <f t="shared" si="46"/>
        <v>DAC</v>
      </c>
      <c r="C170" s="127" t="str">
        <f t="shared" si="47"/>
        <v>56G</v>
      </c>
      <c r="D170" s="127" t="str">
        <f t="shared" si="47"/>
        <v>14G</v>
      </c>
      <c r="E170" s="127" t="str">
        <f t="shared" si="47"/>
        <v>30m</v>
      </c>
      <c r="F170" s="128" t="str">
        <f t="shared" si="47"/>
        <v>QSFP</v>
      </c>
      <c r="G170" s="278">
        <f>'Copper cable forecast'!C61</f>
        <v>27.198075903832958</v>
      </c>
      <c r="H170" s="278">
        <f>'Copper cable forecast'!D61</f>
        <v>24.775568635814039</v>
      </c>
      <c r="I170" s="278"/>
      <c r="J170" s="278"/>
      <c r="K170" s="278"/>
      <c r="L170" s="278"/>
      <c r="M170" s="278"/>
      <c r="N170" s="278"/>
      <c r="O170" s="278"/>
      <c r="P170" s="278"/>
      <c r="Q170" s="278"/>
      <c r="R170" s="278"/>
      <c r="T170" s="8"/>
    </row>
    <row r="171" spans="1:20" customFormat="1">
      <c r="A171" s="8"/>
      <c r="B171" s="130" t="str">
        <f t="shared" si="46"/>
        <v>Active Cu</v>
      </c>
      <c r="C171" s="127" t="str">
        <f t="shared" si="47"/>
        <v>100G</v>
      </c>
      <c r="D171" s="127" t="str">
        <f t="shared" si="47"/>
        <v>TBD</v>
      </c>
      <c r="E171" s="127" t="str">
        <f t="shared" si="47"/>
        <v>30m</v>
      </c>
      <c r="F171" s="128" t="str">
        <f t="shared" si="47"/>
        <v>QSFP28</v>
      </c>
      <c r="G171" s="278">
        <f>'Copper cable forecast'!C62</f>
        <v>4.688966591999999</v>
      </c>
      <c r="H171" s="278">
        <f>'Copper cable forecast'!D62</f>
        <v>7.577766700799998</v>
      </c>
      <c r="I171" s="278"/>
      <c r="J171" s="278"/>
      <c r="K171" s="278"/>
      <c r="L171" s="278"/>
      <c r="M171" s="278"/>
      <c r="N171" s="278"/>
      <c r="O171" s="278"/>
      <c r="P171" s="278"/>
      <c r="Q171" s="278"/>
      <c r="R171" s="278"/>
      <c r="T171" s="8"/>
    </row>
    <row r="172" spans="1:20" customFormat="1">
      <c r="A172" s="8"/>
      <c r="B172" s="130" t="str">
        <f t="shared" si="46"/>
        <v>DAC</v>
      </c>
      <c r="C172" s="127" t="str">
        <f t="shared" si="47"/>
        <v>100G</v>
      </c>
      <c r="D172" s="127" t="str">
        <f t="shared" si="47"/>
        <v>TBD</v>
      </c>
      <c r="E172" s="127" t="str">
        <f t="shared" si="47"/>
        <v>30m</v>
      </c>
      <c r="F172" s="128" t="str">
        <f t="shared" si="47"/>
        <v>QSFP28</v>
      </c>
      <c r="G172" s="278">
        <f>'Copper cable forecast'!C63</f>
        <v>28.13379955200001</v>
      </c>
      <c r="H172" s="278">
        <f>'Copper cable forecast'!D63</f>
        <v>45.46660020480001</v>
      </c>
      <c r="I172" s="278"/>
      <c r="J172" s="278"/>
      <c r="K172" s="278"/>
      <c r="L172" s="278"/>
      <c r="M172" s="278"/>
      <c r="N172" s="278"/>
      <c r="O172" s="278"/>
      <c r="P172" s="278"/>
      <c r="Q172" s="278"/>
      <c r="R172" s="278"/>
      <c r="T172" s="8"/>
    </row>
    <row r="173" spans="1:20" customFormat="1">
      <c r="A173" s="8"/>
      <c r="B173" s="130" t="str">
        <f t="shared" si="46"/>
        <v>Active Cu</v>
      </c>
      <c r="C173" s="127" t="str">
        <f t="shared" si="47"/>
        <v>200G</v>
      </c>
      <c r="D173" s="127" t="str">
        <f t="shared" si="47"/>
        <v>TBD</v>
      </c>
      <c r="E173" s="127" t="str">
        <f t="shared" si="47"/>
        <v>30m</v>
      </c>
      <c r="F173" s="128" t="str">
        <f t="shared" si="47"/>
        <v>QSFP56</v>
      </c>
      <c r="G173" s="278">
        <f>'Copper cable forecast'!C64</f>
        <v>0</v>
      </c>
      <c r="H173" s="278">
        <f>'Copper cable forecast'!D64</f>
        <v>0</v>
      </c>
      <c r="I173" s="278"/>
      <c r="J173" s="278"/>
      <c r="K173" s="278"/>
      <c r="L173" s="278"/>
      <c r="M173" s="278"/>
      <c r="N173" s="278"/>
      <c r="O173" s="278"/>
      <c r="P173" s="278"/>
      <c r="Q173" s="278"/>
      <c r="R173" s="278"/>
      <c r="T173" s="8"/>
    </row>
    <row r="174" spans="1:20" customFormat="1">
      <c r="A174" s="8"/>
      <c r="B174" s="130" t="str">
        <f t="shared" si="46"/>
        <v>DAC</v>
      </c>
      <c r="C174" s="127" t="str">
        <f t="shared" si="47"/>
        <v>200G</v>
      </c>
      <c r="D174" s="127" t="str">
        <f t="shared" si="47"/>
        <v>TBD</v>
      </c>
      <c r="E174" s="127" t="str">
        <f t="shared" si="47"/>
        <v>30m</v>
      </c>
      <c r="F174" s="128" t="str">
        <f t="shared" si="47"/>
        <v>QSFP56</v>
      </c>
      <c r="G174" s="278">
        <f>'Copper cable forecast'!C65</f>
        <v>0</v>
      </c>
      <c r="H174" s="278">
        <f>'Copper cable forecast'!D65</f>
        <v>0</v>
      </c>
      <c r="I174" s="278"/>
      <c r="J174" s="278"/>
      <c r="K174" s="278"/>
      <c r="L174" s="278"/>
      <c r="M174" s="278"/>
      <c r="N174" s="278"/>
      <c r="O174" s="278"/>
      <c r="P174" s="278"/>
      <c r="Q174" s="278"/>
      <c r="R174" s="278"/>
      <c r="T174" s="8"/>
    </row>
    <row r="175" spans="1:20" customFormat="1">
      <c r="A175" s="8"/>
      <c r="B175" s="130" t="str">
        <f t="shared" si="46"/>
        <v>Active Cu</v>
      </c>
      <c r="C175" s="127" t="str">
        <f t="shared" si="47"/>
        <v>400G</v>
      </c>
      <c r="D175" s="127" t="str">
        <f t="shared" si="47"/>
        <v>TBD</v>
      </c>
      <c r="E175" s="127" t="str">
        <f t="shared" si="47"/>
        <v>30m</v>
      </c>
      <c r="F175" s="128" t="str">
        <f t="shared" si="47"/>
        <v>TBD</v>
      </c>
      <c r="G175" s="278">
        <f>'Copper cable forecast'!C66</f>
        <v>0</v>
      </c>
      <c r="H175" s="278">
        <f>'Copper cable forecast'!D66</f>
        <v>0</v>
      </c>
      <c r="I175" s="278"/>
      <c r="J175" s="278"/>
      <c r="K175" s="278"/>
      <c r="L175" s="278"/>
      <c r="M175" s="278"/>
      <c r="N175" s="278"/>
      <c r="O175" s="278"/>
      <c r="P175" s="278"/>
      <c r="Q175" s="278"/>
      <c r="R175" s="278"/>
      <c r="T175" s="8"/>
    </row>
    <row r="176" spans="1:20" customFormat="1">
      <c r="A176" s="8"/>
      <c r="B176" s="130" t="str">
        <f t="shared" si="46"/>
        <v>DAC</v>
      </c>
      <c r="C176" s="127" t="str">
        <f t="shared" si="47"/>
        <v>400G</v>
      </c>
      <c r="D176" s="127" t="str">
        <f t="shared" si="47"/>
        <v>TBD</v>
      </c>
      <c r="E176" s="127" t="str">
        <f t="shared" si="47"/>
        <v>30m</v>
      </c>
      <c r="F176" s="128" t="str">
        <f t="shared" si="47"/>
        <v>TBD</v>
      </c>
      <c r="G176" s="278">
        <f>'Copper cable forecast'!C67</f>
        <v>0</v>
      </c>
      <c r="H176" s="278">
        <f>'Copper cable forecast'!D67</f>
        <v>0</v>
      </c>
      <c r="I176" s="278"/>
      <c r="J176" s="278"/>
      <c r="K176" s="278"/>
      <c r="L176" s="278"/>
      <c r="M176" s="278"/>
      <c r="N176" s="278"/>
      <c r="O176" s="278"/>
      <c r="P176" s="278"/>
      <c r="Q176" s="278"/>
      <c r="R176" s="278"/>
      <c r="T176" s="8"/>
    </row>
    <row r="177" spans="1:20" customFormat="1">
      <c r="A177" s="8"/>
      <c r="B177" s="130" t="str">
        <f t="shared" si="46"/>
        <v>Active Cu</v>
      </c>
      <c r="C177" s="127" t="str">
        <f t="shared" si="47"/>
        <v>800G</v>
      </c>
      <c r="D177" s="127" t="str">
        <f t="shared" si="47"/>
        <v>TBD</v>
      </c>
      <c r="E177" s="127" t="str">
        <f t="shared" si="47"/>
        <v>30m</v>
      </c>
      <c r="F177" s="128" t="str">
        <f t="shared" si="47"/>
        <v>TBD</v>
      </c>
      <c r="G177" s="278">
        <f>'Copper cable forecast'!C68</f>
        <v>0</v>
      </c>
      <c r="H177" s="278">
        <f>'Copper cable forecast'!D68</f>
        <v>0</v>
      </c>
      <c r="I177" s="278"/>
      <c r="J177" s="278"/>
      <c r="K177" s="278"/>
      <c r="L177" s="278"/>
      <c r="M177" s="278"/>
      <c r="N177" s="278"/>
      <c r="O177" s="278"/>
      <c r="P177" s="278"/>
      <c r="Q177" s="278"/>
      <c r="R177" s="278"/>
      <c r="T177" s="8"/>
    </row>
    <row r="178" spans="1:20" customFormat="1">
      <c r="A178" s="8"/>
      <c r="B178" s="130" t="str">
        <f t="shared" si="46"/>
        <v>DAC</v>
      </c>
      <c r="C178" s="127" t="str">
        <f t="shared" si="47"/>
        <v>800G</v>
      </c>
      <c r="D178" s="127" t="str">
        <f t="shared" si="47"/>
        <v>TBD</v>
      </c>
      <c r="E178" s="127" t="str">
        <f t="shared" si="47"/>
        <v>30m</v>
      </c>
      <c r="F178" s="128" t="str">
        <f t="shared" si="47"/>
        <v>TBD</v>
      </c>
      <c r="G178" s="278">
        <f>'Copper cable forecast'!C69</f>
        <v>0</v>
      </c>
      <c r="H178" s="278">
        <f>'Copper cable forecast'!D69</f>
        <v>0</v>
      </c>
      <c r="I178" s="278"/>
      <c r="J178" s="278"/>
      <c r="K178" s="278"/>
      <c r="L178" s="278"/>
      <c r="M178" s="278"/>
      <c r="N178" s="278"/>
      <c r="O178" s="278"/>
      <c r="P178" s="278"/>
      <c r="Q178" s="278"/>
      <c r="R178" s="278"/>
      <c r="T178" s="8"/>
    </row>
    <row r="179" spans="1:20" customFormat="1">
      <c r="A179" s="8"/>
      <c r="B179" s="130" t="str">
        <f t="shared" si="46"/>
        <v>Active Cu</v>
      </c>
      <c r="C179" s="127" t="str">
        <f t="shared" si="47"/>
        <v>1.6 Tbps</v>
      </c>
      <c r="D179" s="127" t="str">
        <f t="shared" si="47"/>
        <v>TBD</v>
      </c>
      <c r="E179" s="127" t="str">
        <f t="shared" si="47"/>
        <v>30m</v>
      </c>
      <c r="F179" s="128" t="str">
        <f t="shared" si="47"/>
        <v>TBD</v>
      </c>
      <c r="G179" s="278">
        <f>'Copper cable forecast'!C70</f>
        <v>0</v>
      </c>
      <c r="H179" s="278">
        <f>'Copper cable forecast'!D70</f>
        <v>0</v>
      </c>
      <c r="I179" s="278"/>
      <c r="J179" s="278"/>
      <c r="K179" s="278"/>
      <c r="L179" s="278"/>
      <c r="M179" s="278"/>
      <c r="N179" s="278"/>
      <c r="O179" s="278"/>
      <c r="P179" s="278"/>
      <c r="Q179" s="278"/>
      <c r="R179" s="278"/>
      <c r="T179" s="8"/>
    </row>
    <row r="180" spans="1:20" customFormat="1">
      <c r="A180" s="8"/>
      <c r="B180" s="130" t="str">
        <f t="shared" si="46"/>
        <v>DAC</v>
      </c>
      <c r="C180" s="374" t="str">
        <f t="shared" si="47"/>
        <v>1.6 Tbps</v>
      </c>
      <c r="D180" s="127" t="str">
        <f t="shared" si="47"/>
        <v>TBD</v>
      </c>
      <c r="E180" s="127" t="str">
        <f t="shared" si="47"/>
        <v>30m</v>
      </c>
      <c r="F180" s="128" t="str">
        <f t="shared" si="47"/>
        <v>TBD</v>
      </c>
      <c r="G180" s="278">
        <f>'Copper cable forecast'!C71</f>
        <v>0</v>
      </c>
      <c r="H180" s="278">
        <f>'Copper cable forecast'!D71</f>
        <v>0</v>
      </c>
      <c r="I180" s="278"/>
      <c r="J180" s="278"/>
      <c r="K180" s="278"/>
      <c r="L180" s="278"/>
      <c r="M180" s="278"/>
      <c r="N180" s="278"/>
      <c r="O180" s="278"/>
      <c r="P180" s="278"/>
      <c r="Q180" s="278"/>
      <c r="R180" s="278"/>
      <c r="T180" s="8"/>
    </row>
    <row r="181" spans="1:20">
      <c r="B181" s="148" t="str">
        <f t="shared" si="46"/>
        <v>Total</v>
      </c>
      <c r="C181" s="100" t="str">
        <f t="shared" si="47"/>
        <v>All</v>
      </c>
      <c r="D181" s="129" t="str">
        <f t="shared" si="47"/>
        <v>All</v>
      </c>
      <c r="E181" s="129" t="str">
        <f t="shared" si="47"/>
        <v>All</v>
      </c>
      <c r="F181" s="92" t="str">
        <f t="shared" si="47"/>
        <v>All</v>
      </c>
      <c r="G181" s="111">
        <f t="shared" ref="G181:R181" si="48">SUM(G132:G180)</f>
        <v>524.98495265917506</v>
      </c>
      <c r="H181" s="111">
        <f t="shared" si="48"/>
        <v>521.32493012616067</v>
      </c>
      <c r="I181" s="111">
        <f t="shared" si="48"/>
        <v>0</v>
      </c>
      <c r="J181" s="111">
        <f t="shared" si="48"/>
        <v>0</v>
      </c>
      <c r="K181" s="111">
        <f t="shared" si="48"/>
        <v>0</v>
      </c>
      <c r="L181" s="111">
        <f t="shared" si="48"/>
        <v>0</v>
      </c>
      <c r="M181" s="111">
        <f t="shared" si="48"/>
        <v>0</v>
      </c>
      <c r="N181" s="111">
        <f t="shared" si="48"/>
        <v>0</v>
      </c>
      <c r="O181" s="111">
        <f t="shared" si="48"/>
        <v>0</v>
      </c>
      <c r="P181" s="111">
        <f t="shared" si="48"/>
        <v>0</v>
      </c>
      <c r="Q181" s="111">
        <f t="shared" si="48"/>
        <v>0</v>
      </c>
      <c r="R181" s="111">
        <f t="shared" si="48"/>
        <v>0</v>
      </c>
      <c r="S181"/>
    </row>
    <row r="182" spans="1:20">
      <c r="B182" s="77"/>
      <c r="C182" s="77"/>
      <c r="E182" s="77"/>
      <c r="F182" s="77"/>
      <c r="G182" s="77"/>
      <c r="H182" s="77"/>
      <c r="I182" s="77"/>
      <c r="J182" s="77"/>
      <c r="K182" s="77"/>
      <c r="L182" s="77"/>
      <c r="M182" s="77"/>
      <c r="N182" s="77"/>
      <c r="O182" s="77"/>
      <c r="P182" s="77"/>
      <c r="Q182" s="77"/>
      <c r="R182" s="77"/>
      <c r="S182"/>
    </row>
    <row r="183" spans="1:20">
      <c r="B183" s="87" t="str">
        <f>B7</f>
        <v>Type</v>
      </c>
      <c r="C183" s="86" t="str">
        <f>C7</f>
        <v>Agg. Speed</v>
      </c>
      <c r="D183" s="129" t="str">
        <f>D7</f>
        <v>Lane Speed</v>
      </c>
      <c r="E183" s="100" t="str">
        <f>E7</f>
        <v>Lanes</v>
      </c>
      <c r="F183" s="196" t="str">
        <f>F7</f>
        <v>Form Factor</v>
      </c>
      <c r="G183" s="35">
        <v>2016</v>
      </c>
      <c r="H183" s="35">
        <v>2017</v>
      </c>
      <c r="I183" s="35">
        <v>2018</v>
      </c>
      <c r="J183" s="35">
        <v>2019</v>
      </c>
      <c r="K183" s="35">
        <v>2020</v>
      </c>
      <c r="L183" s="35">
        <v>2021</v>
      </c>
      <c r="M183" s="35">
        <v>2022</v>
      </c>
      <c r="N183" s="35">
        <v>2023</v>
      </c>
      <c r="O183" s="35">
        <v>2024</v>
      </c>
      <c r="P183" s="35">
        <v>2025</v>
      </c>
      <c r="Q183" s="35">
        <v>2026</v>
      </c>
      <c r="R183" s="35">
        <v>2027</v>
      </c>
      <c r="S183"/>
    </row>
    <row r="184" spans="1:20" ht="18.75" customHeight="1">
      <c r="B184" s="93" t="str">
        <f t="shared" ref="B184:F187" si="49">B122</f>
        <v>AOC</v>
      </c>
      <c r="C184" s="82" t="str">
        <f t="shared" si="49"/>
        <v>All</v>
      </c>
      <c r="D184" s="76" t="str">
        <f t="shared" si="49"/>
        <v>All</v>
      </c>
      <c r="E184" s="82" t="str">
        <f t="shared" si="49"/>
        <v>Single</v>
      </c>
      <c r="F184" s="95" t="str">
        <f t="shared" si="49"/>
        <v>All</v>
      </c>
      <c r="G184" s="102">
        <f t="shared" ref="G184:R184" si="50">G132+G139+G146+G150</f>
        <v>41.314569322808062</v>
      </c>
      <c r="H184" s="103">
        <f t="shared" si="50"/>
        <v>73.672164000000009</v>
      </c>
      <c r="I184" s="103">
        <f t="shared" si="50"/>
        <v>0</v>
      </c>
      <c r="J184" s="103">
        <f t="shared" si="50"/>
        <v>0</v>
      </c>
      <c r="K184" s="103">
        <f t="shared" si="50"/>
        <v>0</v>
      </c>
      <c r="L184" s="103">
        <f t="shared" si="50"/>
        <v>0</v>
      </c>
      <c r="M184" s="420">
        <f t="shared" si="50"/>
        <v>0</v>
      </c>
      <c r="N184" s="103">
        <f t="shared" si="50"/>
        <v>0</v>
      </c>
      <c r="O184" s="103">
        <f t="shared" si="50"/>
        <v>0</v>
      </c>
      <c r="P184" s="103">
        <f t="shared" si="50"/>
        <v>0</v>
      </c>
      <c r="Q184" s="103">
        <f t="shared" si="50"/>
        <v>0</v>
      </c>
      <c r="R184" s="103">
        <f t="shared" si="50"/>
        <v>0</v>
      </c>
      <c r="S184"/>
    </row>
    <row r="185" spans="1:20">
      <c r="B185" s="94" t="str">
        <f t="shared" si="49"/>
        <v>AOC</v>
      </c>
      <c r="C185" s="77" t="str">
        <f t="shared" si="49"/>
        <v>All</v>
      </c>
      <c r="D185" s="76" t="str">
        <f t="shared" si="49"/>
        <v>All</v>
      </c>
      <c r="E185" s="77" t="str">
        <f t="shared" si="49"/>
        <v>Multi-</v>
      </c>
      <c r="F185" s="96" t="str">
        <f t="shared" si="49"/>
        <v>All</v>
      </c>
      <c r="G185" s="381">
        <f t="shared" ref="G185:R185" si="51">G133+G135+G137+G138+G140+G142+G143+G147+G141+G134+G149+SUM(G151:G152)</f>
        <v>180.40997547042474</v>
      </c>
      <c r="H185" s="106">
        <f t="shared" si="51"/>
        <v>132.98724733354021</v>
      </c>
      <c r="I185" s="106">
        <f t="shared" si="51"/>
        <v>0</v>
      </c>
      <c r="J185" s="106">
        <f t="shared" si="51"/>
        <v>0</v>
      </c>
      <c r="K185" s="106">
        <f t="shared" si="51"/>
        <v>0</v>
      </c>
      <c r="L185" s="106">
        <f t="shared" si="51"/>
        <v>0</v>
      </c>
      <c r="M185" s="421">
        <f t="shared" si="51"/>
        <v>0</v>
      </c>
      <c r="N185" s="106">
        <f t="shared" si="51"/>
        <v>0</v>
      </c>
      <c r="O185" s="106">
        <f t="shared" si="51"/>
        <v>0</v>
      </c>
      <c r="P185" s="106">
        <f t="shared" si="51"/>
        <v>0</v>
      </c>
      <c r="Q185" s="106">
        <f t="shared" si="51"/>
        <v>0</v>
      </c>
      <c r="R185" s="106">
        <f t="shared" si="51"/>
        <v>0</v>
      </c>
      <c r="S185"/>
    </row>
    <row r="186" spans="1:20">
      <c r="B186" s="94" t="str">
        <f t="shared" si="49"/>
        <v>EOM</v>
      </c>
      <c r="C186" s="77" t="str">
        <f t="shared" si="49"/>
        <v>All</v>
      </c>
      <c r="D186" s="76" t="str">
        <f t="shared" si="49"/>
        <v>All</v>
      </c>
      <c r="E186" s="77" t="str">
        <f t="shared" si="49"/>
        <v>All</v>
      </c>
      <c r="F186" s="96" t="str">
        <f t="shared" si="49"/>
        <v>All</v>
      </c>
      <c r="G186" s="382">
        <f t="shared" ref="G186:R186" si="52">+G144+G148+G145+G136</f>
        <v>32.857721083741282</v>
      </c>
      <c r="H186" s="137">
        <f t="shared" si="52"/>
        <v>55.123166999999995</v>
      </c>
      <c r="I186" s="137">
        <f t="shared" si="52"/>
        <v>0</v>
      </c>
      <c r="J186" s="137">
        <f t="shared" si="52"/>
        <v>0</v>
      </c>
      <c r="K186" s="137">
        <f t="shared" si="52"/>
        <v>0</v>
      </c>
      <c r="L186" s="137">
        <f t="shared" si="52"/>
        <v>0</v>
      </c>
      <c r="M186" s="422">
        <f t="shared" si="52"/>
        <v>0</v>
      </c>
      <c r="N186" s="137">
        <f t="shared" si="52"/>
        <v>0</v>
      </c>
      <c r="O186" s="137">
        <f t="shared" si="52"/>
        <v>0</v>
      </c>
      <c r="P186" s="137">
        <f t="shared" si="52"/>
        <v>0</v>
      </c>
      <c r="Q186" s="137">
        <f t="shared" si="52"/>
        <v>0</v>
      </c>
      <c r="R186" s="137">
        <f t="shared" si="52"/>
        <v>0</v>
      </c>
      <c r="S186"/>
    </row>
    <row r="187" spans="1:20">
      <c r="B187" s="94" t="str">
        <f t="shared" si="49"/>
        <v>CPO</v>
      </c>
      <c r="C187" s="77" t="str">
        <f t="shared" si="49"/>
        <v>All</v>
      </c>
      <c r="D187" s="76" t="str">
        <f t="shared" si="49"/>
        <v>All</v>
      </c>
      <c r="E187" s="77" t="str">
        <f t="shared" si="49"/>
        <v>All</v>
      </c>
      <c r="F187" s="96" t="str">
        <f t="shared" si="49"/>
        <v>TBD</v>
      </c>
      <c r="G187" s="382">
        <f t="shared" ref="G187:R187" si="53">SUM(G153:G162)</f>
        <v>0</v>
      </c>
      <c r="H187" s="137">
        <f t="shared" si="53"/>
        <v>0</v>
      </c>
      <c r="I187" s="137">
        <f t="shared" si="53"/>
        <v>0</v>
      </c>
      <c r="J187" s="137">
        <f t="shared" si="53"/>
        <v>0</v>
      </c>
      <c r="K187" s="137">
        <f t="shared" si="53"/>
        <v>0</v>
      </c>
      <c r="L187" s="137">
        <f t="shared" si="53"/>
        <v>0</v>
      </c>
      <c r="M187" s="422">
        <f t="shared" si="53"/>
        <v>0</v>
      </c>
      <c r="N187" s="137">
        <f t="shared" si="53"/>
        <v>0</v>
      </c>
      <c r="O187" s="137">
        <f t="shared" si="53"/>
        <v>0</v>
      </c>
      <c r="P187" s="137">
        <f t="shared" si="53"/>
        <v>0</v>
      </c>
      <c r="Q187" s="137">
        <f t="shared" si="53"/>
        <v>0</v>
      </c>
      <c r="R187" s="137">
        <f t="shared" si="53"/>
        <v>0</v>
      </c>
      <c r="S187"/>
    </row>
    <row r="188" spans="1:20">
      <c r="B188" s="430" t="str">
        <f>B126</f>
        <v>External laser modules</v>
      </c>
      <c r="C188" s="77"/>
      <c r="E188" s="77"/>
      <c r="F188" s="96"/>
      <c r="G188" s="382">
        <f>SUM(G163:G166)</f>
        <v>0</v>
      </c>
      <c r="H188" s="137">
        <f t="shared" ref="H188:R188" si="54">SUM(H163:H166)</f>
        <v>0</v>
      </c>
      <c r="I188" s="137">
        <f t="shared" si="54"/>
        <v>0</v>
      </c>
      <c r="J188" s="137">
        <f t="shared" si="54"/>
        <v>0</v>
      </c>
      <c r="K188" s="137">
        <f t="shared" si="54"/>
        <v>0</v>
      </c>
      <c r="L188" s="137">
        <f t="shared" si="54"/>
        <v>0</v>
      </c>
      <c r="M188" s="422">
        <f t="shared" si="54"/>
        <v>0</v>
      </c>
      <c r="N188" s="137">
        <f t="shared" si="54"/>
        <v>0</v>
      </c>
      <c r="O188" s="137">
        <f t="shared" si="54"/>
        <v>0</v>
      </c>
      <c r="P188" s="137">
        <f t="shared" si="54"/>
        <v>0</v>
      </c>
      <c r="Q188" s="137">
        <f t="shared" si="54"/>
        <v>0</v>
      </c>
      <c r="R188" s="137">
        <f t="shared" si="54"/>
        <v>0</v>
      </c>
      <c r="S188"/>
    </row>
    <row r="189" spans="1:20" customFormat="1">
      <c r="B189" s="94" t="str">
        <f>B127</f>
        <v>Copper</v>
      </c>
      <c r="C189" s="77" t="str">
        <f t="shared" ref="C189:F190" si="55">C127</f>
        <v>All</v>
      </c>
      <c r="D189" s="76" t="str">
        <f t="shared" si="55"/>
        <v>All</v>
      </c>
      <c r="E189" s="77" t="str">
        <f t="shared" si="55"/>
        <v>All</v>
      </c>
      <c r="F189" s="96" t="str">
        <f t="shared" si="55"/>
        <v>All</v>
      </c>
      <c r="G189" s="383">
        <f>SUM(G167:G180)</f>
        <v>270.40268678220099</v>
      </c>
      <c r="H189" s="161">
        <f t="shared" ref="H189:R189" si="56">SUM(H167:H180)</f>
        <v>259.54235179262054</v>
      </c>
      <c r="I189" s="161">
        <f t="shared" si="56"/>
        <v>0</v>
      </c>
      <c r="J189" s="161">
        <f t="shared" si="56"/>
        <v>0</v>
      </c>
      <c r="K189" s="161">
        <f t="shared" si="56"/>
        <v>0</v>
      </c>
      <c r="L189" s="161">
        <f t="shared" si="56"/>
        <v>0</v>
      </c>
      <c r="M189" s="423">
        <f t="shared" si="56"/>
        <v>0</v>
      </c>
      <c r="N189" s="161">
        <f t="shared" si="56"/>
        <v>0</v>
      </c>
      <c r="O189" s="161">
        <f t="shared" si="56"/>
        <v>0</v>
      </c>
      <c r="P189" s="161">
        <f t="shared" si="56"/>
        <v>0</v>
      </c>
      <c r="Q189" s="161">
        <f t="shared" si="56"/>
        <v>0</v>
      </c>
      <c r="R189" s="161">
        <f t="shared" si="56"/>
        <v>0</v>
      </c>
      <c r="T189" s="8"/>
    </row>
    <row r="190" spans="1:20">
      <c r="B190" s="87" t="str">
        <f>B128</f>
        <v>Total 2</v>
      </c>
      <c r="C190" s="100" t="str">
        <f t="shared" si="55"/>
        <v>All</v>
      </c>
      <c r="D190" s="129" t="str">
        <f t="shared" si="55"/>
        <v>All</v>
      </c>
      <c r="E190" s="129" t="str">
        <f t="shared" si="55"/>
        <v>All</v>
      </c>
      <c r="F190" s="92" t="str">
        <f t="shared" si="55"/>
        <v>All</v>
      </c>
      <c r="G190" s="111">
        <f>SUM(G184:G189)</f>
        <v>524.98495265917506</v>
      </c>
      <c r="H190" s="111">
        <f t="shared" ref="H190:R190" si="57">SUM(H184:H189)</f>
        <v>521.32493012616078</v>
      </c>
      <c r="I190" s="111">
        <f t="shared" si="57"/>
        <v>0</v>
      </c>
      <c r="J190" s="111">
        <f t="shared" si="57"/>
        <v>0</v>
      </c>
      <c r="K190" s="111">
        <f t="shared" si="57"/>
        <v>0</v>
      </c>
      <c r="L190" s="111">
        <f t="shared" si="57"/>
        <v>0</v>
      </c>
      <c r="M190" s="111">
        <f t="shared" si="57"/>
        <v>0</v>
      </c>
      <c r="N190" s="111">
        <f t="shared" si="57"/>
        <v>0</v>
      </c>
      <c r="O190" s="111">
        <f t="shared" si="57"/>
        <v>0</v>
      </c>
      <c r="P190" s="111">
        <f t="shared" si="57"/>
        <v>0</v>
      </c>
      <c r="Q190" s="111">
        <f t="shared" si="57"/>
        <v>0</v>
      </c>
      <c r="R190" s="111">
        <f t="shared" si="57"/>
        <v>0</v>
      </c>
      <c r="S190"/>
    </row>
    <row r="191" spans="1:20">
      <c r="G191" s="76"/>
      <c r="H191" s="76"/>
      <c r="I191" s="76"/>
      <c r="J191" s="76"/>
      <c r="K191" s="76"/>
      <c r="L191" s="76"/>
      <c r="M191" s="76"/>
      <c r="N191" s="76"/>
      <c r="O191" s="76"/>
      <c r="P191" s="76"/>
      <c r="Q191" s="76"/>
      <c r="R191" s="76"/>
      <c r="S191"/>
    </row>
    <row r="192" spans="1:20">
      <c r="S192"/>
    </row>
    <row r="193" spans="19:19">
      <c r="S193"/>
    </row>
    <row r="194" spans="19:19">
      <c r="S194"/>
    </row>
    <row r="195" spans="19:19">
      <c r="S195"/>
    </row>
    <row r="196" spans="19:19">
      <c r="S196"/>
    </row>
    <row r="197" spans="19:19">
      <c r="S197"/>
    </row>
    <row r="198" spans="19:19">
      <c r="S198"/>
    </row>
    <row r="199" spans="19:19">
      <c r="S199"/>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sheetPr>
  <dimension ref="B2:W85"/>
  <sheetViews>
    <sheetView showGridLines="0" zoomScale="70" zoomScaleNormal="70" zoomScalePageLayoutView="80" workbookViewId="0"/>
  </sheetViews>
  <sheetFormatPr defaultColWidth="8.77734375" defaultRowHeight="13.8"/>
  <cols>
    <col min="1" max="1" width="4.44140625" style="8" customWidth="1"/>
    <col min="2" max="2" width="15.44140625" style="8" customWidth="1"/>
    <col min="3" max="3" width="10.77734375" style="8" customWidth="1"/>
    <col min="4" max="5" width="8.77734375" style="8"/>
    <col min="6" max="6" width="23.33203125" style="8" customWidth="1"/>
    <col min="7" max="18" width="11.21875" style="8" customWidth="1"/>
    <col min="19" max="19" width="2.33203125" style="8" customWidth="1"/>
    <col min="20" max="20" width="45.6640625" style="8" customWidth="1"/>
    <col min="21" max="21" width="12.21875" style="8" customWidth="1"/>
    <col min="22" max="25" width="8.77734375" style="8"/>
    <col min="26" max="33" width="10.44140625" style="8" customWidth="1"/>
    <col min="34" max="16384" width="8.77734375" style="8"/>
  </cols>
  <sheetData>
    <row r="2" spans="2:23" ht="23.4">
      <c r="B2" s="3" t="str">
        <f>Introduction!B2</f>
        <v>LightCounting High-Speed Cables Forecast</v>
      </c>
      <c r="C2" s="3"/>
      <c r="S2" s="14" t="s">
        <v>16</v>
      </c>
      <c r="V2" s="19"/>
      <c r="W2" s="19"/>
    </row>
    <row r="3" spans="2:23" ht="15.6">
      <c r="B3" s="189" t="str">
        <f>Introduction!B3</f>
        <v>December 2022 - sample template</v>
      </c>
      <c r="C3" s="189"/>
      <c r="N3" s="17"/>
      <c r="O3" s="17"/>
      <c r="P3" s="17"/>
    </row>
    <row r="4" spans="2:23">
      <c r="N4" s="18"/>
      <c r="O4" s="18"/>
      <c r="P4" s="18"/>
      <c r="Q4" s="133"/>
      <c r="R4" s="133"/>
    </row>
    <row r="5" spans="2:23" ht="17.399999999999999">
      <c r="B5" s="3" t="s">
        <v>153</v>
      </c>
      <c r="C5" s="3"/>
      <c r="N5" s="18"/>
      <c r="O5" s="18"/>
      <c r="P5" s="18"/>
      <c r="Q5" s="133"/>
      <c r="R5" s="133"/>
    </row>
    <row r="6" spans="2:23" ht="21">
      <c r="B6" s="23" t="s">
        <v>22</v>
      </c>
      <c r="C6" s="23"/>
      <c r="H6" s="22"/>
      <c r="K6" s="11" t="str">
        <f>B6</f>
        <v>Shipments (devices)</v>
      </c>
      <c r="N6" s="18"/>
      <c r="O6" s="18"/>
      <c r="P6" s="18"/>
      <c r="Q6" s="133"/>
      <c r="R6" s="133"/>
    </row>
    <row r="7" spans="2:23">
      <c r="B7" s="85" t="str">
        <f>'Combined forecast'!D7</f>
        <v>Lane Speed</v>
      </c>
      <c r="C7" s="86" t="str">
        <f>'Combined forecast'!C7</f>
        <v>Agg. Speed</v>
      </c>
      <c r="D7" s="100" t="str">
        <f>'Combined forecast'!B7</f>
        <v>Type</v>
      </c>
      <c r="E7" s="100" t="str">
        <f>'Combined forecast'!E7</f>
        <v>Lanes</v>
      </c>
      <c r="F7" s="101" t="str">
        <f>'Combined forecast'!F7</f>
        <v>Form Factor</v>
      </c>
      <c r="G7" s="30">
        <v>2016</v>
      </c>
      <c r="H7" s="30">
        <v>2017</v>
      </c>
      <c r="I7" s="30">
        <v>2018</v>
      </c>
      <c r="J7" s="30">
        <v>2019</v>
      </c>
      <c r="K7" s="30">
        <v>2020</v>
      </c>
      <c r="L7" s="30">
        <v>2021</v>
      </c>
      <c r="M7" s="30">
        <v>2022</v>
      </c>
      <c r="N7" s="30">
        <v>2023</v>
      </c>
      <c r="O7" s="30">
        <v>2024</v>
      </c>
      <c r="P7" s="30">
        <v>2025</v>
      </c>
      <c r="Q7" s="30">
        <v>2026</v>
      </c>
      <c r="R7" s="30">
        <v>2027</v>
      </c>
      <c r="T7" s="155" t="s">
        <v>88</v>
      </c>
    </row>
    <row r="8" spans="2:23">
      <c r="B8" s="93" t="str">
        <f>Segmentation!D14</f>
        <v>≤10G</v>
      </c>
      <c r="C8" s="82" t="str">
        <f>Segmentation!C14</f>
        <v>10G</v>
      </c>
      <c r="D8" s="82" t="str">
        <f>Segmentation!B14</f>
        <v>AOC</v>
      </c>
      <c r="E8" s="82">
        <f>Segmentation!E14</f>
        <v>1</v>
      </c>
      <c r="F8" s="95" t="str">
        <f>Segmentation!F14</f>
        <v>SFP+</v>
      </c>
      <c r="G8" s="79">
        <v>1654178</v>
      </c>
      <c r="H8" s="79">
        <v>3231705</v>
      </c>
      <c r="I8" s="79"/>
      <c r="J8" s="79"/>
      <c r="K8" s="79"/>
      <c r="L8" s="79"/>
      <c r="M8" s="79"/>
      <c r="N8" s="79"/>
      <c r="O8" s="79"/>
      <c r="P8" s="79"/>
      <c r="Q8" s="79"/>
      <c r="R8" s="79"/>
      <c r="T8" s="88" t="str">
        <f>D8&amp;" "&amp;E8&amp;"x"&amp;B8&amp;" "&amp;" "&amp;F8</f>
        <v>AOC 1x≤10G  SFP+</v>
      </c>
    </row>
    <row r="9" spans="2:23">
      <c r="B9" s="94" t="str">
        <f>Segmentation!D15</f>
        <v>≤10G</v>
      </c>
      <c r="C9" s="77" t="str">
        <f>Segmentation!C15</f>
        <v>40G</v>
      </c>
      <c r="D9" s="77" t="str">
        <f>Segmentation!B15</f>
        <v>AOC</v>
      </c>
      <c r="E9" s="77">
        <f>Segmentation!E15</f>
        <v>4</v>
      </c>
      <c r="F9" s="96" t="str">
        <f>Segmentation!F15</f>
        <v>QSFP+</v>
      </c>
      <c r="G9" s="70">
        <v>338994</v>
      </c>
      <c r="H9" s="70">
        <v>205928</v>
      </c>
      <c r="I9" s="70"/>
      <c r="J9" s="70"/>
      <c r="K9" s="70"/>
      <c r="L9" s="70"/>
      <c r="M9" s="70"/>
      <c r="N9" s="70"/>
      <c r="O9" s="70"/>
      <c r="P9" s="70"/>
      <c r="Q9" s="70"/>
      <c r="R9" s="70"/>
      <c r="T9" s="89" t="str">
        <f>D9&amp;" "&amp;E9&amp;"x"&amp;B9&amp;" "&amp;" "&amp;F9</f>
        <v>AOC 4x≤10G  QSFP+</v>
      </c>
    </row>
    <row r="10" spans="2:23">
      <c r="B10" s="94" t="str">
        <f>Segmentation!D16</f>
        <v>≤10G</v>
      </c>
      <c r="C10" s="77" t="str">
        <f>Segmentation!C16</f>
        <v>40G</v>
      </c>
      <c r="D10" s="77" t="str">
        <f>Segmentation!B16</f>
        <v>AOC</v>
      </c>
      <c r="E10" s="77" t="str">
        <f>Segmentation!E16</f>
        <v>4:1</v>
      </c>
      <c r="F10" s="96" t="str">
        <f>Segmentation!F16</f>
        <v>QSFP+/SFP+</v>
      </c>
      <c r="G10" s="70">
        <v>42400</v>
      </c>
      <c r="H10" s="70">
        <v>37000</v>
      </c>
      <c r="I10" s="70"/>
      <c r="J10" s="70"/>
      <c r="K10" s="70"/>
      <c r="L10" s="70"/>
      <c r="M10" s="70"/>
      <c r="N10" s="70"/>
      <c r="O10" s="70"/>
      <c r="P10" s="70"/>
      <c r="Q10" s="70"/>
      <c r="R10" s="70"/>
      <c r="T10" s="89" t="str">
        <f>'Combined forecast'!T10</f>
        <v>AOC breakout: 4x10G from 40G</v>
      </c>
    </row>
    <row r="11" spans="2:23">
      <c r="B11" s="94" t="str">
        <f>Segmentation!D17</f>
        <v>≤12.5G</v>
      </c>
      <c r="C11" s="77" t="str">
        <f>Segmentation!C17</f>
        <v>150G</v>
      </c>
      <c r="D11" s="77" t="str">
        <f>Segmentation!B17</f>
        <v>AOC</v>
      </c>
      <c r="E11" s="77">
        <f>Segmentation!E17</f>
        <v>12</v>
      </c>
      <c r="F11" s="96" t="str">
        <f>Segmentation!F17</f>
        <v>CXP</v>
      </c>
      <c r="G11" s="70">
        <v>121030.35714285713</v>
      </c>
      <c r="H11" s="70">
        <v>90232</v>
      </c>
      <c r="I11" s="70"/>
      <c r="J11" s="70"/>
      <c r="K11" s="70"/>
      <c r="L11" s="70"/>
      <c r="M11" s="70"/>
      <c r="N11" s="70"/>
      <c r="O11" s="70"/>
      <c r="P11" s="70"/>
      <c r="Q11" s="70"/>
      <c r="R11" s="70"/>
      <c r="T11" s="89" t="str">
        <f>D11&amp;" "&amp;E11&amp;"x"&amp;B11&amp;" "&amp;" "&amp;F11</f>
        <v>AOC 12x≤12.5G  CXP</v>
      </c>
    </row>
    <row r="12" spans="2:23">
      <c r="B12" s="94" t="str">
        <f>Segmentation!D19</f>
        <v>12-14G</v>
      </c>
      <c r="C12" s="77" t="str">
        <f>Segmentation!C19</f>
        <v>56G</v>
      </c>
      <c r="D12" s="77" t="str">
        <f>Segmentation!B19</f>
        <v>AOC</v>
      </c>
      <c r="E12" s="77">
        <f>Segmentation!E19</f>
        <v>4</v>
      </c>
      <c r="F12" s="96" t="str">
        <f>Segmentation!F19</f>
        <v>QSFP+</v>
      </c>
      <c r="G12" s="70">
        <v>160184</v>
      </c>
      <c r="H12" s="70">
        <v>137205</v>
      </c>
      <c r="I12" s="70"/>
      <c r="J12" s="70"/>
      <c r="K12" s="70"/>
      <c r="L12" s="70"/>
      <c r="M12" s="70"/>
      <c r="N12" s="70"/>
      <c r="O12" s="70"/>
      <c r="P12" s="70"/>
      <c r="Q12" s="70"/>
      <c r="R12" s="70"/>
      <c r="T12" s="89" t="str">
        <f>D12&amp;" "&amp;E12&amp;"x"&amp;B12&amp;" "&amp;" "&amp;F12</f>
        <v>AOC 4x12-14G  QSFP+</v>
      </c>
      <c r="U12" s="18"/>
      <c r="V12" s="133"/>
    </row>
    <row r="13" spans="2:23">
      <c r="B13" s="94" t="str">
        <f>Segmentation!D20</f>
        <v>12G</v>
      </c>
      <c r="C13" s="77" t="str">
        <f>Segmentation!C20</f>
        <v>48G</v>
      </c>
      <c r="D13" s="77" t="str">
        <f>Segmentation!B20</f>
        <v>AOC</v>
      </c>
      <c r="E13" s="77">
        <f>Segmentation!E20</f>
        <v>4</v>
      </c>
      <c r="F13" s="96" t="str">
        <f>Segmentation!F20</f>
        <v>Mini-SAS HD</v>
      </c>
      <c r="G13" s="45">
        <v>25600</v>
      </c>
      <c r="H13" s="45">
        <v>36500</v>
      </c>
      <c r="I13" s="45"/>
      <c r="J13" s="45"/>
      <c r="K13" s="45"/>
      <c r="L13" s="45"/>
      <c r="M13" s="45"/>
      <c r="N13" s="45"/>
      <c r="O13" s="45"/>
      <c r="P13" s="45"/>
      <c r="Q13" s="45"/>
      <c r="R13" s="45"/>
      <c r="T13" s="89" t="str">
        <f>D13&amp;" "&amp;E13&amp;"x"&amp;B13&amp;" "&amp;" "&amp;F13</f>
        <v>AOC 4x12G  Mini-SAS HD</v>
      </c>
      <c r="U13" s="18"/>
    </row>
    <row r="14" spans="2:23">
      <c r="B14" s="94" t="str">
        <f>Segmentation!D21</f>
        <v>25-28G</v>
      </c>
      <c r="C14" s="77" t="str">
        <f>Segmentation!C21</f>
        <v>25G</v>
      </c>
      <c r="D14" s="77" t="str">
        <f>Segmentation!B21</f>
        <v>AOC</v>
      </c>
      <c r="E14" s="77">
        <f>Segmentation!E21</f>
        <v>1</v>
      </c>
      <c r="F14" s="96" t="str">
        <f>Segmentation!F21</f>
        <v>SFP28</v>
      </c>
      <c r="G14" s="45">
        <v>10000</v>
      </c>
      <c r="H14" s="45">
        <v>170652</v>
      </c>
      <c r="I14" s="45"/>
      <c r="J14" s="45"/>
      <c r="K14" s="45"/>
      <c r="L14" s="45"/>
      <c r="M14" s="45"/>
      <c r="N14" s="45"/>
      <c r="O14" s="45"/>
      <c r="P14" s="45"/>
      <c r="Q14" s="45"/>
      <c r="R14" s="45"/>
      <c r="T14" s="89" t="str">
        <f>D14&amp;" "&amp;E14&amp;"x"&amp;B14&amp;" "&amp;" "&amp;F14</f>
        <v>AOC 1x25-28G  SFP28</v>
      </c>
    </row>
    <row r="15" spans="2:23">
      <c r="B15" s="94" t="str">
        <f>Segmentation!D22</f>
        <v>25-28G, 50G, 100G</v>
      </c>
      <c r="C15" s="77" t="str">
        <f>Segmentation!C22</f>
        <v>100G</v>
      </c>
      <c r="D15" s="77" t="str">
        <f>Segmentation!B22</f>
        <v>AOC</v>
      </c>
      <c r="E15" s="77" t="str">
        <f>Segmentation!E22</f>
        <v>1, 2, or 4</v>
      </c>
      <c r="F15" s="96" t="str">
        <f>Segmentation!F22</f>
        <v>QSFP28, SFP-DD, SFP112</v>
      </c>
      <c r="G15" s="45">
        <v>140000</v>
      </c>
      <c r="H15" s="45">
        <v>196709</v>
      </c>
      <c r="I15" s="45"/>
      <c r="J15" s="45"/>
      <c r="K15" s="45"/>
      <c r="L15" s="45"/>
      <c r="M15" s="45"/>
      <c r="N15" s="45"/>
      <c r="O15" s="45"/>
      <c r="P15" s="45"/>
      <c r="Q15" s="45"/>
      <c r="R15" s="45"/>
      <c r="T15" s="89" t="str">
        <f>D15&amp;" "&amp;E15&amp;"x"&amp;B15&amp;" "&amp;" "&amp;F15</f>
        <v>AOC 1, 2, or 4x25-28G, 50G, 100G  QSFP28, SFP-DD, SFP112</v>
      </c>
    </row>
    <row r="16" spans="2:23">
      <c r="B16" s="94" t="str">
        <f>Segmentation!D23</f>
        <v>25-28G</v>
      </c>
      <c r="C16" s="77" t="str">
        <f>Segmentation!C23</f>
        <v>100G</v>
      </c>
      <c r="D16" s="77" t="str">
        <f>Segmentation!B23</f>
        <v>AOC</v>
      </c>
      <c r="E16" s="77" t="str">
        <f>Segmentation!E23</f>
        <v>4:1</v>
      </c>
      <c r="F16" s="96" t="str">
        <f>Segmentation!F23</f>
        <v>QSFP28/SFP28</v>
      </c>
      <c r="G16" s="45"/>
      <c r="H16" s="45">
        <v>3500</v>
      </c>
      <c r="I16" s="45"/>
      <c r="J16" s="45"/>
      <c r="K16" s="45"/>
      <c r="L16" s="45"/>
      <c r="M16" s="45"/>
      <c r="N16" s="45"/>
      <c r="O16" s="45"/>
      <c r="P16" s="45"/>
      <c r="Q16" s="45"/>
      <c r="R16" s="45"/>
      <c r="T16" s="89" t="str">
        <f>'Combined forecast'!T17</f>
        <v>AOC 100G breakout</v>
      </c>
    </row>
    <row r="17" spans="2:20">
      <c r="B17" s="94" t="str">
        <f>Segmentation!D24</f>
        <v>24G</v>
      </c>
      <c r="C17" s="77" t="str">
        <f>Segmentation!C24</f>
        <v>96G</v>
      </c>
      <c r="D17" s="77" t="str">
        <f>Segmentation!B24</f>
        <v>AOC</v>
      </c>
      <c r="E17" s="77">
        <f>Segmentation!E24</f>
        <v>4</v>
      </c>
      <c r="F17" s="96" t="str">
        <f>Segmentation!F24</f>
        <v>Mini-SAS HD</v>
      </c>
      <c r="G17" s="45"/>
      <c r="H17" s="45">
        <v>0</v>
      </c>
      <c r="I17" s="45"/>
      <c r="J17" s="45"/>
      <c r="K17" s="45"/>
      <c r="L17" s="45"/>
      <c r="M17" s="45"/>
      <c r="N17" s="45"/>
      <c r="O17" s="45"/>
      <c r="P17" s="45"/>
      <c r="Q17" s="45"/>
      <c r="R17" s="45"/>
      <c r="T17" s="89" t="str">
        <f t="shared" ref="T17:T24" si="0">D17&amp;" "&amp;E17&amp;"x"&amp;B17&amp;" "&amp;" "&amp;F17</f>
        <v>AOC 4x24G  Mini-SAS HD</v>
      </c>
    </row>
    <row r="18" spans="2:20">
      <c r="B18" s="94" t="str">
        <f>Segmentation!D25</f>
        <v>25-28G</v>
      </c>
      <c r="C18" s="77" t="str">
        <f>Segmentation!C25</f>
        <v>300G</v>
      </c>
      <c r="D18" s="77" t="str">
        <f>Segmentation!B25</f>
        <v>AOC</v>
      </c>
      <c r="E18" s="77">
        <f>Segmentation!E25</f>
        <v>12</v>
      </c>
      <c r="F18" s="96" t="str">
        <f>Segmentation!F25</f>
        <v>CXP28</v>
      </c>
      <c r="G18" s="45">
        <v>0</v>
      </c>
      <c r="H18" s="45">
        <v>0</v>
      </c>
      <c r="I18" s="45"/>
      <c r="J18" s="45"/>
      <c r="K18" s="45"/>
      <c r="L18" s="45"/>
      <c r="M18" s="45"/>
      <c r="N18" s="45"/>
      <c r="O18" s="45"/>
      <c r="P18" s="45"/>
      <c r="Q18" s="45"/>
      <c r="R18" s="45"/>
      <c r="T18" s="89" t="str">
        <f t="shared" si="0"/>
        <v>AOC 12x25-28G  CXP28</v>
      </c>
    </row>
    <row r="19" spans="2:20">
      <c r="B19" s="94" t="str">
        <f>Segmentation!D28</f>
        <v>50-56G</v>
      </c>
      <c r="C19" s="77" t="str">
        <f>Segmentation!C28</f>
        <v>50G</v>
      </c>
      <c r="D19" s="77" t="str">
        <f>Segmentation!B28</f>
        <v>AOC</v>
      </c>
      <c r="E19" s="77">
        <f>Segmentation!E28</f>
        <v>1</v>
      </c>
      <c r="F19" s="96" t="str">
        <f>Segmentation!F28</f>
        <v>SFP56</v>
      </c>
      <c r="G19" s="45"/>
      <c r="H19" s="45"/>
      <c r="I19" s="45"/>
      <c r="J19" s="45"/>
      <c r="K19" s="45"/>
      <c r="L19" s="45"/>
      <c r="M19" s="45"/>
      <c r="N19" s="45"/>
      <c r="O19" s="45"/>
      <c r="P19" s="45"/>
      <c r="Q19" s="45"/>
      <c r="R19" s="45"/>
      <c r="T19" s="89" t="str">
        <f t="shared" si="0"/>
        <v>AOC 1x50-56G  SFP56</v>
      </c>
    </row>
    <row r="20" spans="2:20">
      <c r="B20" s="94" t="str">
        <f>Segmentation!D29</f>
        <v>50-56G</v>
      </c>
      <c r="C20" s="77" t="str">
        <f>Segmentation!C29</f>
        <v>200G</v>
      </c>
      <c r="D20" s="77" t="str">
        <f>Segmentation!B29</f>
        <v>AOC</v>
      </c>
      <c r="E20" s="77">
        <f>Segmentation!E29</f>
        <v>4</v>
      </c>
      <c r="F20" s="96" t="str">
        <f>Segmentation!F29</f>
        <v>QSFP56</v>
      </c>
      <c r="G20" s="45"/>
      <c r="H20" s="45"/>
      <c r="I20" s="45"/>
      <c r="J20" s="45"/>
      <c r="K20" s="45"/>
      <c r="L20" s="45"/>
      <c r="M20" s="45"/>
      <c r="N20" s="45"/>
      <c r="O20" s="45"/>
      <c r="P20" s="45"/>
      <c r="Q20" s="45"/>
      <c r="R20" s="45"/>
      <c r="T20" s="89" t="str">
        <f t="shared" si="0"/>
        <v>AOC 4x50-56G  QSFP56</v>
      </c>
    </row>
    <row r="21" spans="2:20">
      <c r="B21" s="94" t="str">
        <f>Segmentation!D31</f>
        <v>50-56G, 100G</v>
      </c>
      <c r="C21" s="77" t="str">
        <f>Segmentation!C31</f>
        <v>400G, 2x200G</v>
      </c>
      <c r="D21" s="77" t="str">
        <f>Segmentation!B31</f>
        <v>AOC</v>
      </c>
      <c r="E21" s="77" t="str">
        <f>Segmentation!E31</f>
        <v>4 or 8</v>
      </c>
      <c r="F21" s="96" t="str">
        <f>Segmentation!F31</f>
        <v>QSFP-DD, OSFP, QSFP112</v>
      </c>
      <c r="G21" s="70"/>
      <c r="H21" s="70"/>
      <c r="I21" s="70"/>
      <c r="J21" s="70"/>
      <c r="K21" s="70"/>
      <c r="L21" s="70"/>
      <c r="M21" s="70"/>
      <c r="N21" s="70"/>
      <c r="O21" s="70"/>
      <c r="P21" s="70"/>
      <c r="Q21" s="70"/>
      <c r="R21" s="70"/>
      <c r="T21" s="89" t="str">
        <f t="shared" si="0"/>
        <v>AOC 4 or 8x50-56G, 100G  QSFP-DD, OSFP, QSFP112</v>
      </c>
    </row>
    <row r="22" spans="2:20">
      <c r="B22" s="94" t="str">
        <f>Segmentation!D32</f>
        <v>50-56G, 100G</v>
      </c>
      <c r="C22" s="77" t="str">
        <f>Segmentation!C32</f>
        <v>400G, 2x200G</v>
      </c>
      <c r="D22" s="77" t="str">
        <f>Segmentation!B32</f>
        <v>AOC</v>
      </c>
      <c r="E22" s="77" t="str">
        <f>Segmentation!E32</f>
        <v>4:1 or 8:1</v>
      </c>
      <c r="F22" s="96" t="str">
        <f>Segmentation!F32</f>
        <v>QSFP-DD, OSFP, QSFP112</v>
      </c>
      <c r="G22" s="70"/>
      <c r="H22" s="70"/>
      <c r="I22" s="70"/>
      <c r="J22" s="70"/>
      <c r="K22" s="70"/>
      <c r="L22" s="70"/>
      <c r="M22" s="70"/>
      <c r="N22" s="70"/>
      <c r="O22" s="70"/>
      <c r="P22" s="70"/>
      <c r="Q22" s="70"/>
      <c r="R22" s="70"/>
      <c r="T22" s="89" t="str">
        <f t="shared" si="0"/>
        <v>AOC 4:1 or 8:1x50-56G, 100G  QSFP-DD, OSFP, QSFP112</v>
      </c>
    </row>
    <row r="23" spans="2:20">
      <c r="B23" s="94" t="str">
        <f>Segmentation!D33</f>
        <v>100G</v>
      </c>
      <c r="C23" s="77" t="str">
        <f>Segmentation!C33</f>
        <v>800G</v>
      </c>
      <c r="D23" s="77" t="str">
        <f>Segmentation!B33</f>
        <v>AOC</v>
      </c>
      <c r="E23" s="77" t="str">
        <f>Segmentation!E33</f>
        <v>8:1</v>
      </c>
      <c r="F23" s="96" t="str">
        <f>Segmentation!F33</f>
        <v xml:space="preserve">QSFP-DD800, OSFP </v>
      </c>
      <c r="G23" s="70"/>
      <c r="H23" s="70"/>
      <c r="I23" s="70"/>
      <c r="J23" s="70"/>
      <c r="K23" s="70"/>
      <c r="L23" s="70"/>
      <c r="M23" s="70"/>
      <c r="N23" s="70"/>
      <c r="O23" s="70"/>
      <c r="P23" s="70"/>
      <c r="Q23" s="70"/>
      <c r="R23" s="70"/>
      <c r="T23" s="89" t="str">
        <f t="shared" si="0"/>
        <v xml:space="preserve">AOC 8:1x100G  QSFP-DD800, OSFP </v>
      </c>
    </row>
    <row r="24" spans="2:20">
      <c r="B24" s="97" t="str">
        <f>Segmentation!D34</f>
        <v>100G</v>
      </c>
      <c r="C24" s="78" t="str">
        <f>Segmentation!C34</f>
        <v>1.6T</v>
      </c>
      <c r="D24" s="78" t="str">
        <f>Segmentation!B34</f>
        <v>AOC</v>
      </c>
      <c r="E24" s="78">
        <f>Segmentation!E34</f>
        <v>16</v>
      </c>
      <c r="F24" s="142" t="str">
        <f>Segmentation!F34</f>
        <v>OSFP-XD</v>
      </c>
      <c r="G24" s="70"/>
      <c r="H24" s="70"/>
      <c r="I24" s="40"/>
      <c r="J24" s="40"/>
      <c r="K24" s="40"/>
      <c r="L24" s="40"/>
      <c r="M24" s="40"/>
      <c r="N24" s="40"/>
      <c r="O24" s="40"/>
      <c r="P24" s="40"/>
      <c r="Q24" s="40"/>
      <c r="R24" s="40"/>
      <c r="T24" s="89" t="str">
        <f t="shared" si="0"/>
        <v>AOC 16x100G  OSFP-XD</v>
      </c>
    </row>
    <row r="25" spans="2:20">
      <c r="B25" s="148" t="s">
        <v>85</v>
      </c>
      <c r="C25" s="149"/>
      <c r="D25" s="149"/>
      <c r="E25" s="149"/>
      <c r="F25" s="149"/>
      <c r="G25" s="136">
        <f>SUM(G8:G24)</f>
        <v>2492386.3571428573</v>
      </c>
      <c r="H25" s="136">
        <f t="shared" ref="H25:R25" si="1">SUM(H8:H24)</f>
        <v>4109431</v>
      </c>
      <c r="I25" s="136">
        <f t="shared" si="1"/>
        <v>0</v>
      </c>
      <c r="J25" s="136">
        <f t="shared" si="1"/>
        <v>0</v>
      </c>
      <c r="K25" s="136">
        <f t="shared" si="1"/>
        <v>0</v>
      </c>
      <c r="L25" s="136">
        <f t="shared" si="1"/>
        <v>0</v>
      </c>
      <c r="M25" s="136">
        <f t="shared" si="1"/>
        <v>0</v>
      </c>
      <c r="N25" s="136">
        <f t="shared" si="1"/>
        <v>0</v>
      </c>
      <c r="O25" s="136">
        <f t="shared" si="1"/>
        <v>0</v>
      </c>
      <c r="P25" s="136">
        <f t="shared" si="1"/>
        <v>0</v>
      </c>
      <c r="Q25" s="136">
        <f t="shared" si="1"/>
        <v>0</v>
      </c>
      <c r="R25" s="136">
        <f t="shared" si="1"/>
        <v>0</v>
      </c>
      <c r="T25" s="89" t="s">
        <v>120</v>
      </c>
    </row>
    <row r="26" spans="2:20">
      <c r="B26" s="77"/>
      <c r="C26" s="77"/>
      <c r="D26" s="77"/>
      <c r="F26" s="17"/>
      <c r="G26" s="18"/>
      <c r="H26" s="18"/>
      <c r="I26" s="18"/>
      <c r="J26" s="18"/>
      <c r="K26" s="18"/>
      <c r="L26" s="18"/>
      <c r="M26" s="18"/>
      <c r="N26" s="18"/>
      <c r="O26" s="18"/>
      <c r="P26" s="18"/>
      <c r="Q26" s="18"/>
      <c r="R26" s="18"/>
      <c r="T26" s="89"/>
    </row>
    <row r="27" spans="2:20">
      <c r="B27" s="85" t="str">
        <f>B7</f>
        <v>Lane Speed</v>
      </c>
      <c r="C27" s="86" t="str">
        <f>C7</f>
        <v>Agg. Speed</v>
      </c>
      <c r="D27" s="100" t="str">
        <f>D7</f>
        <v>Type</v>
      </c>
      <c r="E27" s="100" t="str">
        <f>E7</f>
        <v>Lanes</v>
      </c>
      <c r="F27" s="101" t="str">
        <f>F7</f>
        <v>Form Factor</v>
      </c>
      <c r="G27" s="80">
        <v>2016</v>
      </c>
      <c r="H27" s="35">
        <v>2017</v>
      </c>
      <c r="I27" s="35">
        <v>2018</v>
      </c>
      <c r="J27" s="35">
        <v>2019</v>
      </c>
      <c r="K27" s="35">
        <v>2020</v>
      </c>
      <c r="L27" s="35">
        <v>2021</v>
      </c>
      <c r="M27" s="35">
        <v>2022</v>
      </c>
      <c r="N27" s="35">
        <v>2023</v>
      </c>
      <c r="O27" s="35">
        <v>2024</v>
      </c>
      <c r="P27" s="35">
        <v>2025</v>
      </c>
      <c r="Q27" s="35">
        <v>2026</v>
      </c>
      <c r="R27" s="35">
        <v>2027</v>
      </c>
      <c r="T27" s="89"/>
    </row>
    <row r="28" spans="2:20">
      <c r="B28" s="93" t="s">
        <v>57</v>
      </c>
      <c r="C28" s="82" t="s">
        <v>57</v>
      </c>
      <c r="D28" s="82" t="s">
        <v>47</v>
      </c>
      <c r="E28" s="82" t="s">
        <v>62</v>
      </c>
      <c r="F28" s="95" t="s">
        <v>57</v>
      </c>
      <c r="G28" s="25">
        <f t="shared" ref="G28:R28" si="2">G8+G14+G19</f>
        <v>1664178</v>
      </c>
      <c r="H28" s="25">
        <f t="shared" si="2"/>
        <v>3402357</v>
      </c>
      <c r="I28" s="25">
        <f t="shared" si="2"/>
        <v>0</v>
      </c>
      <c r="J28" s="25">
        <f t="shared" si="2"/>
        <v>0</v>
      </c>
      <c r="K28" s="25">
        <f t="shared" si="2"/>
        <v>0</v>
      </c>
      <c r="L28" s="25">
        <f t="shared" si="2"/>
        <v>0</v>
      </c>
      <c r="M28" s="25">
        <f t="shared" si="2"/>
        <v>0</v>
      </c>
      <c r="N28" s="25">
        <f t="shared" si="2"/>
        <v>0</v>
      </c>
      <c r="O28" s="25">
        <f t="shared" si="2"/>
        <v>0</v>
      </c>
      <c r="P28" s="25">
        <f t="shared" si="2"/>
        <v>0</v>
      </c>
      <c r="Q28" s="25">
        <f t="shared" si="2"/>
        <v>0</v>
      </c>
      <c r="R28" s="25">
        <f t="shared" si="2"/>
        <v>0</v>
      </c>
      <c r="T28" s="89"/>
    </row>
    <row r="29" spans="2:20">
      <c r="B29" s="94" t="s">
        <v>57</v>
      </c>
      <c r="C29" s="77" t="s">
        <v>57</v>
      </c>
      <c r="D29" s="77" t="s">
        <v>47</v>
      </c>
      <c r="E29" s="77" t="s">
        <v>63</v>
      </c>
      <c r="F29" s="96" t="s">
        <v>57</v>
      </c>
      <c r="G29" s="50">
        <f>G25-G28</f>
        <v>828208.35714285728</v>
      </c>
      <c r="H29" s="50">
        <f t="shared" ref="H29:R29" si="3">H25-H28</f>
        <v>707074</v>
      </c>
      <c r="I29" s="50">
        <f t="shared" si="3"/>
        <v>0</v>
      </c>
      <c r="J29" s="50">
        <f t="shared" si="3"/>
        <v>0</v>
      </c>
      <c r="K29" s="50">
        <f t="shared" si="3"/>
        <v>0</v>
      </c>
      <c r="L29" s="50">
        <f t="shared" si="3"/>
        <v>0</v>
      </c>
      <c r="M29" s="50">
        <f t="shared" si="3"/>
        <v>0</v>
      </c>
      <c r="N29" s="50">
        <f t="shared" si="3"/>
        <v>0</v>
      </c>
      <c r="O29" s="50">
        <f t="shared" si="3"/>
        <v>0</v>
      </c>
      <c r="P29" s="50">
        <f t="shared" si="3"/>
        <v>0</v>
      </c>
      <c r="Q29" s="50">
        <f t="shared" si="3"/>
        <v>0</v>
      </c>
      <c r="R29" s="50">
        <f t="shared" si="3"/>
        <v>0</v>
      </c>
      <c r="T29" s="89"/>
    </row>
    <row r="30" spans="2:20">
      <c r="B30" s="87" t="s">
        <v>13</v>
      </c>
      <c r="C30" s="100" t="s">
        <v>57</v>
      </c>
      <c r="D30" s="100" t="s">
        <v>57</v>
      </c>
      <c r="E30" s="129" t="s">
        <v>57</v>
      </c>
      <c r="F30" s="92" t="s">
        <v>57</v>
      </c>
      <c r="G30" s="84">
        <f t="shared" ref="G30:R30" si="4">SUM(G28:G29)</f>
        <v>2492386.3571428573</v>
      </c>
      <c r="H30" s="36">
        <f t="shared" si="4"/>
        <v>4109431</v>
      </c>
      <c r="I30" s="36">
        <f t="shared" si="4"/>
        <v>0</v>
      </c>
      <c r="J30" s="36">
        <f t="shared" si="4"/>
        <v>0</v>
      </c>
      <c r="K30" s="36">
        <f t="shared" si="4"/>
        <v>0</v>
      </c>
      <c r="L30" s="36">
        <f t="shared" si="4"/>
        <v>0</v>
      </c>
      <c r="M30" s="36">
        <f t="shared" si="4"/>
        <v>0</v>
      </c>
      <c r="N30" s="36">
        <f t="shared" si="4"/>
        <v>0</v>
      </c>
      <c r="O30" s="36">
        <f t="shared" si="4"/>
        <v>0</v>
      </c>
      <c r="P30" s="36">
        <f t="shared" si="4"/>
        <v>0</v>
      </c>
      <c r="Q30" s="36">
        <f t="shared" si="4"/>
        <v>0</v>
      </c>
      <c r="R30" s="36">
        <f t="shared" si="4"/>
        <v>0</v>
      </c>
      <c r="T30" s="89"/>
    </row>
    <row r="31" spans="2:20">
      <c r="F31" s="17"/>
      <c r="G31" s="18"/>
      <c r="H31" s="18"/>
      <c r="I31" s="18"/>
      <c r="J31" s="18"/>
      <c r="K31" s="18"/>
      <c r="L31" s="18"/>
      <c r="M31" s="18"/>
      <c r="N31" s="18"/>
      <c r="O31" s="18"/>
      <c r="P31" s="18"/>
      <c r="Q31" s="18"/>
      <c r="R31" s="18"/>
    </row>
    <row r="33" spans="2:18" ht="21">
      <c r="B33" s="23" t="s">
        <v>23</v>
      </c>
      <c r="C33" s="23"/>
      <c r="K33" s="11" t="str">
        <f>B33</f>
        <v>Average Selling Prices</v>
      </c>
    </row>
    <row r="34" spans="2:18">
      <c r="B34" s="85" t="str">
        <f t="shared" ref="B34:F43" si="5">B7</f>
        <v>Lane Speed</v>
      </c>
      <c r="C34" s="86" t="str">
        <f t="shared" si="5"/>
        <v>Agg. Speed</v>
      </c>
      <c r="D34" s="100" t="str">
        <f t="shared" si="5"/>
        <v>Type</v>
      </c>
      <c r="E34" s="100" t="str">
        <f t="shared" si="5"/>
        <v>Lanes</v>
      </c>
      <c r="F34" s="101" t="str">
        <f t="shared" si="5"/>
        <v>Form Factor</v>
      </c>
      <c r="G34" s="30">
        <v>2016</v>
      </c>
      <c r="H34" s="30">
        <v>2017</v>
      </c>
      <c r="I34" s="30">
        <v>2018</v>
      </c>
      <c r="J34" s="30">
        <v>2019</v>
      </c>
      <c r="K34" s="30">
        <v>2020</v>
      </c>
      <c r="L34" s="30">
        <v>2021</v>
      </c>
      <c r="M34" s="30">
        <v>2022</v>
      </c>
      <c r="N34" s="30">
        <v>2023</v>
      </c>
      <c r="O34" s="30">
        <v>2024</v>
      </c>
      <c r="P34" s="30">
        <v>2025</v>
      </c>
      <c r="Q34" s="30">
        <v>2026</v>
      </c>
      <c r="R34" s="30">
        <v>2027</v>
      </c>
    </row>
    <row r="35" spans="2:18">
      <c r="B35" s="93" t="str">
        <f t="shared" si="5"/>
        <v>≤10G</v>
      </c>
      <c r="C35" s="82" t="str">
        <f t="shared" si="5"/>
        <v>10G</v>
      </c>
      <c r="D35" s="82" t="str">
        <f t="shared" si="5"/>
        <v>AOC</v>
      </c>
      <c r="E35" s="82">
        <f t="shared" si="5"/>
        <v>1</v>
      </c>
      <c r="F35" s="95" t="str">
        <f t="shared" si="5"/>
        <v>SFP+</v>
      </c>
      <c r="G35" s="120">
        <f>'Combined forecast'!G70</f>
        <v>24.310908090186217</v>
      </c>
      <c r="H35" s="120">
        <f>'Combined forecast'!H70</f>
        <v>18.729353700291334</v>
      </c>
      <c r="I35" s="120"/>
      <c r="J35" s="120"/>
      <c r="K35" s="120"/>
      <c r="L35" s="120"/>
      <c r="M35" s="120"/>
      <c r="N35" s="120"/>
      <c r="O35" s="120"/>
      <c r="P35" s="120"/>
      <c r="Q35" s="120"/>
      <c r="R35" s="120"/>
    </row>
    <row r="36" spans="2:18">
      <c r="B36" s="94" t="str">
        <f t="shared" si="5"/>
        <v>≤10G</v>
      </c>
      <c r="C36" s="77" t="str">
        <f t="shared" si="5"/>
        <v>40G</v>
      </c>
      <c r="D36" s="77" t="str">
        <f t="shared" si="5"/>
        <v>AOC</v>
      </c>
      <c r="E36" s="77">
        <f t="shared" si="5"/>
        <v>4</v>
      </c>
      <c r="F36" s="96" t="str">
        <f t="shared" si="5"/>
        <v>QSFP+</v>
      </c>
      <c r="G36" s="67">
        <f>'Combined forecast'!G71</f>
        <v>101.84107594770762</v>
      </c>
      <c r="H36" s="67">
        <f>'Combined forecast'!H71</f>
        <v>98.843343304455885</v>
      </c>
      <c r="I36" s="67"/>
      <c r="J36" s="67"/>
      <c r="K36" s="67"/>
      <c r="L36" s="67"/>
      <c r="M36" s="67"/>
      <c r="N36" s="67"/>
      <c r="O36" s="67"/>
      <c r="P36" s="67"/>
      <c r="Q36" s="67"/>
      <c r="R36" s="67"/>
    </row>
    <row r="37" spans="2:18">
      <c r="B37" s="94" t="str">
        <f t="shared" si="5"/>
        <v>≤10G</v>
      </c>
      <c r="C37" s="77" t="str">
        <f t="shared" si="5"/>
        <v>40G</v>
      </c>
      <c r="D37" s="77" t="str">
        <f t="shared" si="5"/>
        <v>AOC</v>
      </c>
      <c r="E37" s="77" t="str">
        <f t="shared" si="5"/>
        <v>4:1</v>
      </c>
      <c r="F37" s="96" t="str">
        <f t="shared" si="5"/>
        <v>QSFP+/SFP+</v>
      </c>
      <c r="G37" s="67">
        <f>'Combined forecast'!G72</f>
        <v>160</v>
      </c>
      <c r="H37" s="67">
        <f>'Combined forecast'!H72</f>
        <v>155</v>
      </c>
      <c r="I37" s="67"/>
      <c r="J37" s="67"/>
      <c r="K37" s="67"/>
      <c r="L37" s="67"/>
      <c r="M37" s="67"/>
      <c r="N37" s="67"/>
      <c r="O37" s="67"/>
      <c r="P37" s="67"/>
      <c r="Q37" s="67"/>
      <c r="R37" s="67"/>
    </row>
    <row r="38" spans="2:18">
      <c r="B38" s="94" t="str">
        <f t="shared" si="5"/>
        <v>≤12.5G</v>
      </c>
      <c r="C38" s="77" t="str">
        <f t="shared" si="5"/>
        <v>150G</v>
      </c>
      <c r="D38" s="77" t="str">
        <f t="shared" si="5"/>
        <v>AOC</v>
      </c>
      <c r="E38" s="77">
        <f t="shared" si="5"/>
        <v>12</v>
      </c>
      <c r="F38" s="96" t="str">
        <f t="shared" si="5"/>
        <v>CXP</v>
      </c>
      <c r="G38" s="67">
        <f>'Combined forecast'!G73</f>
        <v>379.20111824867195</v>
      </c>
      <c r="H38" s="67">
        <f>'Combined forecast'!H73</f>
        <v>317.82665794839966</v>
      </c>
      <c r="I38" s="67"/>
      <c r="J38" s="67"/>
      <c r="K38" s="67"/>
      <c r="L38" s="67"/>
      <c r="M38" s="67"/>
      <c r="N38" s="67"/>
      <c r="O38" s="67"/>
      <c r="P38" s="67"/>
      <c r="Q38" s="67"/>
      <c r="R38" s="67"/>
    </row>
    <row r="39" spans="2:18">
      <c r="B39" s="94" t="str">
        <f t="shared" si="5"/>
        <v>12-14G</v>
      </c>
      <c r="C39" s="77" t="str">
        <f t="shared" si="5"/>
        <v>56G</v>
      </c>
      <c r="D39" s="77" t="str">
        <f t="shared" si="5"/>
        <v>AOC</v>
      </c>
      <c r="E39" s="77">
        <f t="shared" si="5"/>
        <v>4</v>
      </c>
      <c r="F39" s="96" t="str">
        <f t="shared" si="5"/>
        <v>QSFP+</v>
      </c>
      <c r="G39" s="67">
        <f>'Combined forecast'!G75</f>
        <v>135.19212280876991</v>
      </c>
      <c r="H39" s="67">
        <f>'Combined forecast'!H75</f>
        <v>135.81171439039514</v>
      </c>
      <c r="I39" s="67"/>
      <c r="J39" s="67"/>
      <c r="K39" s="67"/>
      <c r="L39" s="67"/>
      <c r="M39" s="67"/>
      <c r="N39" s="67"/>
      <c r="O39" s="67"/>
      <c r="P39" s="67"/>
      <c r="Q39" s="67"/>
      <c r="R39" s="67"/>
    </row>
    <row r="40" spans="2:18">
      <c r="B40" s="94" t="str">
        <f t="shared" si="5"/>
        <v>12G</v>
      </c>
      <c r="C40" s="77" t="str">
        <f t="shared" si="5"/>
        <v>48G</v>
      </c>
      <c r="D40" s="77" t="str">
        <f t="shared" si="5"/>
        <v>AOC</v>
      </c>
      <c r="E40" s="77">
        <f t="shared" si="5"/>
        <v>4</v>
      </c>
      <c r="F40" s="96" t="str">
        <f t="shared" si="5"/>
        <v>Mini-SAS HD</v>
      </c>
      <c r="G40" s="67">
        <f>'Combined forecast'!G76</f>
        <v>170</v>
      </c>
      <c r="H40" s="67">
        <f>'Combined forecast'!H76</f>
        <v>133.03030303030303</v>
      </c>
      <c r="I40" s="67"/>
      <c r="J40" s="67"/>
      <c r="K40" s="67"/>
      <c r="L40" s="67"/>
      <c r="M40" s="67"/>
      <c r="N40" s="67"/>
      <c r="O40" s="67"/>
      <c r="P40" s="67"/>
      <c r="Q40" s="67"/>
      <c r="R40" s="67"/>
    </row>
    <row r="41" spans="2:18">
      <c r="B41" s="94" t="str">
        <f t="shared" si="5"/>
        <v>25-28G</v>
      </c>
      <c r="C41" s="77" t="str">
        <f t="shared" si="5"/>
        <v>25G</v>
      </c>
      <c r="D41" s="77" t="str">
        <f t="shared" si="5"/>
        <v>AOC</v>
      </c>
      <c r="E41" s="77">
        <f t="shared" si="5"/>
        <v>1</v>
      </c>
      <c r="F41" s="96" t="str">
        <f t="shared" si="5"/>
        <v>SFP28</v>
      </c>
      <c r="G41" s="67">
        <f>'Combined forecast'!G77</f>
        <v>110</v>
      </c>
      <c r="H41" s="67">
        <f>'Combined forecast'!H77</f>
        <v>77.02469352835007</v>
      </c>
      <c r="I41" s="67"/>
      <c r="J41" s="67"/>
      <c r="K41" s="67"/>
      <c r="L41" s="67"/>
      <c r="M41" s="67"/>
      <c r="N41" s="67"/>
      <c r="O41" s="67"/>
      <c r="P41" s="67"/>
      <c r="Q41" s="67"/>
      <c r="R41" s="67"/>
    </row>
    <row r="42" spans="2:18">
      <c r="B42" s="94" t="str">
        <f t="shared" si="5"/>
        <v>25-28G, 50G, 100G</v>
      </c>
      <c r="C42" s="77" t="str">
        <f t="shared" si="5"/>
        <v>100G</v>
      </c>
      <c r="D42" s="77" t="str">
        <f t="shared" si="5"/>
        <v>AOC</v>
      </c>
      <c r="E42" s="77" t="str">
        <f t="shared" si="5"/>
        <v>1, 2, or 4</v>
      </c>
      <c r="F42" s="96" t="str">
        <f t="shared" si="5"/>
        <v>QSFP28, SFP-DD, SFP112</v>
      </c>
      <c r="G42" s="67">
        <f>'Combined forecast'!G78</f>
        <v>480</v>
      </c>
      <c r="H42" s="67">
        <f>'Combined forecast'!H78</f>
        <v>272</v>
      </c>
      <c r="I42" s="67"/>
      <c r="J42" s="67"/>
      <c r="K42" s="67"/>
      <c r="L42" s="67"/>
      <c r="M42" s="67"/>
      <c r="N42" s="67"/>
      <c r="O42" s="67"/>
      <c r="P42" s="67"/>
      <c r="Q42" s="67"/>
      <c r="R42" s="67"/>
    </row>
    <row r="43" spans="2:18">
      <c r="B43" s="94" t="str">
        <f t="shared" si="5"/>
        <v>25-28G</v>
      </c>
      <c r="C43" s="77" t="str">
        <f t="shared" si="5"/>
        <v>100G</v>
      </c>
      <c r="D43" s="77" t="str">
        <f t="shared" si="5"/>
        <v>AOC</v>
      </c>
      <c r="E43" s="77" t="str">
        <f t="shared" si="5"/>
        <v>4:1</v>
      </c>
      <c r="F43" s="96" t="str">
        <f t="shared" si="5"/>
        <v>QSFP28/SFP28</v>
      </c>
      <c r="G43" s="67"/>
      <c r="H43" s="67">
        <f>'Combined forecast'!H79</f>
        <v>350</v>
      </c>
      <c r="I43" s="67"/>
      <c r="J43" s="67"/>
      <c r="K43" s="67"/>
      <c r="L43" s="67"/>
      <c r="M43" s="67"/>
      <c r="N43" s="67"/>
      <c r="O43" s="67"/>
      <c r="P43" s="67"/>
      <c r="Q43" s="67"/>
      <c r="R43" s="67"/>
    </row>
    <row r="44" spans="2:18">
      <c r="B44" s="94" t="str">
        <f t="shared" ref="B44:F51" si="6">B17</f>
        <v>24G</v>
      </c>
      <c r="C44" s="77" t="str">
        <f t="shared" si="6"/>
        <v>96G</v>
      </c>
      <c r="D44" s="77" t="str">
        <f t="shared" si="6"/>
        <v>AOC</v>
      </c>
      <c r="E44" s="77">
        <f t="shared" si="6"/>
        <v>4</v>
      </c>
      <c r="F44" s="96" t="str">
        <f t="shared" si="6"/>
        <v>Mini-SAS HD</v>
      </c>
      <c r="G44" s="67"/>
      <c r="H44" s="67"/>
      <c r="I44" s="67"/>
      <c r="J44" s="67"/>
      <c r="K44" s="67"/>
      <c r="L44" s="67"/>
      <c r="M44" s="67"/>
      <c r="N44" s="67"/>
      <c r="O44" s="67"/>
      <c r="P44" s="67"/>
      <c r="Q44" s="67"/>
      <c r="R44" s="67"/>
    </row>
    <row r="45" spans="2:18" ht="15" customHeight="1">
      <c r="B45" s="94" t="str">
        <f t="shared" si="6"/>
        <v>25-28G</v>
      </c>
      <c r="C45" s="77" t="str">
        <f t="shared" si="6"/>
        <v>300G</v>
      </c>
      <c r="D45" s="77" t="str">
        <f t="shared" si="6"/>
        <v>AOC</v>
      </c>
      <c r="E45" s="77">
        <f t="shared" si="6"/>
        <v>12</v>
      </c>
      <c r="F45" s="96" t="str">
        <f t="shared" si="6"/>
        <v>CXP28</v>
      </c>
      <c r="G45" s="67"/>
      <c r="H45" s="67">
        <f>'Combined forecast'!H81</f>
        <v>1665</v>
      </c>
      <c r="I45" s="67"/>
      <c r="J45" s="67"/>
      <c r="K45" s="67"/>
      <c r="L45" s="67"/>
      <c r="M45" s="67"/>
      <c r="N45" s="67"/>
      <c r="O45" s="67"/>
      <c r="P45" s="67"/>
      <c r="Q45" s="67"/>
      <c r="R45" s="67"/>
    </row>
    <row r="46" spans="2:18" ht="15" customHeight="1">
      <c r="B46" s="94" t="str">
        <f t="shared" si="6"/>
        <v>50-56G</v>
      </c>
      <c r="C46" s="77" t="str">
        <f t="shared" si="6"/>
        <v>50G</v>
      </c>
      <c r="D46" s="77" t="str">
        <f t="shared" si="6"/>
        <v>AOC</v>
      </c>
      <c r="E46" s="77">
        <f t="shared" si="6"/>
        <v>1</v>
      </c>
      <c r="F46" s="96" t="str">
        <f t="shared" si="6"/>
        <v>SFP56</v>
      </c>
      <c r="G46" s="67"/>
      <c r="H46" s="67"/>
      <c r="I46" s="67"/>
      <c r="J46" s="67"/>
      <c r="K46" s="67"/>
      <c r="L46" s="67"/>
      <c r="M46" s="67"/>
      <c r="N46" s="67"/>
      <c r="O46" s="67"/>
      <c r="P46" s="67"/>
      <c r="Q46" s="67"/>
      <c r="R46" s="67"/>
    </row>
    <row r="47" spans="2:18">
      <c r="B47" s="94" t="str">
        <f t="shared" si="6"/>
        <v>50-56G</v>
      </c>
      <c r="C47" s="77" t="str">
        <f t="shared" si="6"/>
        <v>200G</v>
      </c>
      <c r="D47" s="77" t="str">
        <f t="shared" si="6"/>
        <v>AOC</v>
      </c>
      <c r="E47" s="77">
        <f t="shared" si="6"/>
        <v>4</v>
      </c>
      <c r="F47" s="96" t="str">
        <f t="shared" si="6"/>
        <v>QSFP56</v>
      </c>
      <c r="G47" s="67"/>
      <c r="H47" s="67"/>
      <c r="I47" s="67"/>
      <c r="J47" s="67"/>
      <c r="K47" s="67"/>
      <c r="L47" s="67"/>
      <c r="M47" s="67"/>
      <c r="N47" s="67"/>
      <c r="O47" s="67"/>
      <c r="P47" s="67"/>
      <c r="Q47" s="67"/>
      <c r="R47" s="67"/>
    </row>
    <row r="48" spans="2:18">
      <c r="B48" s="94" t="str">
        <f t="shared" si="6"/>
        <v>50-56G, 100G</v>
      </c>
      <c r="C48" s="77" t="str">
        <f t="shared" si="6"/>
        <v>400G, 2x200G</v>
      </c>
      <c r="D48" s="77" t="str">
        <f t="shared" si="6"/>
        <v>AOC</v>
      </c>
      <c r="E48" s="77" t="str">
        <f t="shared" si="6"/>
        <v>4 or 8</v>
      </c>
      <c r="F48" s="96" t="str">
        <f t="shared" si="6"/>
        <v>QSFP-DD, OSFP, QSFP112</v>
      </c>
      <c r="G48" s="67"/>
      <c r="H48" s="67"/>
      <c r="I48" s="67"/>
      <c r="J48" s="67"/>
      <c r="K48" s="67"/>
      <c r="L48" s="67"/>
      <c r="M48" s="67"/>
      <c r="N48" s="67"/>
      <c r="O48" s="67"/>
      <c r="P48" s="67"/>
      <c r="Q48" s="67"/>
      <c r="R48" s="67"/>
    </row>
    <row r="49" spans="2:18">
      <c r="B49" s="94" t="str">
        <f t="shared" si="6"/>
        <v>50-56G, 100G</v>
      </c>
      <c r="C49" s="77" t="str">
        <f t="shared" si="6"/>
        <v>400G, 2x200G</v>
      </c>
      <c r="D49" s="77" t="str">
        <f t="shared" si="6"/>
        <v>AOC</v>
      </c>
      <c r="E49" s="77" t="str">
        <f t="shared" si="6"/>
        <v>4:1 or 8:1</v>
      </c>
      <c r="F49" s="96" t="str">
        <f t="shared" si="6"/>
        <v>QSFP-DD, OSFP, QSFP112</v>
      </c>
      <c r="G49" s="67"/>
      <c r="H49" s="67"/>
      <c r="I49" s="67"/>
      <c r="J49" s="67"/>
      <c r="K49" s="67"/>
      <c r="L49" s="67"/>
      <c r="M49" s="67"/>
      <c r="N49" s="67"/>
      <c r="O49" s="67"/>
      <c r="P49" s="67"/>
      <c r="Q49" s="67"/>
      <c r="R49" s="67"/>
    </row>
    <row r="50" spans="2:18">
      <c r="B50" s="94" t="str">
        <f t="shared" si="6"/>
        <v>100G</v>
      </c>
      <c r="C50" s="77" t="str">
        <f t="shared" si="6"/>
        <v>800G</v>
      </c>
      <c r="D50" s="77" t="str">
        <f t="shared" si="6"/>
        <v>AOC</v>
      </c>
      <c r="E50" s="77" t="str">
        <f t="shared" si="6"/>
        <v>8:1</v>
      </c>
      <c r="F50" s="96" t="str">
        <f t="shared" si="6"/>
        <v xml:space="preserve">QSFP-DD800, OSFP </v>
      </c>
      <c r="G50" s="67"/>
      <c r="H50" s="67"/>
      <c r="I50" s="67"/>
      <c r="J50" s="67"/>
      <c r="K50" s="67"/>
      <c r="L50" s="67"/>
      <c r="M50" s="67"/>
      <c r="N50" s="67"/>
      <c r="O50" s="67"/>
      <c r="P50" s="67"/>
      <c r="Q50" s="67"/>
      <c r="R50" s="67"/>
    </row>
    <row r="51" spans="2:18">
      <c r="B51" s="94" t="str">
        <f t="shared" si="6"/>
        <v>100G</v>
      </c>
      <c r="C51" s="77" t="str">
        <f t="shared" si="6"/>
        <v>1.6T</v>
      </c>
      <c r="D51" s="77" t="str">
        <f t="shared" si="6"/>
        <v>AOC</v>
      </c>
      <c r="E51" s="77">
        <f t="shared" si="6"/>
        <v>16</v>
      </c>
      <c r="F51" s="96" t="str">
        <f t="shared" si="6"/>
        <v>OSFP-XD</v>
      </c>
      <c r="G51" s="67"/>
      <c r="H51" s="67"/>
      <c r="I51" s="67"/>
      <c r="J51" s="67"/>
      <c r="K51" s="67"/>
      <c r="L51" s="67"/>
      <c r="M51" s="67"/>
      <c r="N51" s="67"/>
      <c r="O51" s="67"/>
      <c r="P51" s="67"/>
      <c r="Q51" s="67"/>
      <c r="R51" s="67"/>
    </row>
    <row r="52" spans="2:18">
      <c r="B52" s="87" t="s">
        <v>13</v>
      </c>
      <c r="C52" s="100" t="s">
        <v>57</v>
      </c>
      <c r="D52" s="100" t="s">
        <v>57</v>
      </c>
      <c r="E52" s="129" t="s">
        <v>57</v>
      </c>
      <c r="F52" s="92" t="s">
        <v>57</v>
      </c>
      <c r="G52" s="110">
        <f>IF(G25=0,0,G74*10^6/G25)</f>
        <v>0</v>
      </c>
      <c r="H52" s="111">
        <f t="shared" ref="H52:R52" si="7">IF(H25=0,0,H74*10^6/H25)</f>
        <v>0</v>
      </c>
      <c r="I52" s="111">
        <f t="shared" si="7"/>
        <v>0</v>
      </c>
      <c r="J52" s="111">
        <f t="shared" si="7"/>
        <v>0</v>
      </c>
      <c r="K52" s="111">
        <f t="shared" si="7"/>
        <v>0</v>
      </c>
      <c r="L52" s="111">
        <f t="shared" si="7"/>
        <v>0</v>
      </c>
      <c r="M52" s="111">
        <f t="shared" si="7"/>
        <v>0</v>
      </c>
      <c r="N52" s="111">
        <f t="shared" si="7"/>
        <v>0</v>
      </c>
      <c r="O52" s="111">
        <f t="shared" si="7"/>
        <v>0</v>
      </c>
      <c r="P52" s="111">
        <f t="shared" si="7"/>
        <v>0</v>
      </c>
      <c r="Q52" s="111">
        <f t="shared" si="7"/>
        <v>0</v>
      </c>
      <c r="R52" s="111">
        <f t="shared" si="7"/>
        <v>0</v>
      </c>
    </row>
    <row r="54" spans="2:18">
      <c r="B54" s="85" t="str">
        <f>B7</f>
        <v>Lane Speed</v>
      </c>
      <c r="C54" s="86" t="str">
        <f>C7</f>
        <v>Agg. Speed</v>
      </c>
      <c r="D54" s="100" t="str">
        <f>D7</f>
        <v>Type</v>
      </c>
      <c r="E54" s="100" t="str">
        <f>E7</f>
        <v>Lanes</v>
      </c>
      <c r="F54" s="101" t="str">
        <f>F7</f>
        <v>Form Factor</v>
      </c>
      <c r="G54" s="80">
        <v>2016</v>
      </c>
      <c r="H54" s="35">
        <v>2017</v>
      </c>
      <c r="I54" s="35">
        <v>2018</v>
      </c>
      <c r="J54" s="35">
        <v>2019</v>
      </c>
      <c r="K54" s="35">
        <v>2020</v>
      </c>
      <c r="L54" s="35">
        <v>2021</v>
      </c>
      <c r="M54" s="35">
        <v>2022</v>
      </c>
      <c r="N54" s="35">
        <v>2023</v>
      </c>
      <c r="O54" s="35">
        <v>2024</v>
      </c>
      <c r="P54" s="35">
        <v>2025</v>
      </c>
      <c r="Q54" s="35">
        <v>2026</v>
      </c>
      <c r="R54" s="35">
        <v>2027</v>
      </c>
    </row>
    <row r="55" spans="2:18">
      <c r="B55" s="93" t="str">
        <f t="shared" ref="B55:F56" si="8">B28</f>
        <v>All</v>
      </c>
      <c r="C55" s="82" t="str">
        <f t="shared" si="8"/>
        <v>All</v>
      </c>
      <c r="D55" s="82" t="str">
        <f t="shared" si="8"/>
        <v>AOC</v>
      </c>
      <c r="E55" s="82" t="str">
        <f t="shared" si="8"/>
        <v>Single</v>
      </c>
      <c r="F55" s="95" t="str">
        <f t="shared" si="8"/>
        <v>All</v>
      </c>
      <c r="G55" s="162">
        <f t="shared" ref="G55:R55" si="9">IF(G28=0,0,G82*10^6/G28)</f>
        <v>24.825811495409784</v>
      </c>
      <c r="H55" s="162">
        <f t="shared" si="9"/>
        <v>21.653272716531514</v>
      </c>
      <c r="I55" s="162">
        <f t="shared" si="9"/>
        <v>0</v>
      </c>
      <c r="J55" s="162">
        <f t="shared" si="9"/>
        <v>0</v>
      </c>
      <c r="K55" s="162">
        <f t="shared" si="9"/>
        <v>0</v>
      </c>
      <c r="L55" s="162">
        <f t="shared" si="9"/>
        <v>0</v>
      </c>
      <c r="M55" s="162">
        <f t="shared" si="9"/>
        <v>0</v>
      </c>
      <c r="N55" s="162">
        <f t="shared" si="9"/>
        <v>0</v>
      </c>
      <c r="O55" s="162">
        <f t="shared" si="9"/>
        <v>0</v>
      </c>
      <c r="P55" s="162">
        <f t="shared" si="9"/>
        <v>0</v>
      </c>
      <c r="Q55" s="162">
        <f t="shared" si="9"/>
        <v>0</v>
      </c>
      <c r="R55" s="162">
        <f t="shared" si="9"/>
        <v>0</v>
      </c>
    </row>
    <row r="56" spans="2:18">
      <c r="B56" s="94" t="str">
        <f t="shared" si="8"/>
        <v>All</v>
      </c>
      <c r="C56" s="77" t="str">
        <f t="shared" si="8"/>
        <v>All</v>
      </c>
      <c r="D56" s="77" t="str">
        <f t="shared" si="8"/>
        <v>AOC</v>
      </c>
      <c r="E56" s="77" t="str">
        <f t="shared" si="8"/>
        <v>Multi-</v>
      </c>
      <c r="F56" s="96" t="str">
        <f t="shared" si="8"/>
        <v>All</v>
      </c>
      <c r="G56" s="137">
        <f t="shared" ref="G56:R56" si="10">IF(G29=0,0,G83*10^6/G29)</f>
        <v>217.83162885822696</v>
      </c>
      <c r="H56" s="137">
        <f t="shared" si="10"/>
        <v>188.08108816551055</v>
      </c>
      <c r="I56" s="137">
        <f t="shared" si="10"/>
        <v>0</v>
      </c>
      <c r="J56" s="137">
        <f t="shared" si="10"/>
        <v>0</v>
      </c>
      <c r="K56" s="137">
        <f t="shared" si="10"/>
        <v>0</v>
      </c>
      <c r="L56" s="137">
        <f t="shared" si="10"/>
        <v>0</v>
      </c>
      <c r="M56" s="137">
        <f t="shared" si="10"/>
        <v>0</v>
      </c>
      <c r="N56" s="137">
        <f t="shared" si="10"/>
        <v>0</v>
      </c>
      <c r="O56" s="137">
        <f t="shared" si="10"/>
        <v>0</v>
      </c>
      <c r="P56" s="137">
        <f t="shared" si="10"/>
        <v>0</v>
      </c>
      <c r="Q56" s="137">
        <f t="shared" si="10"/>
        <v>0</v>
      </c>
      <c r="R56" s="137">
        <f t="shared" si="10"/>
        <v>0</v>
      </c>
    </row>
    <row r="57" spans="2:18">
      <c r="B57" s="87" t="s">
        <v>13</v>
      </c>
      <c r="C57" s="100" t="s">
        <v>57</v>
      </c>
      <c r="D57" s="100" t="s">
        <v>57</v>
      </c>
      <c r="E57" s="129" t="s">
        <v>57</v>
      </c>
      <c r="F57" s="92" t="s">
        <v>57</v>
      </c>
      <c r="G57" s="110">
        <f t="shared" ref="G57:R57" si="11">IF(G30=0,0,G84*10^6/G30)</f>
        <v>88.960744050696206</v>
      </c>
      <c r="H57" s="111">
        <f t="shared" si="11"/>
        <v>50.2890573740112</v>
      </c>
      <c r="I57" s="111">
        <f t="shared" si="11"/>
        <v>0</v>
      </c>
      <c r="J57" s="111">
        <f t="shared" si="11"/>
        <v>0</v>
      </c>
      <c r="K57" s="111">
        <f t="shared" si="11"/>
        <v>0</v>
      </c>
      <c r="L57" s="111">
        <f t="shared" si="11"/>
        <v>0</v>
      </c>
      <c r="M57" s="111">
        <f t="shared" si="11"/>
        <v>0</v>
      </c>
      <c r="N57" s="111">
        <f t="shared" si="11"/>
        <v>0</v>
      </c>
      <c r="O57" s="111">
        <f t="shared" si="11"/>
        <v>0</v>
      </c>
      <c r="P57" s="111">
        <f t="shared" si="11"/>
        <v>0</v>
      </c>
      <c r="Q57" s="111">
        <f t="shared" si="11"/>
        <v>0</v>
      </c>
      <c r="R57" s="111">
        <f t="shared" si="11"/>
        <v>0</v>
      </c>
    </row>
    <row r="58" spans="2:18">
      <c r="B58" s="77"/>
      <c r="C58" s="77"/>
      <c r="D58" s="65"/>
      <c r="F58" s="76"/>
      <c r="G58" s="106"/>
      <c r="H58" s="106"/>
      <c r="I58" s="106"/>
      <c r="J58" s="106"/>
      <c r="K58" s="106"/>
      <c r="L58" s="106"/>
      <c r="M58" s="106"/>
      <c r="N58" s="106"/>
      <c r="O58" s="106"/>
      <c r="P58" s="106"/>
      <c r="Q58" s="106"/>
      <c r="R58" s="106"/>
    </row>
    <row r="60" spans="2:18" ht="21">
      <c r="B60" s="24" t="s">
        <v>20</v>
      </c>
      <c r="C60" s="24"/>
      <c r="D60" s="11"/>
      <c r="K60" s="11" t="str">
        <f>B60</f>
        <v>Revenues</v>
      </c>
      <c r="L60" s="8" t="s">
        <v>15</v>
      </c>
    </row>
    <row r="61" spans="2:18">
      <c r="B61" s="85" t="str">
        <f t="shared" ref="B61:F70" si="12">B7</f>
        <v>Lane Speed</v>
      </c>
      <c r="C61" s="86" t="str">
        <f t="shared" si="12"/>
        <v>Agg. Speed</v>
      </c>
      <c r="D61" s="100" t="str">
        <f t="shared" si="12"/>
        <v>Type</v>
      </c>
      <c r="E61" s="100" t="str">
        <f t="shared" si="12"/>
        <v>Lanes</v>
      </c>
      <c r="F61" s="101" t="str">
        <f t="shared" si="12"/>
        <v>Form Factor</v>
      </c>
      <c r="G61" s="30">
        <v>2016</v>
      </c>
      <c r="H61" s="30">
        <v>2017</v>
      </c>
      <c r="I61" s="30">
        <v>2018</v>
      </c>
      <c r="J61" s="30">
        <v>2019</v>
      </c>
      <c r="K61" s="30">
        <v>2020</v>
      </c>
      <c r="L61" s="30">
        <v>2021</v>
      </c>
      <c r="M61" s="30">
        <v>2022</v>
      </c>
      <c r="N61" s="30">
        <v>2023</v>
      </c>
      <c r="O61" s="30">
        <v>2024</v>
      </c>
      <c r="P61" s="30">
        <v>2025</v>
      </c>
      <c r="Q61" s="30">
        <v>2026</v>
      </c>
      <c r="R61" s="30">
        <v>2027</v>
      </c>
    </row>
    <row r="62" spans="2:18">
      <c r="B62" s="93" t="str">
        <f t="shared" si="12"/>
        <v>≤10G</v>
      </c>
      <c r="C62" s="82" t="str">
        <f t="shared" si="12"/>
        <v>10G</v>
      </c>
      <c r="D62" s="82" t="str">
        <f t="shared" si="12"/>
        <v>AOC</v>
      </c>
      <c r="E62" s="82">
        <f t="shared" si="12"/>
        <v>1</v>
      </c>
      <c r="F62" s="95" t="str">
        <f t="shared" si="12"/>
        <v>SFP+</v>
      </c>
      <c r="G62" s="26">
        <f t="shared" ref="G62:H62" si="13">IF(G8=0,,G8*G35/10^6)</f>
        <v>40.21456932280806</v>
      </c>
      <c r="H62" s="26">
        <f t="shared" si="13"/>
        <v>60.527746000000008</v>
      </c>
      <c r="I62" s="26"/>
      <c r="J62" s="26"/>
      <c r="K62" s="26"/>
      <c r="L62" s="26"/>
      <c r="M62" s="26"/>
      <c r="N62" s="26"/>
      <c r="O62" s="26"/>
      <c r="P62" s="26"/>
      <c r="Q62" s="26"/>
      <c r="R62" s="26"/>
    </row>
    <row r="63" spans="2:18">
      <c r="B63" s="94" t="str">
        <f t="shared" si="12"/>
        <v>≤10G</v>
      </c>
      <c r="C63" s="77" t="str">
        <f t="shared" si="12"/>
        <v>40G</v>
      </c>
      <c r="D63" s="77" t="str">
        <f t="shared" si="12"/>
        <v>AOC</v>
      </c>
      <c r="E63" s="77">
        <f t="shared" si="12"/>
        <v>4</v>
      </c>
      <c r="F63" s="96" t="str">
        <f t="shared" si="12"/>
        <v>QSFP+</v>
      </c>
      <c r="G63" s="37">
        <f t="shared" ref="G63:H63" si="14">IF(G9=0,,G9*G36/10^6)</f>
        <v>34.523513699817194</v>
      </c>
      <c r="H63" s="37">
        <f t="shared" si="14"/>
        <v>20.354611999999992</v>
      </c>
      <c r="I63" s="37"/>
      <c r="J63" s="37"/>
      <c r="K63" s="37"/>
      <c r="L63" s="37"/>
      <c r="M63" s="37"/>
      <c r="N63" s="37"/>
      <c r="O63" s="37"/>
      <c r="P63" s="37"/>
      <c r="Q63" s="37"/>
      <c r="R63" s="37"/>
    </row>
    <row r="64" spans="2:18">
      <c r="B64" s="94" t="str">
        <f t="shared" si="12"/>
        <v>≤10G</v>
      </c>
      <c r="C64" s="77" t="str">
        <f t="shared" si="12"/>
        <v>40G</v>
      </c>
      <c r="D64" s="77" t="str">
        <f t="shared" si="12"/>
        <v>AOC</v>
      </c>
      <c r="E64" s="77" t="str">
        <f t="shared" si="12"/>
        <v>4:1</v>
      </c>
      <c r="F64" s="96" t="str">
        <f t="shared" si="12"/>
        <v>QSFP+/SFP+</v>
      </c>
      <c r="G64" s="37">
        <f t="shared" ref="G64:H64" si="15">IF(G10=0,,G10*G37/10^6)</f>
        <v>6.7839999999999998</v>
      </c>
      <c r="H64" s="37">
        <f t="shared" si="15"/>
        <v>5.7350000000000003</v>
      </c>
      <c r="I64" s="37"/>
      <c r="J64" s="37"/>
      <c r="K64" s="37"/>
      <c r="L64" s="37"/>
      <c r="M64" s="37"/>
      <c r="N64" s="37"/>
      <c r="O64" s="37"/>
      <c r="P64" s="37"/>
      <c r="Q64" s="37"/>
      <c r="R64" s="37"/>
    </row>
    <row r="65" spans="2:18">
      <c r="B65" s="94" t="str">
        <f t="shared" si="12"/>
        <v>≤12.5G</v>
      </c>
      <c r="C65" s="77" t="str">
        <f t="shared" si="12"/>
        <v>150G</v>
      </c>
      <c r="D65" s="77" t="str">
        <f t="shared" si="12"/>
        <v>AOC</v>
      </c>
      <c r="E65" s="77">
        <f t="shared" si="12"/>
        <v>12</v>
      </c>
      <c r="F65" s="96" t="str">
        <f t="shared" si="12"/>
        <v>CXP</v>
      </c>
      <c r="G65" s="37">
        <f t="shared" ref="G65:H65" si="16">IF(G11=0,,G11*G38/10^6)</f>
        <v>45.894846770607558</v>
      </c>
      <c r="H65" s="37">
        <f t="shared" si="16"/>
        <v>28.678134999999997</v>
      </c>
      <c r="I65" s="37"/>
      <c r="J65" s="37"/>
      <c r="K65" s="37"/>
      <c r="L65" s="37"/>
      <c r="M65" s="37"/>
      <c r="N65" s="37"/>
      <c r="O65" s="37"/>
      <c r="P65" s="37"/>
      <c r="Q65" s="37"/>
      <c r="R65" s="37"/>
    </row>
    <row r="66" spans="2:18">
      <c r="B66" s="94" t="str">
        <f t="shared" si="12"/>
        <v>12-14G</v>
      </c>
      <c r="C66" s="77" t="str">
        <f t="shared" si="12"/>
        <v>56G</v>
      </c>
      <c r="D66" s="77" t="str">
        <f t="shared" si="12"/>
        <v>AOC</v>
      </c>
      <c r="E66" s="77">
        <f t="shared" si="12"/>
        <v>4</v>
      </c>
      <c r="F66" s="96" t="str">
        <f t="shared" si="12"/>
        <v>QSFP+</v>
      </c>
      <c r="G66" s="67">
        <f t="shared" ref="G66:H66" si="17">IF(G12=0,,G12*G39/10^6)</f>
        <v>21.655615000000001</v>
      </c>
      <c r="H66" s="67">
        <f t="shared" si="17"/>
        <v>18.634046272934164</v>
      </c>
      <c r="I66" s="67"/>
      <c r="J66" s="67"/>
      <c r="K66" s="67"/>
      <c r="L66" s="67"/>
      <c r="M66" s="67"/>
      <c r="N66" s="67"/>
      <c r="O66" s="67"/>
      <c r="P66" s="67"/>
      <c r="Q66" s="67"/>
      <c r="R66" s="67"/>
    </row>
    <row r="67" spans="2:18">
      <c r="B67" s="94" t="str">
        <f t="shared" si="12"/>
        <v>12G</v>
      </c>
      <c r="C67" s="77" t="str">
        <f t="shared" si="12"/>
        <v>48G</v>
      </c>
      <c r="D67" s="77" t="str">
        <f t="shared" si="12"/>
        <v>AOC</v>
      </c>
      <c r="E67" s="77">
        <f t="shared" si="12"/>
        <v>4</v>
      </c>
      <c r="F67" s="96" t="str">
        <f t="shared" si="12"/>
        <v>Mini-SAS HD</v>
      </c>
      <c r="G67" s="67">
        <f t="shared" ref="G67:H67" si="18">IF(G13=0,,G13*G40/10^6)</f>
        <v>4.3520000000000003</v>
      </c>
      <c r="H67" s="67">
        <f t="shared" si="18"/>
        <v>4.8556060606060605</v>
      </c>
      <c r="I67" s="67"/>
      <c r="J67" s="67"/>
      <c r="K67" s="67"/>
      <c r="L67" s="67"/>
      <c r="M67" s="67"/>
      <c r="N67" s="67"/>
      <c r="O67" s="67"/>
      <c r="P67" s="67"/>
      <c r="Q67" s="67"/>
      <c r="R67" s="67"/>
    </row>
    <row r="68" spans="2:18">
      <c r="B68" s="94" t="str">
        <f t="shared" si="12"/>
        <v>25-28G</v>
      </c>
      <c r="C68" s="77" t="str">
        <f t="shared" si="12"/>
        <v>25G</v>
      </c>
      <c r="D68" s="77" t="str">
        <f t="shared" si="12"/>
        <v>AOC</v>
      </c>
      <c r="E68" s="77">
        <f t="shared" si="12"/>
        <v>1</v>
      </c>
      <c r="F68" s="96" t="str">
        <f t="shared" si="12"/>
        <v>SFP28</v>
      </c>
      <c r="G68" s="191">
        <f t="shared" ref="G68:H68" si="19">IF(G14=0,,G14*G41/10^6)</f>
        <v>1.1000000000000001</v>
      </c>
      <c r="H68" s="67">
        <f t="shared" si="19"/>
        <v>13.144417999999996</v>
      </c>
      <c r="I68" s="67"/>
      <c r="J68" s="67"/>
      <c r="K68" s="67"/>
      <c r="L68" s="67"/>
      <c r="M68" s="67"/>
      <c r="N68" s="67"/>
      <c r="O68" s="67"/>
      <c r="P68" s="67"/>
      <c r="Q68" s="67"/>
      <c r="R68" s="67"/>
    </row>
    <row r="69" spans="2:18">
      <c r="B69" s="94" t="str">
        <f t="shared" si="12"/>
        <v>25-28G, 50G, 100G</v>
      </c>
      <c r="C69" s="77" t="str">
        <f t="shared" si="12"/>
        <v>100G</v>
      </c>
      <c r="D69" s="77" t="str">
        <f t="shared" si="12"/>
        <v>AOC</v>
      </c>
      <c r="E69" s="77" t="str">
        <f t="shared" si="12"/>
        <v>1, 2, or 4</v>
      </c>
      <c r="F69" s="96" t="str">
        <f t="shared" si="12"/>
        <v>QSFP28, SFP-DD, SFP112</v>
      </c>
      <c r="G69" s="37">
        <f t="shared" ref="G69:H69" si="20">IF(G15=0,,G15*G42/10^6)</f>
        <v>67.2</v>
      </c>
      <c r="H69" s="37">
        <f t="shared" si="20"/>
        <v>53.504848000000003</v>
      </c>
      <c r="I69" s="37"/>
      <c r="J69" s="37"/>
      <c r="K69" s="37"/>
      <c r="L69" s="37"/>
      <c r="M69" s="37"/>
      <c r="N69" s="37"/>
      <c r="O69" s="37"/>
      <c r="P69" s="37"/>
      <c r="Q69" s="37"/>
      <c r="R69" s="37"/>
    </row>
    <row r="70" spans="2:18">
      <c r="B70" s="94" t="str">
        <f t="shared" si="12"/>
        <v>25-28G</v>
      </c>
      <c r="C70" s="77" t="str">
        <f t="shared" si="12"/>
        <v>100G</v>
      </c>
      <c r="D70" s="77" t="str">
        <f t="shared" si="12"/>
        <v>AOC</v>
      </c>
      <c r="E70" s="77" t="str">
        <f t="shared" si="12"/>
        <v>4:1</v>
      </c>
      <c r="F70" s="96" t="str">
        <f t="shared" si="12"/>
        <v>QSFP28/SFP28</v>
      </c>
      <c r="G70" s="37"/>
      <c r="H70" s="37">
        <f t="shared" ref="H70" si="21">IF(H16=0,,H16*H43/10^6)</f>
        <v>1.2250000000000001</v>
      </c>
      <c r="I70" s="37"/>
      <c r="J70" s="37"/>
      <c r="K70" s="37"/>
      <c r="L70" s="37"/>
      <c r="M70" s="37"/>
      <c r="N70" s="37"/>
      <c r="O70" s="37"/>
      <c r="P70" s="37"/>
      <c r="Q70" s="37"/>
      <c r="R70" s="37"/>
    </row>
    <row r="71" spans="2:18">
      <c r="B71" s="94" t="str">
        <f t="shared" ref="B71:F78" si="22">B17</f>
        <v>24G</v>
      </c>
      <c r="C71" s="77" t="str">
        <f t="shared" si="22"/>
        <v>96G</v>
      </c>
      <c r="D71" s="77" t="str">
        <f t="shared" si="22"/>
        <v>AOC</v>
      </c>
      <c r="E71" s="77">
        <f t="shared" si="22"/>
        <v>4</v>
      </c>
      <c r="F71" s="96" t="str">
        <f t="shared" si="22"/>
        <v>Mini-SAS HD</v>
      </c>
      <c r="G71" s="37"/>
      <c r="H71" s="37">
        <f t="shared" ref="H71" si="23">IF(H17=0,,H17*H44/10^6)</f>
        <v>0</v>
      </c>
      <c r="I71" s="37"/>
      <c r="J71" s="37"/>
      <c r="K71" s="37"/>
      <c r="L71" s="37"/>
      <c r="M71" s="37"/>
      <c r="N71" s="37"/>
      <c r="O71" s="37"/>
      <c r="P71" s="37"/>
      <c r="Q71" s="37"/>
      <c r="R71" s="37"/>
    </row>
    <row r="72" spans="2:18">
      <c r="B72" s="94" t="str">
        <f t="shared" si="22"/>
        <v>25-28G</v>
      </c>
      <c r="C72" s="77" t="str">
        <f t="shared" si="22"/>
        <v>300G</v>
      </c>
      <c r="D72" s="77" t="str">
        <f t="shared" si="22"/>
        <v>AOC</v>
      </c>
      <c r="E72" s="77">
        <f t="shared" si="22"/>
        <v>12</v>
      </c>
      <c r="F72" s="96" t="str">
        <f t="shared" si="22"/>
        <v>CXP28</v>
      </c>
      <c r="G72" s="109">
        <f>IF(G18=0,,G18*G45/10^6)</f>
        <v>0</v>
      </c>
      <c r="H72" s="37">
        <f t="shared" ref="H72" si="24">IF(H18=0,,H18*H45/10^6)</f>
        <v>0</v>
      </c>
      <c r="I72" s="37"/>
      <c r="J72" s="37"/>
      <c r="K72" s="37"/>
      <c r="L72" s="37"/>
      <c r="M72" s="37"/>
      <c r="N72" s="37"/>
      <c r="O72" s="37"/>
      <c r="P72" s="37"/>
      <c r="Q72" s="37"/>
      <c r="R72" s="37"/>
    </row>
    <row r="73" spans="2:18">
      <c r="B73" s="94" t="str">
        <f t="shared" si="22"/>
        <v>50-56G</v>
      </c>
      <c r="C73" s="77" t="str">
        <f t="shared" si="22"/>
        <v>50G</v>
      </c>
      <c r="D73" s="77" t="str">
        <f t="shared" si="22"/>
        <v>AOC</v>
      </c>
      <c r="E73" s="77">
        <f t="shared" si="22"/>
        <v>1</v>
      </c>
      <c r="F73" s="96" t="str">
        <f t="shared" si="22"/>
        <v>SFP56</v>
      </c>
      <c r="G73" s="67"/>
      <c r="H73" s="67"/>
      <c r="I73" s="191"/>
      <c r="J73" s="67"/>
      <c r="K73" s="67"/>
      <c r="L73" s="67"/>
      <c r="M73" s="67"/>
      <c r="N73" s="67"/>
      <c r="O73" s="67"/>
      <c r="P73" s="67"/>
      <c r="Q73" s="67"/>
      <c r="R73" s="67"/>
    </row>
    <row r="74" spans="2:18" ht="15" customHeight="1">
      <c r="B74" s="94" t="str">
        <f t="shared" si="22"/>
        <v>50-56G</v>
      </c>
      <c r="C74" s="77" t="str">
        <f t="shared" si="22"/>
        <v>200G</v>
      </c>
      <c r="D74" s="77" t="str">
        <f t="shared" si="22"/>
        <v>AOC</v>
      </c>
      <c r="E74" s="77">
        <f t="shared" si="22"/>
        <v>4</v>
      </c>
      <c r="F74" s="96" t="str">
        <f t="shared" si="22"/>
        <v>QSFP56</v>
      </c>
      <c r="G74" s="191"/>
      <c r="H74" s="191"/>
      <c r="I74" s="67"/>
      <c r="J74" s="67"/>
      <c r="K74" s="67"/>
      <c r="L74" s="67"/>
      <c r="M74" s="67"/>
      <c r="N74" s="67"/>
      <c r="O74" s="67"/>
      <c r="P74" s="67"/>
      <c r="Q74" s="67"/>
      <c r="R74" s="67"/>
    </row>
    <row r="75" spans="2:18">
      <c r="B75" s="94" t="str">
        <f t="shared" si="22"/>
        <v>50-56G, 100G</v>
      </c>
      <c r="C75" s="77" t="str">
        <f t="shared" si="22"/>
        <v>400G, 2x200G</v>
      </c>
      <c r="D75" s="77" t="str">
        <f t="shared" si="22"/>
        <v>AOC</v>
      </c>
      <c r="E75" s="77" t="str">
        <f t="shared" si="22"/>
        <v>4 or 8</v>
      </c>
      <c r="F75" s="96" t="str">
        <f t="shared" si="22"/>
        <v>QSFP-DD, OSFP, QSFP112</v>
      </c>
      <c r="G75" s="109">
        <f>IF(G21=0,,G21*G48/10^6)</f>
        <v>0</v>
      </c>
      <c r="H75" s="37">
        <f>IF(H21=0,,H21*H48/10^6)</f>
        <v>0</v>
      </c>
      <c r="I75" s="37"/>
      <c r="J75" s="37"/>
      <c r="K75" s="37"/>
      <c r="L75" s="37"/>
      <c r="M75" s="37"/>
      <c r="N75" s="37"/>
      <c r="O75" s="37"/>
      <c r="P75" s="37"/>
      <c r="Q75" s="37"/>
      <c r="R75" s="37"/>
    </row>
    <row r="76" spans="2:18" ht="15" customHeight="1">
      <c r="B76" s="94" t="str">
        <f t="shared" si="22"/>
        <v>50-56G, 100G</v>
      </c>
      <c r="C76" s="77" t="str">
        <f t="shared" si="22"/>
        <v>400G, 2x200G</v>
      </c>
      <c r="D76" s="77" t="str">
        <f t="shared" si="22"/>
        <v>AOC</v>
      </c>
      <c r="E76" s="77" t="str">
        <f t="shared" si="22"/>
        <v>4:1 or 8:1</v>
      </c>
      <c r="F76" s="96" t="str">
        <f t="shared" si="22"/>
        <v>QSFP-DD, OSFP, QSFP112</v>
      </c>
      <c r="G76" s="109">
        <f>IF(G22=0,,G22*G49/10^6)</f>
        <v>0</v>
      </c>
      <c r="H76" s="109">
        <f>IF(H22=0,,H22*H49/10^6)</f>
        <v>0</v>
      </c>
      <c r="I76" s="37"/>
      <c r="J76" s="37"/>
      <c r="K76" s="37"/>
      <c r="L76" s="37"/>
      <c r="M76" s="37"/>
      <c r="N76" s="37"/>
      <c r="O76" s="37"/>
      <c r="P76" s="37"/>
      <c r="Q76" s="37"/>
      <c r="R76" s="37"/>
    </row>
    <row r="77" spans="2:18" ht="15" customHeight="1">
      <c r="B77" s="94" t="str">
        <f t="shared" si="22"/>
        <v>100G</v>
      </c>
      <c r="C77" s="77" t="str">
        <f t="shared" si="22"/>
        <v>800G</v>
      </c>
      <c r="D77" s="77" t="str">
        <f t="shared" si="22"/>
        <v>AOC</v>
      </c>
      <c r="E77" s="77" t="str">
        <f t="shared" si="22"/>
        <v>8:1</v>
      </c>
      <c r="F77" s="96" t="str">
        <f t="shared" si="22"/>
        <v xml:space="preserve">QSFP-DD800, OSFP </v>
      </c>
      <c r="G77" s="109"/>
      <c r="H77" s="109"/>
      <c r="I77" s="37"/>
      <c r="J77" s="37"/>
      <c r="K77" s="37"/>
      <c r="L77" s="37"/>
      <c r="M77" s="37"/>
      <c r="N77" s="37"/>
      <c r="O77" s="37"/>
      <c r="P77" s="37"/>
      <c r="Q77" s="37"/>
      <c r="R77" s="37"/>
    </row>
    <row r="78" spans="2:18">
      <c r="B78" s="97" t="str">
        <f t="shared" si="22"/>
        <v>100G</v>
      </c>
      <c r="C78" s="78" t="str">
        <f t="shared" si="22"/>
        <v>1.6T</v>
      </c>
      <c r="D78" s="78" t="str">
        <f t="shared" si="22"/>
        <v>AOC</v>
      </c>
      <c r="E78" s="78">
        <f t="shared" si="22"/>
        <v>16</v>
      </c>
      <c r="F78" s="142" t="str">
        <f t="shared" si="22"/>
        <v>OSFP-XD</v>
      </c>
      <c r="G78" s="99"/>
      <c r="H78" s="99"/>
      <c r="I78" s="99"/>
      <c r="J78" s="99"/>
      <c r="K78" s="99"/>
      <c r="L78" s="99"/>
      <c r="M78" s="99"/>
      <c r="N78" s="99"/>
      <c r="O78" s="99"/>
      <c r="P78" s="99"/>
      <c r="Q78" s="99"/>
      <c r="R78" s="99"/>
    </row>
    <row r="79" spans="2:18">
      <c r="B79" s="148" t="s">
        <v>95</v>
      </c>
      <c r="C79" s="149"/>
      <c r="D79" s="149"/>
      <c r="E79" s="149"/>
      <c r="F79" s="149"/>
      <c r="G79" s="110">
        <f>SUM(G62:G78)</f>
        <v>221.72454479323284</v>
      </c>
      <c r="H79" s="111">
        <f t="shared" ref="H79:R79" si="25">SUM(H62:H78)</f>
        <v>206.65941133354022</v>
      </c>
      <c r="I79" s="111">
        <f t="shared" si="25"/>
        <v>0</v>
      </c>
      <c r="J79" s="111">
        <f t="shared" si="25"/>
        <v>0</v>
      </c>
      <c r="K79" s="111">
        <f t="shared" si="25"/>
        <v>0</v>
      </c>
      <c r="L79" s="111">
        <f t="shared" si="25"/>
        <v>0</v>
      </c>
      <c r="M79" s="111">
        <f t="shared" si="25"/>
        <v>0</v>
      </c>
      <c r="N79" s="111">
        <f t="shared" si="25"/>
        <v>0</v>
      </c>
      <c r="O79" s="111">
        <f t="shared" si="25"/>
        <v>0</v>
      </c>
      <c r="P79" s="111">
        <f t="shared" si="25"/>
        <v>0</v>
      </c>
      <c r="Q79" s="111">
        <f t="shared" si="25"/>
        <v>0</v>
      </c>
      <c r="R79" s="111">
        <f t="shared" si="25"/>
        <v>0</v>
      </c>
    </row>
    <row r="80" spans="2:18">
      <c r="B80" s="77"/>
      <c r="C80" s="77"/>
      <c r="D80" s="77"/>
      <c r="F80" s="17"/>
      <c r="G80" s="18"/>
      <c r="H80" s="18"/>
      <c r="I80" s="18"/>
      <c r="J80" s="18"/>
      <c r="K80" s="18"/>
      <c r="L80" s="18"/>
      <c r="M80" s="18"/>
      <c r="N80" s="18"/>
      <c r="O80" s="18"/>
      <c r="P80" s="18"/>
      <c r="Q80" s="18"/>
      <c r="R80" s="18"/>
    </row>
    <row r="81" spans="2:18" ht="18.75" customHeight="1">
      <c r="B81" s="85" t="str">
        <f>B7</f>
        <v>Lane Speed</v>
      </c>
      <c r="C81" s="86" t="str">
        <f>C7</f>
        <v>Agg. Speed</v>
      </c>
      <c r="D81" s="100" t="str">
        <f>D7</f>
        <v>Type</v>
      </c>
      <c r="E81" s="100" t="str">
        <f>E7</f>
        <v>Lanes</v>
      </c>
      <c r="F81" s="101" t="str">
        <f>F7</f>
        <v>Form Factor</v>
      </c>
      <c r="G81" s="80">
        <v>2016</v>
      </c>
      <c r="H81" s="35">
        <v>2017</v>
      </c>
      <c r="I81" s="35">
        <v>2018</v>
      </c>
      <c r="J81" s="35">
        <v>2019</v>
      </c>
      <c r="K81" s="35">
        <v>2020</v>
      </c>
      <c r="L81" s="35">
        <v>2021</v>
      </c>
      <c r="M81" s="35">
        <v>2022</v>
      </c>
      <c r="N81" s="35">
        <v>2023</v>
      </c>
      <c r="O81" s="35">
        <v>2024</v>
      </c>
      <c r="P81" s="35">
        <v>2025</v>
      </c>
      <c r="Q81" s="35">
        <v>2026</v>
      </c>
      <c r="R81" s="35">
        <v>2027</v>
      </c>
    </row>
    <row r="82" spans="2:18">
      <c r="B82" s="93" t="str">
        <f t="shared" ref="B82:F83" si="26">B28</f>
        <v>All</v>
      </c>
      <c r="C82" s="82" t="str">
        <f t="shared" si="26"/>
        <v>All</v>
      </c>
      <c r="D82" s="82" t="str">
        <f t="shared" si="26"/>
        <v>AOC</v>
      </c>
      <c r="E82" s="82" t="str">
        <f t="shared" si="26"/>
        <v>Single</v>
      </c>
      <c r="F82" s="95" t="str">
        <f t="shared" si="26"/>
        <v>All</v>
      </c>
      <c r="G82" s="103">
        <f t="shared" ref="G82:R82" si="27">G62+G68+G73</f>
        <v>41.314569322808062</v>
      </c>
      <c r="H82" s="103">
        <f t="shared" si="27"/>
        <v>73.672164000000009</v>
      </c>
      <c r="I82" s="103">
        <f t="shared" si="27"/>
        <v>0</v>
      </c>
      <c r="J82" s="103">
        <f t="shared" si="27"/>
        <v>0</v>
      </c>
      <c r="K82" s="103">
        <f t="shared" si="27"/>
        <v>0</v>
      </c>
      <c r="L82" s="103">
        <f t="shared" si="27"/>
        <v>0</v>
      </c>
      <c r="M82" s="103">
        <f t="shared" si="27"/>
        <v>0</v>
      </c>
      <c r="N82" s="103">
        <f t="shared" si="27"/>
        <v>0</v>
      </c>
      <c r="O82" s="103">
        <f t="shared" si="27"/>
        <v>0</v>
      </c>
      <c r="P82" s="103">
        <f t="shared" si="27"/>
        <v>0</v>
      </c>
      <c r="Q82" s="103">
        <f t="shared" si="27"/>
        <v>0</v>
      </c>
      <c r="R82" s="103">
        <f t="shared" si="27"/>
        <v>0</v>
      </c>
    </row>
    <row r="83" spans="2:18">
      <c r="B83" s="94" t="str">
        <f t="shared" si="26"/>
        <v>All</v>
      </c>
      <c r="C83" s="77" t="str">
        <f t="shared" si="26"/>
        <v>All</v>
      </c>
      <c r="D83" s="77" t="str">
        <f t="shared" si="26"/>
        <v>AOC</v>
      </c>
      <c r="E83" s="77" t="str">
        <f t="shared" si="26"/>
        <v>Multi-</v>
      </c>
      <c r="F83" s="96" t="str">
        <f t="shared" si="26"/>
        <v>All</v>
      </c>
      <c r="G83" s="106">
        <f>G79-G82</f>
        <v>180.40997547042477</v>
      </c>
      <c r="H83" s="106">
        <f t="shared" ref="H83:R83" si="28">H79-H82</f>
        <v>132.98724733354021</v>
      </c>
      <c r="I83" s="106">
        <f t="shared" si="28"/>
        <v>0</v>
      </c>
      <c r="J83" s="106">
        <f t="shared" si="28"/>
        <v>0</v>
      </c>
      <c r="K83" s="106">
        <f t="shared" si="28"/>
        <v>0</v>
      </c>
      <c r="L83" s="106">
        <f t="shared" si="28"/>
        <v>0</v>
      </c>
      <c r="M83" s="106">
        <f t="shared" si="28"/>
        <v>0</v>
      </c>
      <c r="N83" s="106">
        <f t="shared" si="28"/>
        <v>0</v>
      </c>
      <c r="O83" s="106">
        <f t="shared" si="28"/>
        <v>0</v>
      </c>
      <c r="P83" s="106">
        <f t="shared" si="28"/>
        <v>0</v>
      </c>
      <c r="Q83" s="106">
        <f t="shared" si="28"/>
        <v>0</v>
      </c>
      <c r="R83" s="106">
        <f t="shared" si="28"/>
        <v>0</v>
      </c>
    </row>
    <row r="84" spans="2:18">
      <c r="B84" s="87" t="s">
        <v>13</v>
      </c>
      <c r="C84" s="100" t="s">
        <v>57</v>
      </c>
      <c r="D84" s="100" t="s">
        <v>57</v>
      </c>
      <c r="E84" s="129" t="s">
        <v>57</v>
      </c>
      <c r="F84" s="129" t="s">
        <v>57</v>
      </c>
      <c r="G84" s="110">
        <f t="shared" ref="G84:R84" si="29">SUM(G82:G83)</f>
        <v>221.72454479323284</v>
      </c>
      <c r="H84" s="111">
        <f t="shared" si="29"/>
        <v>206.65941133354022</v>
      </c>
      <c r="I84" s="111">
        <f t="shared" si="29"/>
        <v>0</v>
      </c>
      <c r="J84" s="111">
        <f t="shared" si="29"/>
        <v>0</v>
      </c>
      <c r="K84" s="111">
        <f t="shared" si="29"/>
        <v>0</v>
      </c>
      <c r="L84" s="111">
        <f t="shared" si="29"/>
        <v>0</v>
      </c>
      <c r="M84" s="111">
        <f t="shared" si="29"/>
        <v>0</v>
      </c>
      <c r="N84" s="111">
        <f t="shared" si="29"/>
        <v>0</v>
      </c>
      <c r="O84" s="111">
        <f t="shared" si="29"/>
        <v>0</v>
      </c>
      <c r="P84" s="111">
        <f t="shared" si="29"/>
        <v>0</v>
      </c>
      <c r="Q84" s="111">
        <f t="shared" si="29"/>
        <v>0</v>
      </c>
      <c r="R84" s="111">
        <f t="shared" si="29"/>
        <v>0</v>
      </c>
    </row>
    <row r="85" spans="2:18">
      <c r="F85" s="17"/>
      <c r="G85" s="75"/>
      <c r="H85" s="75"/>
      <c r="I85" s="75"/>
      <c r="J85" s="75"/>
      <c r="K85" s="75"/>
      <c r="L85" s="75"/>
      <c r="M85" s="75"/>
      <c r="N85" s="75"/>
      <c r="O85" s="75"/>
      <c r="P85" s="75"/>
      <c r="Q85" s="226"/>
      <c r="R85" s="226"/>
    </row>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B2:W30"/>
  <sheetViews>
    <sheetView showGridLines="0" zoomScale="70" zoomScaleNormal="70" zoomScalePageLayoutView="80" workbookViewId="0"/>
  </sheetViews>
  <sheetFormatPr defaultColWidth="8.77734375" defaultRowHeight="13.8"/>
  <cols>
    <col min="1" max="1" width="4.44140625" style="8" customWidth="1"/>
    <col min="2" max="3" width="10.77734375" style="8" customWidth="1"/>
    <col min="4" max="5" width="8.77734375" style="8"/>
    <col min="6" max="6" width="11.44140625" style="8" customWidth="1"/>
    <col min="7" max="18" width="8.77734375" style="8" customWidth="1"/>
    <col min="19" max="19" width="2.6640625" style="8" customWidth="1"/>
    <col min="20" max="20" width="25.44140625" style="8" customWidth="1"/>
    <col min="21" max="21" width="9.21875" style="8" bestFit="1" customWidth="1"/>
    <col min="22" max="25" width="8.77734375" style="8"/>
    <col min="26" max="33" width="10.44140625" style="8" customWidth="1"/>
    <col min="34" max="16384" width="8.77734375" style="8"/>
  </cols>
  <sheetData>
    <row r="2" spans="2:23" ht="23.4">
      <c r="B2" s="3" t="str">
        <f>Introduction!B2</f>
        <v>LightCounting High-Speed Cables Forecast</v>
      </c>
      <c r="C2" s="3"/>
      <c r="S2" s="14" t="s">
        <v>16</v>
      </c>
      <c r="V2" s="19"/>
      <c r="W2" s="19"/>
    </row>
    <row r="3" spans="2:23" ht="15.6">
      <c r="B3" s="189" t="str">
        <f>Introduction!B3</f>
        <v>December 2022 - sample template</v>
      </c>
      <c r="C3" s="189"/>
      <c r="P3" s="17"/>
      <c r="Q3" s="17"/>
    </row>
    <row r="4" spans="2:23">
      <c r="P4" s="18"/>
      <c r="Q4" s="18"/>
      <c r="R4" s="133"/>
    </row>
    <row r="5" spans="2:23" ht="17.399999999999999">
      <c r="B5" s="3" t="s">
        <v>152</v>
      </c>
      <c r="C5" s="3"/>
      <c r="P5" s="18"/>
      <c r="Q5" s="18"/>
      <c r="R5" s="133"/>
    </row>
    <row r="6" spans="2:23" ht="21">
      <c r="B6" s="23" t="s">
        <v>22</v>
      </c>
      <c r="C6" s="23"/>
      <c r="H6" s="22" t="s">
        <v>21</v>
      </c>
    </row>
    <row r="7" spans="2:23">
      <c r="B7" s="85" t="str">
        <f>'AOC forecast'!B7</f>
        <v>Lane Speed</v>
      </c>
      <c r="C7" s="86" t="str">
        <f>'AOC forecast'!C7</f>
        <v>Agg. Speed</v>
      </c>
      <c r="D7" s="100" t="str">
        <f>'AOC forecast'!D7</f>
        <v>Type</v>
      </c>
      <c r="E7" s="100" t="str">
        <f>'AOC forecast'!E7</f>
        <v>Lanes</v>
      </c>
      <c r="F7" s="101" t="str">
        <f>'AOC forecast'!F7</f>
        <v>Form Factor</v>
      </c>
      <c r="G7" s="30">
        <v>2016</v>
      </c>
      <c r="H7" s="30">
        <v>2017</v>
      </c>
      <c r="I7" s="30">
        <v>2018</v>
      </c>
      <c r="J7" s="30">
        <v>2019</v>
      </c>
      <c r="K7" s="30">
        <v>2020</v>
      </c>
      <c r="L7" s="30">
        <v>2021</v>
      </c>
      <c r="M7" s="30">
        <v>2022</v>
      </c>
      <c r="N7" s="30">
        <v>2023</v>
      </c>
      <c r="O7" s="30">
        <v>2024</v>
      </c>
      <c r="P7" s="30">
        <v>2025</v>
      </c>
      <c r="Q7" s="30">
        <v>2026</v>
      </c>
      <c r="R7" s="30">
        <v>2027</v>
      </c>
      <c r="T7" s="155" t="s">
        <v>88</v>
      </c>
    </row>
    <row r="8" spans="2:23">
      <c r="B8" s="94" t="str">
        <f>Segmentation!D18</f>
        <v>≤12.5G</v>
      </c>
      <c r="C8" s="77" t="str">
        <f>Segmentation!C18</f>
        <v>150G</v>
      </c>
      <c r="D8" s="77" t="str">
        <f>Segmentation!B18</f>
        <v>EOM</v>
      </c>
      <c r="E8" s="77">
        <f>Segmentation!E18</f>
        <v>12</v>
      </c>
      <c r="F8" s="96" t="str">
        <f>Segmentation!F18</f>
        <v>XCVR - CXP</v>
      </c>
      <c r="G8" s="70">
        <f>'Combined forecast'!G12</f>
        <v>25000</v>
      </c>
      <c r="H8" s="70">
        <f>'Combined forecast'!H12</f>
        <v>16425</v>
      </c>
      <c r="I8" s="70">
        <f>'Combined forecast'!I12</f>
        <v>0</v>
      </c>
      <c r="J8" s="70">
        <f>'Combined forecast'!J12</f>
        <v>0</v>
      </c>
      <c r="K8" s="70">
        <f>'Combined forecast'!K12</f>
        <v>0</v>
      </c>
      <c r="L8" s="70">
        <f>'Combined forecast'!L12</f>
        <v>0</v>
      </c>
      <c r="M8" s="70">
        <f>'Combined forecast'!M12</f>
        <v>0</v>
      </c>
      <c r="N8" s="70">
        <f>'Combined forecast'!N12</f>
        <v>0</v>
      </c>
      <c r="O8" s="70">
        <f>'Combined forecast'!O12</f>
        <v>0</v>
      </c>
      <c r="P8" s="70">
        <f>'Combined forecast'!P12</f>
        <v>0</v>
      </c>
      <c r="Q8" s="70">
        <f>'Combined forecast'!Q12</f>
        <v>0</v>
      </c>
      <c r="R8" s="70">
        <f>'Combined forecast'!R12</f>
        <v>0</v>
      </c>
      <c r="T8" s="89" t="str">
        <f>D8&amp;" "&amp;E8&amp;"x"&amp;B8&amp;" "&amp;" "&amp;F8</f>
        <v>EOM 12x≤12.5G  XCVR - CXP</v>
      </c>
      <c r="U8" s="18"/>
      <c r="V8" s="133"/>
    </row>
    <row r="9" spans="2:23">
      <c r="B9" s="94" t="str">
        <f>Segmentation!D27</f>
        <v>25-28G</v>
      </c>
      <c r="C9" s="77" t="str">
        <f>Segmentation!C27</f>
        <v>300G</v>
      </c>
      <c r="D9" s="77" t="str">
        <f>Segmentation!B27</f>
        <v>EOM</v>
      </c>
      <c r="E9" s="77">
        <f>Segmentation!E27</f>
        <v>12</v>
      </c>
      <c r="F9" s="96" t="str">
        <f>Segmentation!F27</f>
        <v>XCVR - CXP28</v>
      </c>
      <c r="G9" s="45">
        <f>'Combined forecast'!G21</f>
        <v>0</v>
      </c>
      <c r="H9" s="45">
        <f>'Combined forecast'!H21</f>
        <v>0</v>
      </c>
      <c r="I9" s="45">
        <f>'Combined forecast'!I21</f>
        <v>0</v>
      </c>
      <c r="J9" s="45">
        <f>'Combined forecast'!J21</f>
        <v>0</v>
      </c>
      <c r="K9" s="45">
        <f>'Combined forecast'!K21</f>
        <v>0</v>
      </c>
      <c r="L9" s="45">
        <f>'Combined forecast'!L21</f>
        <v>0</v>
      </c>
      <c r="M9" s="45">
        <f>'Combined forecast'!M21</f>
        <v>0</v>
      </c>
      <c r="N9" s="45">
        <f>'Combined forecast'!N21</f>
        <v>0</v>
      </c>
      <c r="O9" s="45">
        <f>'Combined forecast'!O21</f>
        <v>0</v>
      </c>
      <c r="P9" s="45">
        <f>'Combined forecast'!P21</f>
        <v>0</v>
      </c>
      <c r="Q9" s="45">
        <f>'Combined forecast'!Q21</f>
        <v>0</v>
      </c>
      <c r="R9" s="45">
        <f>'Combined forecast'!R21</f>
        <v>0</v>
      </c>
      <c r="T9" s="89" t="str">
        <f>D9&amp;" "&amp;E9&amp;"x"&amp;B9&amp;" "&amp;" "&amp;F9</f>
        <v>EOM 12x25-28G  XCVR - CXP28</v>
      </c>
    </row>
    <row r="10" spans="2:23">
      <c r="B10" s="94" t="str">
        <f>Segmentation!D26</f>
        <v>25-28G</v>
      </c>
      <c r="C10" s="77" t="str">
        <f>Segmentation!C26</f>
        <v>100G-600G</v>
      </c>
      <c r="D10" s="77" t="str">
        <f>Segmentation!B26</f>
        <v>EOM</v>
      </c>
      <c r="E10" s="77" t="str">
        <f>Segmentation!E26</f>
        <v>4,8,12,16,24</v>
      </c>
      <c r="F10" s="96" t="str">
        <f>Segmentation!F26</f>
        <v>XCVR</v>
      </c>
      <c r="G10" s="45">
        <f>'Combined forecast'!G20</f>
        <v>53000</v>
      </c>
      <c r="H10" s="45">
        <f>'Combined forecast'!H20</f>
        <v>118091</v>
      </c>
      <c r="I10" s="45">
        <f>'Combined forecast'!I20</f>
        <v>0</v>
      </c>
      <c r="J10" s="45">
        <f>'Combined forecast'!J20</f>
        <v>0</v>
      </c>
      <c r="K10" s="45">
        <f>'Combined forecast'!K20</f>
        <v>0</v>
      </c>
      <c r="L10" s="45">
        <f>'Combined forecast'!L20</f>
        <v>0</v>
      </c>
      <c r="M10" s="45">
        <f>'Combined forecast'!M20</f>
        <v>0</v>
      </c>
      <c r="N10" s="45">
        <f>'Combined forecast'!N20</f>
        <v>0</v>
      </c>
      <c r="O10" s="45">
        <f>'Combined forecast'!O20</f>
        <v>0</v>
      </c>
      <c r="P10" s="45">
        <f>'Combined forecast'!P20</f>
        <v>0</v>
      </c>
      <c r="Q10" s="45">
        <f>'Combined forecast'!Q20</f>
        <v>0</v>
      </c>
      <c r="R10" s="45">
        <f>'Combined forecast'!R20</f>
        <v>0</v>
      </c>
      <c r="T10" s="89" t="str">
        <f>D10&amp;" "&amp;E10&amp;"x"&amp;B10&amp;" "&amp;" "&amp;F10</f>
        <v>EOM 4,8,12,16,24x25-28G  XCVR</v>
      </c>
    </row>
    <row r="11" spans="2:23" ht="13.5" customHeight="1">
      <c r="B11" s="94" t="str">
        <f>Segmentation!D30</f>
        <v>50-56G, 100G</v>
      </c>
      <c r="C11" s="77" t="str">
        <f>Segmentation!C30</f>
        <v>200G - 3.2T</v>
      </c>
      <c r="D11" s="77" t="str">
        <f>Segmentation!B30</f>
        <v>EOM</v>
      </c>
      <c r="E11" s="77" t="str">
        <f>Segmentation!E30</f>
        <v>8,12,16,24</v>
      </c>
      <c r="F11" s="96" t="str">
        <f>Segmentation!F30</f>
        <v>TBD</v>
      </c>
      <c r="G11" s="45">
        <f>'Combined forecast'!G24</f>
        <v>0</v>
      </c>
      <c r="H11" s="45">
        <f>'Combined forecast'!H24</f>
        <v>0</v>
      </c>
      <c r="I11" s="45">
        <f>'Combined forecast'!I24</f>
        <v>0</v>
      </c>
      <c r="J11" s="45">
        <f>'Combined forecast'!J24</f>
        <v>0</v>
      </c>
      <c r="K11" s="45">
        <f>'Combined forecast'!K24</f>
        <v>0</v>
      </c>
      <c r="L11" s="45">
        <f>'Combined forecast'!L24</f>
        <v>0</v>
      </c>
      <c r="M11" s="45">
        <f>'Combined forecast'!M24</f>
        <v>0</v>
      </c>
      <c r="N11" s="45">
        <f>'Combined forecast'!N24</f>
        <v>0</v>
      </c>
      <c r="O11" s="45">
        <f>'Combined forecast'!O24</f>
        <v>0</v>
      </c>
      <c r="P11" s="45">
        <f>'Combined forecast'!P24</f>
        <v>0</v>
      </c>
      <c r="Q11" s="45">
        <f>'Combined forecast'!Q24</f>
        <v>0</v>
      </c>
      <c r="R11" s="45">
        <f>'Combined forecast'!R24</f>
        <v>0</v>
      </c>
      <c r="T11" s="90" t="str">
        <f>D11&amp;" "&amp;E11&amp;"x"&amp;B11&amp;" "&amp;" "&amp;F11</f>
        <v>EOM 8,12,16,24x50-56G, 100G  TBD</v>
      </c>
      <c r="U11" s="18"/>
      <c r="V11" s="133"/>
    </row>
    <row r="12" spans="2:23">
      <c r="B12" s="87" t="s">
        <v>13</v>
      </c>
      <c r="C12" s="100" t="s">
        <v>57</v>
      </c>
      <c r="D12" s="100" t="s">
        <v>57</v>
      </c>
      <c r="E12" s="129" t="s">
        <v>57</v>
      </c>
      <c r="F12" s="92" t="s">
        <v>57</v>
      </c>
      <c r="G12" s="36">
        <f>SUM(G8:G11)</f>
        <v>78000</v>
      </c>
      <c r="H12" s="36">
        <f t="shared" ref="H12:R12" si="0">SUM(H8:H11)</f>
        <v>134516</v>
      </c>
      <c r="I12" s="36">
        <f t="shared" si="0"/>
        <v>0</v>
      </c>
      <c r="J12" s="36">
        <f t="shared" si="0"/>
        <v>0</v>
      </c>
      <c r="K12" s="36">
        <f t="shared" si="0"/>
        <v>0</v>
      </c>
      <c r="L12" s="36">
        <f t="shared" si="0"/>
        <v>0</v>
      </c>
      <c r="M12" s="36">
        <f t="shared" si="0"/>
        <v>0</v>
      </c>
      <c r="N12" s="36">
        <f t="shared" si="0"/>
        <v>0</v>
      </c>
      <c r="O12" s="36">
        <f t="shared" si="0"/>
        <v>0</v>
      </c>
      <c r="P12" s="36">
        <f t="shared" si="0"/>
        <v>0</v>
      </c>
      <c r="Q12" s="36">
        <f t="shared" si="0"/>
        <v>0</v>
      </c>
      <c r="R12" s="36">
        <f t="shared" si="0"/>
        <v>0</v>
      </c>
    </row>
    <row r="13" spans="2:23">
      <c r="F13" s="16"/>
      <c r="G13" s="18"/>
      <c r="H13" s="18"/>
      <c r="I13" s="18"/>
      <c r="J13" s="18"/>
      <c r="K13" s="18"/>
      <c r="L13" s="18"/>
      <c r="M13" s="18"/>
      <c r="N13" s="18"/>
      <c r="O13" s="18"/>
      <c r="P13" s="18"/>
      <c r="Q13" s="18"/>
      <c r="R13" s="18"/>
    </row>
    <row r="14" spans="2:23" customFormat="1" ht="13.2"/>
    <row r="15" spans="2:23" customFormat="1" ht="13.2"/>
    <row r="16" spans="2:23">
      <c r="B16" s="85" t="str">
        <f>B7</f>
        <v>Lane Speed</v>
      </c>
      <c r="C16" s="86" t="str">
        <f>C7</f>
        <v>Agg. Speed</v>
      </c>
      <c r="D16" s="100" t="str">
        <f>D7</f>
        <v>Type</v>
      </c>
      <c r="E16" s="100" t="str">
        <f>E7</f>
        <v>Lanes</v>
      </c>
      <c r="F16" s="101" t="str">
        <f>F7</f>
        <v>Form Factor</v>
      </c>
      <c r="G16" s="30">
        <v>2016</v>
      </c>
      <c r="H16" s="30">
        <v>2017</v>
      </c>
      <c r="I16" s="30">
        <v>2018</v>
      </c>
      <c r="J16" s="30">
        <v>2019</v>
      </c>
      <c r="K16" s="30">
        <v>2020</v>
      </c>
      <c r="L16" s="30">
        <v>2021</v>
      </c>
      <c r="M16" s="30">
        <v>2022</v>
      </c>
      <c r="N16" s="30">
        <v>2023</v>
      </c>
      <c r="O16" s="30">
        <v>2024</v>
      </c>
      <c r="P16" s="30">
        <v>2025</v>
      </c>
      <c r="Q16" s="30">
        <v>2026</v>
      </c>
      <c r="R16" s="30">
        <v>2027</v>
      </c>
    </row>
    <row r="17" spans="2:18">
      <c r="B17" s="94" t="str">
        <f>'EOM forecast'!B8</f>
        <v>≤12.5G</v>
      </c>
      <c r="C17" s="77" t="str">
        <f>'EOM forecast'!C8</f>
        <v>150G</v>
      </c>
      <c r="D17" s="77" t="str">
        <f>'EOM forecast'!D8</f>
        <v>EOM</v>
      </c>
      <c r="E17" s="77">
        <f>'EOM forecast'!E8</f>
        <v>12</v>
      </c>
      <c r="F17" s="96" t="str">
        <f>'EOM forecast'!F8</f>
        <v>XCVR - CXP</v>
      </c>
      <c r="G17" s="67">
        <f>'Combined forecast'!G74</f>
        <v>342.7488586381445</v>
      </c>
      <c r="H17" s="67">
        <f>'Combined forecast'!H74</f>
        <v>343.56395738203958</v>
      </c>
      <c r="I17" s="67">
        <f>'Combined forecast'!I74</f>
        <v>0</v>
      </c>
      <c r="J17" s="67">
        <f>'Combined forecast'!J74</f>
        <v>0</v>
      </c>
      <c r="K17" s="67">
        <f>'Combined forecast'!K74</f>
        <v>0</v>
      </c>
      <c r="L17" s="67">
        <f>'Combined forecast'!L74</f>
        <v>0</v>
      </c>
      <c r="M17" s="67">
        <f>'Combined forecast'!M74</f>
        <v>0</v>
      </c>
      <c r="N17" s="67">
        <f>'Combined forecast'!N74</f>
        <v>0</v>
      </c>
      <c r="O17" s="67">
        <f>'Combined forecast'!O74</f>
        <v>0</v>
      </c>
      <c r="P17" s="67">
        <f>'Combined forecast'!P74</f>
        <v>0</v>
      </c>
      <c r="Q17" s="67">
        <f>'Combined forecast'!Q74</f>
        <v>0</v>
      </c>
      <c r="R17" s="67">
        <f>'Combined forecast'!R74</f>
        <v>0</v>
      </c>
    </row>
    <row r="18" spans="2:18">
      <c r="B18" s="94" t="str">
        <f>'EOM forecast'!B9</f>
        <v>25-28G</v>
      </c>
      <c r="C18" s="77" t="str">
        <f>'EOM forecast'!C9</f>
        <v>300G</v>
      </c>
      <c r="D18" s="77" t="str">
        <f>'EOM forecast'!D9</f>
        <v>EOM</v>
      </c>
      <c r="E18" s="77">
        <f>'EOM forecast'!E9</f>
        <v>12</v>
      </c>
      <c r="F18" s="96" t="str">
        <f>'EOM forecast'!F9</f>
        <v>XCVR - CXP28</v>
      </c>
      <c r="G18" s="137">
        <f>'Combined forecast'!G83</f>
        <v>0</v>
      </c>
      <c r="H18" s="137">
        <f>'Combined forecast'!H83</f>
        <v>0</v>
      </c>
      <c r="I18" s="137">
        <f>'Combined forecast'!I83</f>
        <v>0</v>
      </c>
      <c r="J18" s="137">
        <f>'Combined forecast'!J83</f>
        <v>0</v>
      </c>
      <c r="K18" s="137">
        <f>'Combined forecast'!K83</f>
        <v>0</v>
      </c>
      <c r="L18" s="137">
        <f>'Combined forecast'!L83</f>
        <v>0</v>
      </c>
      <c r="M18" s="137">
        <f>'Combined forecast'!M83</f>
        <v>0</v>
      </c>
      <c r="N18" s="137">
        <f>'Combined forecast'!N83</f>
        <v>0</v>
      </c>
      <c r="O18" s="137">
        <f>'Combined forecast'!O83</f>
        <v>0</v>
      </c>
      <c r="P18" s="137">
        <f>'Combined forecast'!P83</f>
        <v>0</v>
      </c>
      <c r="Q18" s="137">
        <f>'Combined forecast'!Q83</f>
        <v>0</v>
      </c>
      <c r="R18" s="137">
        <f>'Combined forecast'!R83</f>
        <v>0</v>
      </c>
    </row>
    <row r="19" spans="2:18" ht="15" customHeight="1">
      <c r="B19" s="94" t="str">
        <f t="shared" ref="B19:F20" si="1">B10</f>
        <v>25-28G</v>
      </c>
      <c r="C19" s="77" t="str">
        <f t="shared" si="1"/>
        <v>100G-600G</v>
      </c>
      <c r="D19" s="77" t="str">
        <f t="shared" si="1"/>
        <v>EOM</v>
      </c>
      <c r="E19" s="77" t="str">
        <f t="shared" si="1"/>
        <v>4,8,12,16,24</v>
      </c>
      <c r="F19" s="96" t="str">
        <f t="shared" si="1"/>
        <v>XCVR</v>
      </c>
      <c r="G19" s="67">
        <f>'Combined forecast'!G82</f>
        <v>458.28301165637117</v>
      </c>
      <c r="H19" s="67">
        <f>'Combined forecast'!H82</f>
        <v>419</v>
      </c>
      <c r="I19" s="67">
        <f>'Combined forecast'!I82</f>
        <v>0</v>
      </c>
      <c r="J19" s="67">
        <f>'Combined forecast'!J82</f>
        <v>0</v>
      </c>
      <c r="K19" s="67">
        <f>'Combined forecast'!K82</f>
        <v>0</v>
      </c>
      <c r="L19" s="67">
        <f>'Combined forecast'!L82</f>
        <v>0</v>
      </c>
      <c r="M19" s="67">
        <f>'Combined forecast'!M82</f>
        <v>0</v>
      </c>
      <c r="N19" s="67">
        <f>'Combined forecast'!N82</f>
        <v>0</v>
      </c>
      <c r="O19" s="67">
        <f>'Combined forecast'!O82</f>
        <v>0</v>
      </c>
      <c r="P19" s="67">
        <f>'Combined forecast'!P82</f>
        <v>0</v>
      </c>
      <c r="Q19" s="67">
        <f>'Combined forecast'!Q82</f>
        <v>0</v>
      </c>
      <c r="R19" s="67">
        <f>'Combined forecast'!R82</f>
        <v>0</v>
      </c>
    </row>
    <row r="20" spans="2:18">
      <c r="B20" s="97" t="str">
        <f t="shared" si="1"/>
        <v>50-56G, 100G</v>
      </c>
      <c r="C20" s="78" t="str">
        <f t="shared" si="1"/>
        <v>200G - 3.2T</v>
      </c>
      <c r="D20" s="78" t="str">
        <f t="shared" si="1"/>
        <v>EOM</v>
      </c>
      <c r="E20" s="78" t="str">
        <f t="shared" si="1"/>
        <v>8,12,16,24</v>
      </c>
      <c r="F20" s="142" t="str">
        <f t="shared" si="1"/>
        <v>TBD</v>
      </c>
      <c r="G20" s="68"/>
      <c r="H20" s="68"/>
      <c r="I20" s="68"/>
      <c r="J20" s="68">
        <f>'Combined forecast'!J86</f>
        <v>0</v>
      </c>
      <c r="K20" s="68">
        <f>'Combined forecast'!K86</f>
        <v>0</v>
      </c>
      <c r="L20" s="68">
        <f>'Combined forecast'!L86</f>
        <v>0</v>
      </c>
      <c r="M20" s="68">
        <f>'Combined forecast'!M86</f>
        <v>0</v>
      </c>
      <c r="N20" s="68">
        <f>'Combined forecast'!N86</f>
        <v>0</v>
      </c>
      <c r="O20" s="68">
        <f>'Combined forecast'!O86</f>
        <v>0</v>
      </c>
      <c r="P20" s="68">
        <f>'Combined forecast'!P86</f>
        <v>0</v>
      </c>
      <c r="Q20" s="68">
        <f>'Combined forecast'!Q86</f>
        <v>0</v>
      </c>
      <c r="R20" s="68">
        <f>'Combined forecast'!R86</f>
        <v>0</v>
      </c>
    </row>
    <row r="21" spans="2:18">
      <c r="B21" s="77"/>
      <c r="C21" s="77"/>
      <c r="D21" s="77"/>
      <c r="E21" s="77"/>
      <c r="F21" s="77"/>
      <c r="G21" s="67"/>
      <c r="H21" s="67"/>
      <c r="I21" s="67"/>
      <c r="J21" s="67"/>
      <c r="K21" s="67"/>
      <c r="L21" s="67"/>
      <c r="M21" s="67"/>
      <c r="N21" s="67"/>
      <c r="O21" s="67"/>
      <c r="P21" s="67"/>
      <c r="Q21" s="67"/>
      <c r="R21" s="67"/>
    </row>
    <row r="23" spans="2:18" ht="21">
      <c r="B23" s="24" t="s">
        <v>20</v>
      </c>
      <c r="C23" s="24"/>
      <c r="D23" s="11"/>
      <c r="H23" s="8" t="s">
        <v>15</v>
      </c>
    </row>
    <row r="24" spans="2:18">
      <c r="B24" s="85" t="str">
        <f t="shared" ref="B24:F28" si="2">B7</f>
        <v>Lane Speed</v>
      </c>
      <c r="C24" s="100" t="str">
        <f t="shared" si="2"/>
        <v>Agg. Speed</v>
      </c>
      <c r="D24" s="100" t="str">
        <f t="shared" si="2"/>
        <v>Type</v>
      </c>
      <c r="E24" s="100" t="str">
        <f t="shared" si="2"/>
        <v>Lanes</v>
      </c>
      <c r="F24" s="101" t="str">
        <f t="shared" si="2"/>
        <v>Form Factor</v>
      </c>
      <c r="G24" s="30">
        <v>2016</v>
      </c>
      <c r="H24" s="30">
        <v>2017</v>
      </c>
      <c r="I24" s="30">
        <v>2018</v>
      </c>
      <c r="J24" s="30">
        <v>2019</v>
      </c>
      <c r="K24" s="30">
        <v>2020</v>
      </c>
      <c r="L24" s="30">
        <v>2021</v>
      </c>
      <c r="M24" s="30">
        <v>2022</v>
      </c>
      <c r="N24" s="30">
        <v>2023</v>
      </c>
      <c r="O24" s="30">
        <v>2024</v>
      </c>
      <c r="P24" s="30">
        <v>2025</v>
      </c>
      <c r="Q24" s="30">
        <v>2026</v>
      </c>
      <c r="R24" s="30">
        <v>2027</v>
      </c>
    </row>
    <row r="25" spans="2:18">
      <c r="B25" s="134" t="str">
        <f t="shared" si="2"/>
        <v>≤12.5G</v>
      </c>
      <c r="C25" s="132" t="str">
        <f t="shared" si="2"/>
        <v>150G</v>
      </c>
      <c r="D25" s="132" t="str">
        <f t="shared" si="2"/>
        <v>EOM</v>
      </c>
      <c r="E25" s="77">
        <f t="shared" si="2"/>
        <v>12</v>
      </c>
      <c r="F25" s="177" t="str">
        <f t="shared" si="2"/>
        <v>XCVR - CXP</v>
      </c>
      <c r="G25" s="37">
        <f t="shared" ref="G25:P25" si="3">IF(G8=0,,G8*G17/10^6)</f>
        <v>8.5687214659536135</v>
      </c>
      <c r="H25" s="37">
        <f t="shared" si="3"/>
        <v>5.6430379999999998</v>
      </c>
      <c r="I25" s="37">
        <f t="shared" si="3"/>
        <v>0</v>
      </c>
      <c r="J25" s="37">
        <f t="shared" si="3"/>
        <v>0</v>
      </c>
      <c r="K25" s="37">
        <f t="shared" si="3"/>
        <v>0</v>
      </c>
      <c r="L25" s="37">
        <f t="shared" si="3"/>
        <v>0</v>
      </c>
      <c r="M25" s="37">
        <f t="shared" si="3"/>
        <v>0</v>
      </c>
      <c r="N25" s="37">
        <f t="shared" si="3"/>
        <v>0</v>
      </c>
      <c r="O25" s="37">
        <f t="shared" si="3"/>
        <v>0</v>
      </c>
      <c r="P25" s="37">
        <f t="shared" si="3"/>
        <v>0</v>
      </c>
      <c r="Q25" s="37">
        <f>IF(Q8=0,,Q8*Q17/10^6)</f>
        <v>0</v>
      </c>
      <c r="R25" s="37">
        <f>IF(R8=0,,R8*R17/10^6)</f>
        <v>0</v>
      </c>
    </row>
    <row r="26" spans="2:18">
      <c r="B26" s="134" t="str">
        <f t="shared" si="2"/>
        <v>25-28G</v>
      </c>
      <c r="C26" s="132" t="str">
        <f t="shared" si="2"/>
        <v>300G</v>
      </c>
      <c r="D26" s="132" t="str">
        <f t="shared" si="2"/>
        <v>EOM</v>
      </c>
      <c r="E26" s="77">
        <f t="shared" si="2"/>
        <v>12</v>
      </c>
      <c r="F26" s="177" t="str">
        <f t="shared" si="2"/>
        <v>XCVR - CXP28</v>
      </c>
      <c r="G26" s="37">
        <f t="shared" ref="G26:R28" si="4">IF(G9=0,,G9*G18/10^6)</f>
        <v>0</v>
      </c>
      <c r="H26" s="37">
        <f t="shared" si="4"/>
        <v>0</v>
      </c>
      <c r="I26" s="37">
        <f t="shared" si="4"/>
        <v>0</v>
      </c>
      <c r="J26" s="37">
        <f t="shared" si="4"/>
        <v>0</v>
      </c>
      <c r="K26" s="37">
        <f t="shared" si="4"/>
        <v>0</v>
      </c>
      <c r="L26" s="37">
        <f t="shared" si="4"/>
        <v>0</v>
      </c>
      <c r="M26" s="37">
        <f t="shared" si="4"/>
        <v>0</v>
      </c>
      <c r="N26" s="37">
        <f t="shared" si="4"/>
        <v>0</v>
      </c>
      <c r="O26" s="37">
        <f t="shared" si="4"/>
        <v>0</v>
      </c>
      <c r="P26" s="37">
        <f t="shared" si="4"/>
        <v>0</v>
      </c>
      <c r="Q26" s="37">
        <f t="shared" si="4"/>
        <v>0</v>
      </c>
      <c r="R26" s="37">
        <f t="shared" si="4"/>
        <v>0</v>
      </c>
    </row>
    <row r="27" spans="2:18">
      <c r="B27" s="134" t="str">
        <f t="shared" si="2"/>
        <v>25-28G</v>
      </c>
      <c r="C27" s="132" t="str">
        <f t="shared" si="2"/>
        <v>100G-600G</v>
      </c>
      <c r="D27" s="132" t="str">
        <f t="shared" si="2"/>
        <v>EOM</v>
      </c>
      <c r="E27" s="77" t="str">
        <f t="shared" si="2"/>
        <v>4,8,12,16,24</v>
      </c>
      <c r="F27" s="177" t="str">
        <f t="shared" si="2"/>
        <v>XCVR</v>
      </c>
      <c r="G27" s="37">
        <f t="shared" si="4"/>
        <v>24.28899961778767</v>
      </c>
      <c r="H27" s="37">
        <f t="shared" si="4"/>
        <v>49.480128999999998</v>
      </c>
      <c r="I27" s="37">
        <f t="shared" si="4"/>
        <v>0</v>
      </c>
      <c r="J27" s="37">
        <f t="shared" si="4"/>
        <v>0</v>
      </c>
      <c r="K27" s="37">
        <f t="shared" si="4"/>
        <v>0</v>
      </c>
      <c r="L27" s="37">
        <f t="shared" si="4"/>
        <v>0</v>
      </c>
      <c r="M27" s="37">
        <f t="shared" si="4"/>
        <v>0</v>
      </c>
      <c r="N27" s="37">
        <f t="shared" si="4"/>
        <v>0</v>
      </c>
      <c r="O27" s="37">
        <f t="shared" si="4"/>
        <v>0</v>
      </c>
      <c r="P27" s="37">
        <f t="shared" si="4"/>
        <v>0</v>
      </c>
      <c r="Q27" s="37">
        <f t="shared" si="4"/>
        <v>0</v>
      </c>
      <c r="R27" s="37">
        <f t="shared" si="4"/>
        <v>0</v>
      </c>
    </row>
    <row r="28" spans="2:18" ht="15" customHeight="1">
      <c r="B28" s="94" t="str">
        <f t="shared" si="2"/>
        <v>50-56G, 100G</v>
      </c>
      <c r="C28" s="77" t="str">
        <f t="shared" si="2"/>
        <v>200G - 3.2T</v>
      </c>
      <c r="D28" s="77" t="str">
        <f t="shared" si="2"/>
        <v>EOM</v>
      </c>
      <c r="E28" s="77" t="str">
        <f t="shared" si="2"/>
        <v>8,12,16,24</v>
      </c>
      <c r="F28" s="96" t="str">
        <f t="shared" si="2"/>
        <v>TBD</v>
      </c>
      <c r="G28" s="37">
        <f t="shared" si="4"/>
        <v>0</v>
      </c>
      <c r="H28" s="37">
        <f t="shared" si="4"/>
        <v>0</v>
      </c>
      <c r="I28" s="37">
        <f t="shared" si="4"/>
        <v>0</v>
      </c>
      <c r="J28" s="37">
        <f t="shared" si="4"/>
        <v>0</v>
      </c>
      <c r="K28" s="37">
        <f t="shared" si="4"/>
        <v>0</v>
      </c>
      <c r="L28" s="37">
        <f t="shared" si="4"/>
        <v>0</v>
      </c>
      <c r="M28" s="37">
        <f t="shared" si="4"/>
        <v>0</v>
      </c>
      <c r="N28" s="37">
        <f t="shared" si="4"/>
        <v>0</v>
      </c>
      <c r="O28" s="37">
        <f t="shared" si="4"/>
        <v>0</v>
      </c>
      <c r="P28" s="37">
        <f t="shared" si="4"/>
        <v>0</v>
      </c>
      <c r="Q28" s="37">
        <f t="shared" si="4"/>
        <v>0</v>
      </c>
      <c r="R28" s="37">
        <f t="shared" si="4"/>
        <v>0</v>
      </c>
    </row>
    <row r="29" spans="2:18">
      <c r="B29" s="87" t="s">
        <v>13</v>
      </c>
      <c r="C29" s="100" t="s">
        <v>57</v>
      </c>
      <c r="D29" s="100" t="s">
        <v>57</v>
      </c>
      <c r="E29" s="129" t="s">
        <v>57</v>
      </c>
      <c r="F29" s="92" t="s">
        <v>57</v>
      </c>
      <c r="G29" s="111">
        <f>SUM(G25:G28)</f>
        <v>32.857721083741282</v>
      </c>
      <c r="H29" s="111">
        <f t="shared" ref="H29:R29" si="5">SUM(H25:H28)</f>
        <v>55.123166999999995</v>
      </c>
      <c r="I29" s="111">
        <f t="shared" si="5"/>
        <v>0</v>
      </c>
      <c r="J29" s="111">
        <f t="shared" si="5"/>
        <v>0</v>
      </c>
      <c r="K29" s="111">
        <f t="shared" si="5"/>
        <v>0</v>
      </c>
      <c r="L29" s="111">
        <f t="shared" si="5"/>
        <v>0</v>
      </c>
      <c r="M29" s="111">
        <f t="shared" si="5"/>
        <v>0</v>
      </c>
      <c r="N29" s="111">
        <f t="shared" si="5"/>
        <v>0</v>
      </c>
      <c r="O29" s="111">
        <f t="shared" si="5"/>
        <v>0</v>
      </c>
      <c r="P29" s="111">
        <f t="shared" si="5"/>
        <v>0</v>
      </c>
      <c r="Q29" s="111">
        <f t="shared" si="5"/>
        <v>0</v>
      </c>
      <c r="R29" s="111">
        <f t="shared" si="5"/>
        <v>0</v>
      </c>
    </row>
    <row r="30" spans="2:18">
      <c r="F30" s="16"/>
      <c r="G30" s="18"/>
      <c r="H30" s="18"/>
      <c r="I30" s="18"/>
      <c r="J30" s="18"/>
      <c r="K30" s="18"/>
      <c r="L30" s="18"/>
      <c r="M30" s="18"/>
      <c r="N30" s="18"/>
      <c r="O30" s="18"/>
      <c r="P30" s="18"/>
      <c r="Q30" s="18"/>
      <c r="R30" s="18"/>
    </row>
  </sheetData>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B2:S118"/>
  <sheetViews>
    <sheetView showGridLines="0" zoomScale="70" zoomScaleNormal="70" zoomScalePageLayoutView="80" workbookViewId="0"/>
  </sheetViews>
  <sheetFormatPr defaultColWidth="8.77734375" defaultRowHeight="13.8"/>
  <cols>
    <col min="1" max="1" width="4.44140625" style="65" customWidth="1"/>
    <col min="2" max="2" width="25.33203125" style="65" customWidth="1"/>
    <col min="3" max="5" width="9" style="65" bestFit="1" customWidth="1"/>
    <col min="6" max="12" width="10.44140625" style="65" customWidth="1"/>
    <col min="13" max="13" width="8.21875" style="65" customWidth="1"/>
    <col min="14" max="14" width="10.44140625" style="65" customWidth="1"/>
    <col min="15" max="15" width="10.21875" style="65" bestFit="1" customWidth="1"/>
    <col min="16" max="16" width="8.77734375" style="65"/>
    <col min="17" max="17" width="2.44140625" style="65" customWidth="1"/>
    <col min="18" max="18" width="13.44140625" style="65" customWidth="1"/>
    <col min="19" max="19" width="10.21875" style="65" bestFit="1" customWidth="1"/>
    <col min="20" max="16384" width="8.77734375" style="65"/>
  </cols>
  <sheetData>
    <row r="2" spans="2:19" ht="23.4">
      <c r="B2" s="3" t="str">
        <f>Introduction!B2</f>
        <v>LightCounting High-Speed Cables Forecast</v>
      </c>
      <c r="N2" s="65" t="s">
        <v>16</v>
      </c>
      <c r="R2" s="19"/>
      <c r="S2" s="19"/>
    </row>
    <row r="3" spans="2:19" ht="15.6">
      <c r="B3" s="189" t="str">
        <f>Introduction!B3</f>
        <v>December 2022 - sample template</v>
      </c>
    </row>
    <row r="5" spans="2:19" ht="17.399999999999999">
      <c r="B5" s="3" t="s">
        <v>278</v>
      </c>
    </row>
    <row r="6" spans="2:19" ht="21">
      <c r="B6" s="23" t="s">
        <v>22</v>
      </c>
    </row>
    <row r="7" spans="2:19">
      <c r="B7" s="359" t="s">
        <v>203</v>
      </c>
      <c r="C7" s="85">
        <v>2018</v>
      </c>
      <c r="D7" s="86">
        <v>2019</v>
      </c>
      <c r="E7" s="86">
        <v>2020</v>
      </c>
      <c r="F7" s="86">
        <v>2021</v>
      </c>
      <c r="G7" s="86">
        <v>2022</v>
      </c>
      <c r="H7" s="86">
        <v>2023</v>
      </c>
      <c r="I7" s="86">
        <v>2024</v>
      </c>
      <c r="J7" s="86">
        <v>2025</v>
      </c>
      <c r="K7" s="86">
        <v>2026</v>
      </c>
      <c r="L7" s="86">
        <v>2027</v>
      </c>
    </row>
    <row r="8" spans="2:19">
      <c r="B8" s="284" t="str">
        <f>Segmentation!H35</f>
        <v>CPO 800 Gbps 30m</v>
      </c>
      <c r="C8" s="360">
        <v>0</v>
      </c>
      <c r="D8" s="361">
        <v>0</v>
      </c>
      <c r="E8" s="361"/>
      <c r="F8" s="361"/>
      <c r="G8" s="361"/>
      <c r="H8" s="361"/>
      <c r="I8" s="361"/>
      <c r="J8" s="361"/>
      <c r="K8" s="361"/>
      <c r="L8" s="361"/>
    </row>
    <row r="9" spans="2:19">
      <c r="B9" s="285" t="str">
        <f>Segmentation!H36</f>
        <v>CPO 800 Gbps 100 m</v>
      </c>
      <c r="C9" s="232">
        <v>0</v>
      </c>
      <c r="D9" s="163">
        <v>0</v>
      </c>
      <c r="E9" s="163"/>
      <c r="F9" s="163"/>
      <c r="G9" s="163"/>
      <c r="H9" s="163"/>
      <c r="I9" s="163"/>
      <c r="J9" s="163"/>
      <c r="K9" s="163"/>
      <c r="L9" s="163"/>
    </row>
    <row r="10" spans="2:19">
      <c r="B10" s="285" t="str">
        <f>Segmentation!H37</f>
        <v>CPO 800 Gbps 500 m</v>
      </c>
      <c r="C10" s="231">
        <v>0</v>
      </c>
      <c r="D10" s="157">
        <v>0</v>
      </c>
      <c r="E10" s="163"/>
      <c r="F10" s="163"/>
      <c r="G10" s="163"/>
      <c r="H10" s="163"/>
      <c r="I10" s="163"/>
      <c r="J10" s="163"/>
      <c r="K10" s="163"/>
      <c r="L10" s="163"/>
    </row>
    <row r="11" spans="2:19">
      <c r="B11" s="285" t="str">
        <f>Segmentation!H38</f>
        <v>CPO 800 Gbps 2 km</v>
      </c>
      <c r="C11" s="232">
        <v>0</v>
      </c>
      <c r="D11" s="163">
        <v>0</v>
      </c>
      <c r="E11" s="163"/>
      <c r="F11" s="163"/>
      <c r="G11" s="163"/>
      <c r="H11" s="163"/>
      <c r="I11" s="163"/>
      <c r="J11" s="163"/>
      <c r="K11" s="163"/>
      <c r="L11" s="163"/>
    </row>
    <row r="12" spans="2:19">
      <c r="B12" s="220" t="str">
        <f>Segmentation!H39</f>
        <v>CPO 800 Gbps 10 km</v>
      </c>
      <c r="C12" s="363">
        <v>0</v>
      </c>
      <c r="D12" s="363">
        <v>0</v>
      </c>
      <c r="E12" s="363"/>
      <c r="F12" s="363"/>
      <c r="G12" s="363"/>
      <c r="H12" s="363"/>
      <c r="I12" s="363"/>
      <c r="J12" s="363"/>
      <c r="K12" s="363"/>
      <c r="L12" s="363"/>
    </row>
    <row r="13" spans="2:19">
      <c r="B13" s="284" t="str">
        <f>Segmentation!H40</f>
        <v>CPO 1.6 Tbps 30m</v>
      </c>
      <c r="C13" s="360">
        <v>0</v>
      </c>
      <c r="D13" s="361">
        <v>0</v>
      </c>
      <c r="E13" s="163"/>
      <c r="F13" s="163"/>
      <c r="G13" s="163"/>
      <c r="H13" s="163"/>
      <c r="I13" s="163"/>
      <c r="J13" s="163"/>
      <c r="K13" s="163"/>
      <c r="L13" s="163"/>
      <c r="M13" s="157"/>
    </row>
    <row r="14" spans="2:19">
      <c r="B14" s="285" t="str">
        <f>Segmentation!H41</f>
        <v>CPO 1.6 Tbps 100 m</v>
      </c>
      <c r="C14" s="232">
        <v>0</v>
      </c>
      <c r="D14" s="163">
        <v>0</v>
      </c>
      <c r="E14" s="163"/>
      <c r="F14" s="163"/>
      <c r="G14" s="163"/>
      <c r="H14" s="163"/>
      <c r="I14" s="163"/>
      <c r="J14" s="163"/>
      <c r="K14" s="163"/>
      <c r="L14" s="163"/>
      <c r="M14" s="157"/>
      <c r="N14" s="185"/>
      <c r="O14" s="75"/>
    </row>
    <row r="15" spans="2:19">
      <c r="B15" s="285" t="str">
        <f>Segmentation!H42</f>
        <v>CPO 1.6 Tbps 500 m</v>
      </c>
      <c r="C15" s="231">
        <v>0</v>
      </c>
      <c r="D15" s="157">
        <v>0</v>
      </c>
      <c r="E15" s="163"/>
      <c r="F15" s="163"/>
      <c r="G15" s="163"/>
      <c r="H15" s="163"/>
      <c r="I15" s="163"/>
      <c r="J15" s="163"/>
      <c r="K15" s="163"/>
      <c r="L15" s="163"/>
      <c r="M15" s="157"/>
    </row>
    <row r="16" spans="2:19">
      <c r="B16" s="285" t="str">
        <f>Segmentation!H43</f>
        <v>CPO 1.6 Tbps 2 km</v>
      </c>
      <c r="C16" s="232">
        <v>0</v>
      </c>
      <c r="D16" s="163">
        <v>0</v>
      </c>
      <c r="E16" s="163"/>
      <c r="F16" s="163"/>
      <c r="G16" s="163"/>
      <c r="H16" s="163"/>
      <c r="I16" s="163"/>
      <c r="J16" s="163"/>
      <c r="K16" s="163"/>
      <c r="L16" s="163"/>
      <c r="M16" s="157"/>
      <c r="N16" s="185"/>
      <c r="O16" s="75"/>
    </row>
    <row r="17" spans="2:13">
      <c r="B17" s="220" t="str">
        <f>Segmentation!H44</f>
        <v>CPO 1.6 Tbps 10 km</v>
      </c>
      <c r="C17" s="363">
        <v>0</v>
      </c>
      <c r="D17" s="363">
        <v>0</v>
      </c>
      <c r="E17" s="363"/>
      <c r="F17" s="363"/>
      <c r="G17" s="363"/>
      <c r="H17" s="363"/>
      <c r="I17" s="363"/>
      <c r="J17" s="363"/>
      <c r="K17" s="363"/>
      <c r="L17" s="363"/>
    </row>
    <row r="18" spans="2:13">
      <c r="B18" s="284" t="str">
        <f>Segmentation!H45</f>
        <v xml:space="preserve">External laser module (Comb) -LP  </v>
      </c>
      <c r="C18" s="360">
        <v>0</v>
      </c>
      <c r="D18" s="361">
        <v>0</v>
      </c>
      <c r="E18" s="163"/>
      <c r="F18" s="163"/>
      <c r="G18" s="163"/>
      <c r="H18" s="163"/>
      <c r="I18" s="163"/>
      <c r="J18" s="163"/>
      <c r="K18" s="163"/>
      <c r="L18" s="163"/>
    </row>
    <row r="19" spans="2:13">
      <c r="B19" s="285" t="str">
        <f>Segmentation!H46</f>
        <v xml:space="preserve">External laser module (Comb) - HP  </v>
      </c>
      <c r="C19" s="232">
        <v>0</v>
      </c>
      <c r="D19" s="163">
        <v>0</v>
      </c>
      <c r="E19" s="163"/>
      <c r="F19" s="163"/>
      <c r="G19" s="163"/>
      <c r="H19" s="163"/>
      <c r="I19" s="163"/>
      <c r="J19" s="163"/>
      <c r="K19" s="163"/>
      <c r="L19" s="163"/>
    </row>
    <row r="20" spans="2:13">
      <c r="B20" s="285" t="str">
        <f>Segmentation!H47</f>
        <v xml:space="preserve">External laser module (4xDR4)  </v>
      </c>
      <c r="C20" s="231">
        <v>0</v>
      </c>
      <c r="D20" s="157">
        <v>0</v>
      </c>
      <c r="E20" s="163"/>
      <c r="F20" s="163"/>
      <c r="G20" s="163"/>
      <c r="H20" s="163"/>
      <c r="I20" s="163"/>
      <c r="J20" s="163"/>
      <c r="K20" s="163"/>
      <c r="L20" s="163"/>
    </row>
    <row r="21" spans="2:13">
      <c r="B21" s="285" t="str">
        <f>Segmentation!H48</f>
        <v xml:space="preserve">External laser module (4xFR4)  </v>
      </c>
      <c r="C21" s="232">
        <v>0</v>
      </c>
      <c r="D21" s="163">
        <v>0</v>
      </c>
      <c r="E21" s="163"/>
      <c r="F21" s="163"/>
      <c r="G21" s="163"/>
      <c r="H21" s="163"/>
      <c r="I21" s="163"/>
      <c r="J21" s="163"/>
      <c r="K21" s="163"/>
      <c r="L21" s="163"/>
    </row>
    <row r="22" spans="2:13">
      <c r="B22" s="220"/>
      <c r="C22" s="363"/>
      <c r="D22" s="363"/>
      <c r="E22" s="363"/>
      <c r="F22" s="363"/>
      <c r="G22" s="363"/>
      <c r="H22" s="363"/>
      <c r="I22" s="363"/>
      <c r="J22" s="363"/>
      <c r="K22" s="363"/>
      <c r="L22" s="363"/>
    </row>
    <row r="23" spans="2:13">
      <c r="B23" s="282" t="s">
        <v>279</v>
      </c>
      <c r="C23" s="198">
        <f>SUM(C8:C22)</f>
        <v>0</v>
      </c>
      <c r="D23" s="198">
        <f t="shared" ref="D23:L23" si="0">SUM(D8:D22)</f>
        <v>0</v>
      </c>
      <c r="E23" s="198">
        <f t="shared" si="0"/>
        <v>0</v>
      </c>
      <c r="F23" s="198">
        <f t="shared" si="0"/>
        <v>0</v>
      </c>
      <c r="G23" s="198">
        <f>SUM(G8:G22)</f>
        <v>0</v>
      </c>
      <c r="H23" s="198">
        <f t="shared" si="0"/>
        <v>0</v>
      </c>
      <c r="I23" s="198">
        <f t="shared" si="0"/>
        <v>0</v>
      </c>
      <c r="J23" s="198">
        <f t="shared" si="0"/>
        <v>0</v>
      </c>
      <c r="K23" s="198">
        <f t="shared" si="0"/>
        <v>0</v>
      </c>
      <c r="L23" s="198">
        <f t="shared" si="0"/>
        <v>0</v>
      </c>
      <c r="M23" s="157"/>
    </row>
    <row r="24" spans="2:13">
      <c r="B24" s="157"/>
      <c r="C24" s="157"/>
      <c r="D24" s="157"/>
      <c r="E24" s="157"/>
      <c r="F24" s="157"/>
      <c r="G24" s="157"/>
      <c r="H24" s="157"/>
      <c r="I24" s="157"/>
      <c r="J24" s="157"/>
      <c r="K24" s="157"/>
      <c r="L24" s="157"/>
      <c r="M24" s="157"/>
    </row>
    <row r="25" spans="2:13">
      <c r="B25" s="284" t="s">
        <v>159</v>
      </c>
      <c r="C25" s="230">
        <f>SUM(C8:C12)</f>
        <v>0</v>
      </c>
      <c r="D25" s="230">
        <f>SUM(D8:D12)</f>
        <v>0</v>
      </c>
      <c r="E25" s="230">
        <f>SUM(E8:E12)</f>
        <v>0</v>
      </c>
      <c r="F25" s="230">
        <f>SUM(F8:F12)</f>
        <v>0</v>
      </c>
      <c r="G25" s="230">
        <f>SUM(G8:G12)</f>
        <v>0</v>
      </c>
      <c r="H25" s="230">
        <f t="shared" ref="H25:L25" si="1">SUM(H8:H12)</f>
        <v>0</v>
      </c>
      <c r="I25" s="230">
        <f t="shared" si="1"/>
        <v>0</v>
      </c>
      <c r="J25" s="230">
        <f t="shared" si="1"/>
        <v>0</v>
      </c>
      <c r="K25" s="230">
        <f t="shared" si="1"/>
        <v>0</v>
      </c>
      <c r="L25" s="230">
        <f t="shared" si="1"/>
        <v>0</v>
      </c>
      <c r="M25" s="157"/>
    </row>
    <row r="26" spans="2:13">
      <c r="B26" s="285" t="s">
        <v>160</v>
      </c>
      <c r="C26" s="157"/>
      <c r="D26" s="157"/>
      <c r="E26" s="157"/>
      <c r="F26" s="157">
        <f>SUM(F13:F17)</f>
        <v>0</v>
      </c>
      <c r="G26" s="157">
        <f>SUM(G13:G17)</f>
        <v>0</v>
      </c>
      <c r="H26" s="157">
        <f>SUM(H13:H17)</f>
        <v>0</v>
      </c>
      <c r="I26" s="157">
        <f>SUM(I13:I17)</f>
        <v>0</v>
      </c>
      <c r="J26" s="157">
        <f t="shared" ref="J26:L26" si="2">SUM(J13:J17)</f>
        <v>0</v>
      </c>
      <c r="K26" s="157">
        <f t="shared" si="2"/>
        <v>0</v>
      </c>
      <c r="L26" s="157">
        <f t="shared" si="2"/>
        <v>0</v>
      </c>
    </row>
    <row r="27" spans="2:13">
      <c r="B27" s="286" t="s">
        <v>280</v>
      </c>
      <c r="C27" s="234">
        <f>SUM(C18:C22)</f>
        <v>0</v>
      </c>
      <c r="D27" s="234">
        <f t="shared" ref="D27:L27" si="3">SUM(D18:D22)</f>
        <v>0</v>
      </c>
      <c r="E27" s="234">
        <f t="shared" si="3"/>
        <v>0</v>
      </c>
      <c r="F27" s="234">
        <f t="shared" si="3"/>
        <v>0</v>
      </c>
      <c r="G27" s="234">
        <f t="shared" si="3"/>
        <v>0</v>
      </c>
      <c r="H27" s="234">
        <f t="shared" si="3"/>
        <v>0</v>
      </c>
      <c r="I27" s="234">
        <f t="shared" si="3"/>
        <v>0</v>
      </c>
      <c r="J27" s="234">
        <f t="shared" si="3"/>
        <v>0</v>
      </c>
      <c r="K27" s="234">
        <f t="shared" si="3"/>
        <v>0</v>
      </c>
      <c r="L27" s="234">
        <f t="shared" si="3"/>
        <v>0</v>
      </c>
    </row>
    <row r="28" spans="2:13">
      <c r="B28" s="217" t="str">
        <f>B23</f>
        <v>CPO&amp;External lasers total</v>
      </c>
      <c r="C28" s="198">
        <f>SUM(C25:C26)</f>
        <v>0</v>
      </c>
      <c r="D28" s="198">
        <f t="shared" ref="D28:F28" si="4">SUM(D25:D27)</f>
        <v>0</v>
      </c>
      <c r="E28" s="198">
        <f t="shared" si="4"/>
        <v>0</v>
      </c>
      <c r="F28" s="198">
        <f t="shared" si="4"/>
        <v>0</v>
      </c>
      <c r="G28" s="198">
        <f>SUM(G25:G27)</f>
        <v>0</v>
      </c>
      <c r="H28" s="198">
        <f t="shared" ref="H28:L28" si="5">SUM(H25:H27)</f>
        <v>0</v>
      </c>
      <c r="I28" s="198">
        <f t="shared" si="5"/>
        <v>0</v>
      </c>
      <c r="J28" s="198">
        <f t="shared" si="5"/>
        <v>0</v>
      </c>
      <c r="K28" s="198">
        <f t="shared" si="5"/>
        <v>0</v>
      </c>
      <c r="L28" s="198">
        <f t="shared" si="5"/>
        <v>0</v>
      </c>
    </row>
    <row r="29" spans="2:13">
      <c r="B29" s="66"/>
      <c r="C29" s="163"/>
      <c r="D29" s="163"/>
      <c r="E29" s="163"/>
      <c r="F29" s="163"/>
      <c r="G29" s="163"/>
      <c r="H29" s="163"/>
      <c r="I29" s="163"/>
      <c r="J29" s="163"/>
      <c r="K29" s="163"/>
      <c r="L29" s="163"/>
      <c r="M29" s="163"/>
    </row>
    <row r="30" spans="2:13">
      <c r="B30" s="284" t="s">
        <v>161</v>
      </c>
      <c r="C30" s="229"/>
      <c r="D30" s="230"/>
      <c r="E30" s="230"/>
      <c r="F30" s="230">
        <f t="shared" ref="F30:G34" si="6">F8+F13</f>
        <v>0</v>
      </c>
      <c r="G30" s="230">
        <f t="shared" si="6"/>
        <v>0</v>
      </c>
      <c r="H30" s="230">
        <f t="shared" ref="H30:L30" si="7">H8+H13</f>
        <v>0</v>
      </c>
      <c r="I30" s="230">
        <f t="shared" si="7"/>
        <v>0</v>
      </c>
      <c r="J30" s="230">
        <f t="shared" si="7"/>
        <v>0</v>
      </c>
      <c r="K30" s="230">
        <f t="shared" si="7"/>
        <v>0</v>
      </c>
      <c r="L30" s="230">
        <f t="shared" si="7"/>
        <v>0</v>
      </c>
      <c r="M30" s="163"/>
    </row>
    <row r="31" spans="2:13">
      <c r="B31" s="285" t="s">
        <v>214</v>
      </c>
      <c r="C31" s="231"/>
      <c r="D31" s="157"/>
      <c r="E31" s="157"/>
      <c r="F31" s="157">
        <f t="shared" si="6"/>
        <v>0</v>
      </c>
      <c r="G31" s="157">
        <f t="shared" si="6"/>
        <v>0</v>
      </c>
      <c r="H31" s="157">
        <f t="shared" ref="H31:L34" si="8">H9+H14</f>
        <v>0</v>
      </c>
      <c r="I31" s="157">
        <f t="shared" si="8"/>
        <v>0</v>
      </c>
      <c r="J31" s="157">
        <f t="shared" si="8"/>
        <v>0</v>
      </c>
      <c r="K31" s="157">
        <f t="shared" si="8"/>
        <v>0</v>
      </c>
      <c r="L31" s="157">
        <f t="shared" si="8"/>
        <v>0</v>
      </c>
      <c r="M31" s="163"/>
    </row>
    <row r="32" spans="2:13">
      <c r="B32" s="285" t="s">
        <v>162</v>
      </c>
      <c r="C32" s="231"/>
      <c r="D32" s="157"/>
      <c r="E32" s="157"/>
      <c r="F32" s="157">
        <f t="shared" si="6"/>
        <v>0</v>
      </c>
      <c r="G32" s="157">
        <f t="shared" si="6"/>
        <v>0</v>
      </c>
      <c r="H32" s="157">
        <f t="shared" si="8"/>
        <v>0</v>
      </c>
      <c r="I32" s="157">
        <f t="shared" si="8"/>
        <v>0</v>
      </c>
      <c r="J32" s="157">
        <f t="shared" si="8"/>
        <v>0</v>
      </c>
      <c r="K32" s="157">
        <f t="shared" si="8"/>
        <v>0</v>
      </c>
      <c r="L32" s="157">
        <f t="shared" si="8"/>
        <v>0</v>
      </c>
      <c r="M32" s="163"/>
    </row>
    <row r="33" spans="2:13">
      <c r="B33" s="285" t="s">
        <v>215</v>
      </c>
      <c r="C33" s="231"/>
      <c r="D33" s="157"/>
      <c r="E33" s="157"/>
      <c r="F33" s="157">
        <f t="shared" si="6"/>
        <v>0</v>
      </c>
      <c r="G33" s="157">
        <f t="shared" si="6"/>
        <v>0</v>
      </c>
      <c r="H33" s="157">
        <f t="shared" si="8"/>
        <v>0</v>
      </c>
      <c r="I33" s="157">
        <f t="shared" si="8"/>
        <v>0</v>
      </c>
      <c r="J33" s="157">
        <f t="shared" si="8"/>
        <v>0</v>
      </c>
      <c r="K33" s="157">
        <f t="shared" si="8"/>
        <v>0</v>
      </c>
      <c r="L33" s="157">
        <f t="shared" si="8"/>
        <v>0</v>
      </c>
      <c r="M33" s="163"/>
    </row>
    <row r="34" spans="2:13">
      <c r="B34" s="286" t="s">
        <v>216</v>
      </c>
      <c r="C34" s="233"/>
      <c r="D34" s="234"/>
      <c r="E34" s="234"/>
      <c r="F34" s="234">
        <f t="shared" si="6"/>
        <v>0</v>
      </c>
      <c r="G34" s="234">
        <f t="shared" si="6"/>
        <v>0</v>
      </c>
      <c r="H34" s="234">
        <f t="shared" si="8"/>
        <v>0</v>
      </c>
      <c r="I34" s="234">
        <f t="shared" si="8"/>
        <v>0</v>
      </c>
      <c r="J34" s="234">
        <f t="shared" si="8"/>
        <v>0</v>
      </c>
      <c r="K34" s="234">
        <f t="shared" si="8"/>
        <v>0</v>
      </c>
      <c r="L34" s="234">
        <f t="shared" si="8"/>
        <v>0</v>
      </c>
      <c r="M34" s="163"/>
    </row>
    <row r="35" spans="2:13">
      <c r="B35" s="217" t="s">
        <v>202</v>
      </c>
      <c r="C35" s="197"/>
      <c r="D35" s="198"/>
      <c r="E35" s="198"/>
      <c r="F35" s="198">
        <f>SUM(F30:F34)</f>
        <v>0</v>
      </c>
      <c r="G35" s="198">
        <f t="shared" ref="G35:L35" si="9">SUM(G30:G34)</f>
        <v>0</v>
      </c>
      <c r="H35" s="198">
        <f t="shared" si="9"/>
        <v>0</v>
      </c>
      <c r="I35" s="198">
        <f t="shared" si="9"/>
        <v>0</v>
      </c>
      <c r="J35" s="198">
        <f t="shared" si="9"/>
        <v>0</v>
      </c>
      <c r="K35" s="198">
        <f t="shared" si="9"/>
        <v>0</v>
      </c>
      <c r="L35" s="198">
        <f t="shared" si="9"/>
        <v>0</v>
      </c>
      <c r="M35" s="163"/>
    </row>
    <row r="36" spans="2:13">
      <c r="B36" s="165"/>
    </row>
    <row r="37" spans="2:13">
      <c r="B37" s="283" t="s">
        <v>204</v>
      </c>
      <c r="C37" s="85">
        <v>2018</v>
      </c>
      <c r="D37" s="86">
        <v>2019</v>
      </c>
      <c r="E37" s="86">
        <v>2020</v>
      </c>
      <c r="F37" s="86">
        <v>2021</v>
      </c>
      <c r="G37" s="86">
        <v>2022</v>
      </c>
      <c r="H37" s="86">
        <v>2023</v>
      </c>
      <c r="I37" s="86">
        <v>2024</v>
      </c>
      <c r="J37" s="86">
        <v>2025</v>
      </c>
      <c r="K37" s="86">
        <v>2026</v>
      </c>
      <c r="L37" s="86">
        <v>2027</v>
      </c>
    </row>
    <row r="38" spans="2:13">
      <c r="B38" s="285" t="str">
        <f t="shared" ref="B38:B51" si="10">B8</f>
        <v>CPO 800 Gbps 30m</v>
      </c>
      <c r="C38" s="205">
        <v>0</v>
      </c>
      <c r="D38" s="205">
        <v>0</v>
      </c>
      <c r="E38" s="205"/>
      <c r="F38" s="205"/>
      <c r="G38" s="205"/>
      <c r="H38" s="205"/>
      <c r="I38" s="205"/>
      <c r="J38" s="205"/>
      <c r="K38" s="205"/>
      <c r="L38" s="205"/>
    </row>
    <row r="39" spans="2:13">
      <c r="B39" s="285" t="str">
        <f t="shared" si="10"/>
        <v>CPO 800 Gbps 100 m</v>
      </c>
      <c r="C39" s="205">
        <v>0</v>
      </c>
      <c r="D39" s="205">
        <v>0</v>
      </c>
      <c r="E39" s="205"/>
      <c r="F39" s="205"/>
      <c r="G39" s="205"/>
      <c r="H39" s="205"/>
      <c r="I39" s="205"/>
      <c r="J39" s="205"/>
      <c r="K39" s="205"/>
      <c r="L39" s="205"/>
    </row>
    <row r="40" spans="2:13">
      <c r="B40" s="285" t="str">
        <f t="shared" si="10"/>
        <v>CPO 800 Gbps 500 m</v>
      </c>
      <c r="C40" s="205">
        <v>0</v>
      </c>
      <c r="D40" s="205">
        <v>0</v>
      </c>
      <c r="E40" s="205"/>
      <c r="F40" s="205"/>
      <c r="G40" s="205"/>
      <c r="H40" s="205"/>
      <c r="I40" s="205"/>
      <c r="J40" s="205"/>
      <c r="K40" s="205"/>
      <c r="L40" s="205"/>
    </row>
    <row r="41" spans="2:13">
      <c r="B41" s="285" t="str">
        <f t="shared" si="10"/>
        <v>CPO 800 Gbps 2 km</v>
      </c>
      <c r="C41" s="205">
        <v>0</v>
      </c>
      <c r="D41" s="205">
        <v>0</v>
      </c>
      <c r="E41" s="205"/>
      <c r="F41" s="205"/>
      <c r="G41" s="205"/>
      <c r="H41" s="205"/>
      <c r="I41" s="205"/>
      <c r="J41" s="205"/>
      <c r="K41" s="205"/>
      <c r="L41" s="205"/>
    </row>
    <row r="42" spans="2:13">
      <c r="B42" s="286" t="str">
        <f t="shared" si="10"/>
        <v>CPO 800 Gbps 10 km</v>
      </c>
      <c r="C42" s="122">
        <v>0</v>
      </c>
      <c r="D42" s="122">
        <v>0</v>
      </c>
      <c r="E42" s="122"/>
      <c r="F42" s="122"/>
      <c r="G42" s="122"/>
      <c r="H42" s="122"/>
      <c r="I42" s="122"/>
      <c r="J42" s="122"/>
      <c r="K42" s="122"/>
      <c r="L42" s="122"/>
    </row>
    <row r="43" spans="2:13">
      <c r="B43" s="284" t="str">
        <f t="shared" si="10"/>
        <v>CPO 1.6 Tbps 30m</v>
      </c>
      <c r="C43" s="204">
        <v>0</v>
      </c>
      <c r="D43" s="204">
        <v>0</v>
      </c>
      <c r="E43" s="204"/>
      <c r="F43" s="204"/>
      <c r="G43" s="204"/>
      <c r="H43" s="204"/>
      <c r="I43" s="204"/>
      <c r="J43" s="204"/>
      <c r="K43" s="204"/>
      <c r="L43" s="204"/>
    </row>
    <row r="44" spans="2:13">
      <c r="B44" s="285" t="str">
        <f t="shared" si="10"/>
        <v>CPO 1.6 Tbps 100 m</v>
      </c>
      <c r="C44" s="205">
        <v>0</v>
      </c>
      <c r="D44" s="205">
        <v>0</v>
      </c>
      <c r="E44" s="205"/>
      <c r="F44" s="205"/>
      <c r="G44" s="205"/>
      <c r="H44" s="205"/>
      <c r="I44" s="205"/>
      <c r="J44" s="205"/>
      <c r="K44" s="205"/>
      <c r="L44" s="205"/>
    </row>
    <row r="45" spans="2:13">
      <c r="B45" s="285" t="str">
        <f t="shared" si="10"/>
        <v>CPO 1.6 Tbps 500 m</v>
      </c>
      <c r="C45" s="205">
        <v>0</v>
      </c>
      <c r="D45" s="205">
        <v>0</v>
      </c>
      <c r="E45" s="205"/>
      <c r="F45" s="205"/>
      <c r="G45" s="205"/>
      <c r="H45" s="205"/>
      <c r="I45" s="205"/>
      <c r="J45" s="205"/>
      <c r="K45" s="205"/>
      <c r="L45" s="205"/>
    </row>
    <row r="46" spans="2:13">
      <c r="B46" s="285" t="str">
        <f t="shared" si="10"/>
        <v>CPO 1.6 Tbps 2 km</v>
      </c>
      <c r="C46" s="205">
        <v>0</v>
      </c>
      <c r="D46" s="205">
        <v>0</v>
      </c>
      <c r="E46" s="205"/>
      <c r="F46" s="205"/>
      <c r="G46" s="205"/>
      <c r="H46" s="205"/>
      <c r="I46" s="205"/>
      <c r="J46" s="205"/>
      <c r="K46" s="205"/>
      <c r="L46" s="205"/>
    </row>
    <row r="47" spans="2:13">
      <c r="B47" s="286" t="str">
        <f t="shared" si="10"/>
        <v>CPO 1.6 Tbps 10 km</v>
      </c>
      <c r="C47" s="122">
        <v>0</v>
      </c>
      <c r="D47" s="122">
        <v>0</v>
      </c>
      <c r="E47" s="122"/>
      <c r="F47" s="122"/>
      <c r="G47" s="122"/>
      <c r="H47" s="122"/>
      <c r="I47" s="122"/>
      <c r="J47" s="122"/>
      <c r="K47" s="122"/>
      <c r="L47" s="122"/>
    </row>
    <row r="48" spans="2:13">
      <c r="B48" s="284" t="str">
        <f t="shared" si="10"/>
        <v xml:space="preserve">External laser module (Comb) -LP  </v>
      </c>
      <c r="C48" s="426">
        <v>0</v>
      </c>
      <c r="D48" s="204">
        <v>0</v>
      </c>
      <c r="E48" s="204"/>
      <c r="F48" s="204"/>
      <c r="G48" s="204"/>
      <c r="H48" s="204"/>
      <c r="I48" s="204"/>
      <c r="J48" s="204"/>
      <c r="K48" s="204"/>
      <c r="L48" s="204"/>
    </row>
    <row r="49" spans="2:12">
      <c r="B49" s="285" t="str">
        <f t="shared" si="10"/>
        <v xml:space="preserve">External laser module (Comb) - HP  </v>
      </c>
      <c r="C49" s="427">
        <v>0</v>
      </c>
      <c r="D49" s="205">
        <v>0</v>
      </c>
      <c r="E49" s="205"/>
      <c r="F49" s="205"/>
      <c r="G49" s="205"/>
      <c r="H49" s="205"/>
      <c r="I49" s="205"/>
      <c r="J49" s="205"/>
      <c r="K49" s="205"/>
      <c r="L49" s="205"/>
    </row>
    <row r="50" spans="2:12">
      <c r="B50" s="285" t="str">
        <f t="shared" si="10"/>
        <v xml:space="preserve">External laser module (4xDR4)  </v>
      </c>
      <c r="C50" s="427">
        <v>0</v>
      </c>
      <c r="D50" s="205">
        <v>0</v>
      </c>
      <c r="E50" s="205"/>
      <c r="F50" s="205"/>
      <c r="G50" s="205"/>
      <c r="H50" s="205"/>
      <c r="I50" s="205"/>
      <c r="J50" s="205"/>
      <c r="K50" s="205"/>
      <c r="L50" s="205"/>
    </row>
    <row r="51" spans="2:12">
      <c r="B51" s="285" t="str">
        <f t="shared" si="10"/>
        <v xml:space="preserve">External laser module (4xFR4)  </v>
      </c>
      <c r="C51" s="427">
        <v>0</v>
      </c>
      <c r="D51" s="205">
        <v>0</v>
      </c>
      <c r="E51" s="205"/>
      <c r="F51" s="205"/>
      <c r="G51" s="205"/>
      <c r="H51" s="205"/>
      <c r="I51" s="205"/>
      <c r="J51" s="205"/>
      <c r="K51" s="205"/>
      <c r="L51" s="205"/>
    </row>
    <row r="52" spans="2:12">
      <c r="B52" s="286"/>
      <c r="C52" s="122"/>
      <c r="D52" s="122"/>
      <c r="E52" s="122"/>
      <c r="F52" s="122"/>
      <c r="G52" s="122"/>
      <c r="H52" s="122"/>
      <c r="I52" s="122"/>
      <c r="J52" s="122"/>
      <c r="K52" s="122"/>
      <c r="L52" s="122"/>
    </row>
    <row r="53" spans="2:12">
      <c r="B53" s="217" t="s">
        <v>281</v>
      </c>
      <c r="C53" s="201"/>
      <c r="D53" s="202"/>
      <c r="E53" s="202"/>
      <c r="F53" s="202"/>
      <c r="G53" s="202" t="e">
        <f t="shared" ref="G53:L53" si="11">10^6*G76/G23</f>
        <v>#DIV/0!</v>
      </c>
      <c r="H53" s="202" t="e">
        <f t="shared" si="11"/>
        <v>#DIV/0!</v>
      </c>
      <c r="I53" s="202" t="e">
        <f t="shared" si="11"/>
        <v>#DIV/0!</v>
      </c>
      <c r="J53" s="202" t="e">
        <f t="shared" si="11"/>
        <v>#DIV/0!</v>
      </c>
      <c r="K53" s="202" t="e">
        <f t="shared" si="11"/>
        <v>#DIV/0!</v>
      </c>
      <c r="L53" s="202" t="e">
        <f t="shared" si="11"/>
        <v>#DIV/0!</v>
      </c>
    </row>
    <row r="54" spans="2:12">
      <c r="B54" s="165"/>
      <c r="C54" s="71"/>
      <c r="D54" s="71"/>
      <c r="E54" s="71"/>
      <c r="F54" s="71"/>
      <c r="G54" s="71"/>
      <c r="H54" s="71"/>
      <c r="I54" s="71"/>
      <c r="J54" s="71"/>
      <c r="K54" s="71"/>
      <c r="L54" s="71"/>
    </row>
    <row r="55" spans="2:12">
      <c r="B55" s="284" t="str">
        <f>B25</f>
        <v>800G total</v>
      </c>
      <c r="C55" s="208"/>
      <c r="D55" s="158"/>
      <c r="E55" s="158"/>
      <c r="F55" s="158"/>
      <c r="G55" s="158" t="e">
        <f t="shared" ref="G55:L55" si="12">G78*10^6/G25</f>
        <v>#DIV/0!</v>
      </c>
      <c r="H55" s="158" t="e">
        <f t="shared" si="12"/>
        <v>#DIV/0!</v>
      </c>
      <c r="I55" s="158" t="e">
        <f t="shared" si="12"/>
        <v>#DIV/0!</v>
      </c>
      <c r="J55" s="158" t="e">
        <f t="shared" si="12"/>
        <v>#DIV/0!</v>
      </c>
      <c r="K55" s="158" t="e">
        <f t="shared" si="12"/>
        <v>#DIV/0!</v>
      </c>
      <c r="L55" s="158" t="e">
        <f t="shared" si="12"/>
        <v>#DIV/0!</v>
      </c>
    </row>
    <row r="56" spans="2:12">
      <c r="B56" s="285" t="str">
        <f>B26</f>
        <v>1.6Tb total</v>
      </c>
      <c r="C56" s="206"/>
      <c r="D56" s="159"/>
      <c r="E56" s="159"/>
      <c r="F56" s="159"/>
      <c r="G56" s="159"/>
      <c r="H56" s="159"/>
      <c r="I56" s="159" t="e">
        <f t="shared" ref="I56:L56" si="13">I79*10^6/I26</f>
        <v>#DIV/0!</v>
      </c>
      <c r="J56" s="159" t="e">
        <f t="shared" si="13"/>
        <v>#DIV/0!</v>
      </c>
      <c r="K56" s="159" t="e">
        <f t="shared" si="13"/>
        <v>#DIV/0!</v>
      </c>
      <c r="L56" s="159" t="e">
        <f t="shared" si="13"/>
        <v>#DIV/0!</v>
      </c>
    </row>
    <row r="57" spans="2:12">
      <c r="B57" s="285" t="str">
        <f>B27</f>
        <v>External laser modules</v>
      </c>
      <c r="C57" s="207"/>
      <c r="D57" s="160"/>
      <c r="E57" s="160"/>
      <c r="F57" s="160"/>
      <c r="G57" s="160"/>
      <c r="H57" s="160"/>
      <c r="I57" s="159" t="e">
        <f>I80*10^6/I27</f>
        <v>#DIV/0!</v>
      </c>
      <c r="J57" s="159" t="e">
        <f t="shared" ref="J57:L57" si="14">J80*10^6/J27</f>
        <v>#DIV/0!</v>
      </c>
      <c r="K57" s="159" t="e">
        <f t="shared" si="14"/>
        <v>#DIV/0!</v>
      </c>
      <c r="L57" s="159" t="e">
        <f t="shared" si="14"/>
        <v>#DIV/0!</v>
      </c>
    </row>
    <row r="58" spans="2:12">
      <c r="B58" s="217" t="str">
        <f>B23</f>
        <v>CPO&amp;External lasers total</v>
      </c>
      <c r="C58" s="201"/>
      <c r="D58" s="202"/>
      <c r="E58" s="202"/>
      <c r="F58" s="202"/>
      <c r="G58" s="202" t="e">
        <f>G81*10^6/G28</f>
        <v>#DIV/0!</v>
      </c>
      <c r="H58" s="202" t="e">
        <f>H81*10^6/H28</f>
        <v>#DIV/0!</v>
      </c>
      <c r="I58" s="202" t="e">
        <f t="shared" ref="I58:L58" si="15">I81*10^6/I28</f>
        <v>#DIV/0!</v>
      </c>
      <c r="J58" s="202" t="e">
        <f t="shared" si="15"/>
        <v>#DIV/0!</v>
      </c>
      <c r="K58" s="202" t="e">
        <f t="shared" si="15"/>
        <v>#DIV/0!</v>
      </c>
      <c r="L58" s="202" t="e">
        <f t="shared" si="15"/>
        <v>#DIV/0!</v>
      </c>
    </row>
    <row r="59" spans="2:12">
      <c r="B59" s="165"/>
    </row>
    <row r="60" spans="2:12">
      <c r="B60" s="283" t="s">
        <v>205</v>
      </c>
      <c r="C60" s="85">
        <v>2018</v>
      </c>
      <c r="D60" s="86">
        <v>2019</v>
      </c>
      <c r="E60" s="86">
        <v>2020</v>
      </c>
      <c r="F60" s="86">
        <v>2021</v>
      </c>
      <c r="G60" s="86">
        <v>2022</v>
      </c>
      <c r="H60" s="86">
        <v>2023</v>
      </c>
      <c r="I60" s="86">
        <v>2024</v>
      </c>
      <c r="J60" s="86">
        <v>2025</v>
      </c>
      <c r="K60" s="86">
        <v>2026</v>
      </c>
      <c r="L60" s="86">
        <v>2027</v>
      </c>
    </row>
    <row r="61" spans="2:12">
      <c r="B61" s="224" t="str">
        <f t="shared" ref="B61:B74" si="16">B8</f>
        <v>CPO 800 Gbps 30m</v>
      </c>
      <c r="C61" s="206"/>
      <c r="D61" s="159"/>
      <c r="E61" s="159"/>
      <c r="F61" s="205">
        <f t="shared" ref="F61:L61" si="17">IF(F8=0,,F8*F38/10^6)</f>
        <v>0</v>
      </c>
      <c r="G61" s="365">
        <f t="shared" si="17"/>
        <v>0</v>
      </c>
      <c r="H61" s="365">
        <f t="shared" si="17"/>
        <v>0</v>
      </c>
      <c r="I61" s="205">
        <f t="shared" si="17"/>
        <v>0</v>
      </c>
      <c r="J61" s="205">
        <f t="shared" si="17"/>
        <v>0</v>
      </c>
      <c r="K61" s="205">
        <f t="shared" si="17"/>
        <v>0</v>
      </c>
      <c r="L61" s="205">
        <f t="shared" si="17"/>
        <v>0</v>
      </c>
    </row>
    <row r="62" spans="2:12">
      <c r="B62" s="224" t="str">
        <f t="shared" si="16"/>
        <v>CPO 800 Gbps 100 m</v>
      </c>
      <c r="C62" s="206"/>
      <c r="D62" s="159"/>
      <c r="E62" s="159"/>
      <c r="F62" s="205">
        <f t="shared" ref="F62:L62" si="18">IF(F9=0,,F9*F39/10^6)</f>
        <v>0</v>
      </c>
      <c r="G62" s="365">
        <f t="shared" si="18"/>
        <v>0</v>
      </c>
      <c r="H62" s="365">
        <f t="shared" si="18"/>
        <v>0</v>
      </c>
      <c r="I62" s="205">
        <f t="shared" si="18"/>
        <v>0</v>
      </c>
      <c r="J62" s="205">
        <f t="shared" si="18"/>
        <v>0</v>
      </c>
      <c r="K62" s="205">
        <f t="shared" si="18"/>
        <v>0</v>
      </c>
      <c r="L62" s="205">
        <f t="shared" si="18"/>
        <v>0</v>
      </c>
    </row>
    <row r="63" spans="2:12">
      <c r="B63" s="224" t="str">
        <f t="shared" si="16"/>
        <v>CPO 800 Gbps 500 m</v>
      </c>
      <c r="C63" s="206"/>
      <c r="D63" s="159"/>
      <c r="E63" s="159"/>
      <c r="F63" s="205">
        <f t="shared" ref="F63:L63" si="19">IF(F10=0,,F10*F40/10^6)</f>
        <v>0</v>
      </c>
      <c r="G63" s="365">
        <f t="shared" si="19"/>
        <v>0</v>
      </c>
      <c r="H63" s="365">
        <f t="shared" si="19"/>
        <v>0</v>
      </c>
      <c r="I63" s="205">
        <f t="shared" si="19"/>
        <v>0</v>
      </c>
      <c r="J63" s="205">
        <f t="shared" si="19"/>
        <v>0</v>
      </c>
      <c r="K63" s="205">
        <f t="shared" si="19"/>
        <v>0</v>
      </c>
      <c r="L63" s="205">
        <f t="shared" si="19"/>
        <v>0</v>
      </c>
    </row>
    <row r="64" spans="2:12">
      <c r="B64" s="224" t="str">
        <f t="shared" si="16"/>
        <v>CPO 800 Gbps 2 km</v>
      </c>
      <c r="C64" s="206"/>
      <c r="D64" s="159"/>
      <c r="E64" s="159"/>
      <c r="F64" s="205">
        <f t="shared" ref="F64:L64" si="20">IF(F11=0,,F11*F41/10^6)</f>
        <v>0</v>
      </c>
      <c r="G64" s="205">
        <f t="shared" si="20"/>
        <v>0</v>
      </c>
      <c r="H64" s="365">
        <f t="shared" si="20"/>
        <v>0</v>
      </c>
      <c r="I64" s="205">
        <f t="shared" si="20"/>
        <v>0</v>
      </c>
      <c r="J64" s="205">
        <f t="shared" si="20"/>
        <v>0</v>
      </c>
      <c r="K64" s="205">
        <f t="shared" si="20"/>
        <v>0</v>
      </c>
      <c r="L64" s="205">
        <f t="shared" si="20"/>
        <v>0</v>
      </c>
    </row>
    <row r="65" spans="2:12">
      <c r="B65" s="219" t="str">
        <f t="shared" si="16"/>
        <v>CPO 800 Gbps 10 km</v>
      </c>
      <c r="C65" s="207"/>
      <c r="D65" s="160"/>
      <c r="E65" s="160"/>
      <c r="F65" s="122">
        <f t="shared" ref="F65:L65" si="21">IF(F12=0,,F12*F42/10^6)</f>
        <v>0</v>
      </c>
      <c r="G65" s="122">
        <f t="shared" si="21"/>
        <v>0</v>
      </c>
      <c r="H65" s="122">
        <f t="shared" si="21"/>
        <v>0</v>
      </c>
      <c r="I65" s="122">
        <f t="shared" si="21"/>
        <v>0</v>
      </c>
      <c r="J65" s="122">
        <f t="shared" si="21"/>
        <v>0</v>
      </c>
      <c r="K65" s="122">
        <f t="shared" si="21"/>
        <v>0</v>
      </c>
      <c r="L65" s="122">
        <f t="shared" si="21"/>
        <v>0</v>
      </c>
    </row>
    <row r="66" spans="2:12">
      <c r="B66" s="218" t="str">
        <f t="shared" si="16"/>
        <v>CPO 1.6 Tbps 30m</v>
      </c>
      <c r="C66" s="208"/>
      <c r="D66" s="158"/>
      <c r="E66" s="158"/>
      <c r="F66" s="204">
        <f t="shared" ref="F66:L66" si="22">IF(F13=0,,F13*F43/10^6)</f>
        <v>0</v>
      </c>
      <c r="G66" s="204">
        <f t="shared" si="22"/>
        <v>0</v>
      </c>
      <c r="H66" s="204">
        <f t="shared" si="22"/>
        <v>0</v>
      </c>
      <c r="I66" s="204">
        <f t="shared" si="22"/>
        <v>0</v>
      </c>
      <c r="J66" s="204">
        <f t="shared" si="22"/>
        <v>0</v>
      </c>
      <c r="K66" s="204">
        <f t="shared" si="22"/>
        <v>0</v>
      </c>
      <c r="L66" s="204">
        <f t="shared" si="22"/>
        <v>0</v>
      </c>
    </row>
    <row r="67" spans="2:12">
      <c r="B67" s="224" t="str">
        <f t="shared" si="16"/>
        <v>CPO 1.6 Tbps 100 m</v>
      </c>
      <c r="C67" s="206"/>
      <c r="D67" s="159"/>
      <c r="E67" s="159"/>
      <c r="F67" s="205">
        <f t="shared" ref="F67:L67" si="23">IF(F14=0,,F14*F44/10^6)</f>
        <v>0</v>
      </c>
      <c r="G67" s="205">
        <f t="shared" si="23"/>
        <v>0</v>
      </c>
      <c r="H67" s="205">
        <f t="shared" si="23"/>
        <v>0</v>
      </c>
      <c r="I67" s="205">
        <f t="shared" si="23"/>
        <v>0</v>
      </c>
      <c r="J67" s="205">
        <f t="shared" si="23"/>
        <v>0</v>
      </c>
      <c r="K67" s="205">
        <f t="shared" si="23"/>
        <v>0</v>
      </c>
      <c r="L67" s="205">
        <f t="shared" si="23"/>
        <v>0</v>
      </c>
    </row>
    <row r="68" spans="2:12">
      <c r="B68" s="224" t="str">
        <f t="shared" si="16"/>
        <v>CPO 1.6 Tbps 500 m</v>
      </c>
      <c r="C68" s="206"/>
      <c r="D68" s="159"/>
      <c r="E68" s="159"/>
      <c r="F68" s="205">
        <f t="shared" ref="F68:L68" si="24">IF(F15=0,,F15*F45/10^6)</f>
        <v>0</v>
      </c>
      <c r="G68" s="205">
        <f t="shared" si="24"/>
        <v>0</v>
      </c>
      <c r="H68" s="205">
        <f t="shared" si="24"/>
        <v>0</v>
      </c>
      <c r="I68" s="205">
        <f t="shared" si="24"/>
        <v>0</v>
      </c>
      <c r="J68" s="205">
        <f t="shared" si="24"/>
        <v>0</v>
      </c>
      <c r="K68" s="205">
        <f t="shared" si="24"/>
        <v>0</v>
      </c>
      <c r="L68" s="205">
        <f t="shared" si="24"/>
        <v>0</v>
      </c>
    </row>
    <row r="69" spans="2:12">
      <c r="B69" s="224" t="str">
        <f t="shared" si="16"/>
        <v>CPO 1.6 Tbps 2 km</v>
      </c>
      <c r="C69" s="206"/>
      <c r="D69" s="159"/>
      <c r="E69" s="159"/>
      <c r="F69" s="205">
        <f t="shared" ref="F69:L69" si="25">IF(F16=0,,F16*F46/10^6)</f>
        <v>0</v>
      </c>
      <c r="G69" s="205">
        <f t="shared" si="25"/>
        <v>0</v>
      </c>
      <c r="H69" s="205">
        <f t="shared" si="25"/>
        <v>0</v>
      </c>
      <c r="I69" s="205">
        <f t="shared" si="25"/>
        <v>0</v>
      </c>
      <c r="J69" s="205">
        <f t="shared" si="25"/>
        <v>0</v>
      </c>
      <c r="K69" s="205">
        <f t="shared" si="25"/>
        <v>0</v>
      </c>
      <c r="L69" s="205">
        <f t="shared" si="25"/>
        <v>0</v>
      </c>
    </row>
    <row r="70" spans="2:12">
      <c r="B70" s="219" t="str">
        <f t="shared" si="16"/>
        <v>CPO 1.6 Tbps 10 km</v>
      </c>
      <c r="C70" s="207"/>
      <c r="D70" s="160"/>
      <c r="E70" s="160"/>
      <c r="F70" s="122">
        <f t="shared" ref="F70:L70" si="26">IF(F17=0,,F17*F47/10^6)</f>
        <v>0</v>
      </c>
      <c r="G70" s="122">
        <f t="shared" si="26"/>
        <v>0</v>
      </c>
      <c r="H70" s="122">
        <f t="shared" si="26"/>
        <v>0</v>
      </c>
      <c r="I70" s="122">
        <f t="shared" si="26"/>
        <v>0</v>
      </c>
      <c r="J70" s="122">
        <f t="shared" si="26"/>
        <v>0</v>
      </c>
      <c r="K70" s="122">
        <f t="shared" si="26"/>
        <v>0</v>
      </c>
      <c r="L70" s="122">
        <f t="shared" si="26"/>
        <v>0</v>
      </c>
    </row>
    <row r="71" spans="2:12">
      <c r="B71" s="218" t="str">
        <f t="shared" si="16"/>
        <v xml:space="preserve">External laser module (Comb) -LP  </v>
      </c>
      <c r="C71" s="208"/>
      <c r="D71" s="158"/>
      <c r="E71" s="158"/>
      <c r="F71" s="204">
        <f t="shared" ref="F71:L71" si="27">IF(F18=0,,F18*F48/10^6)</f>
        <v>0</v>
      </c>
      <c r="G71" s="204">
        <f t="shared" si="27"/>
        <v>0</v>
      </c>
      <c r="H71" s="204">
        <f t="shared" si="27"/>
        <v>0</v>
      </c>
      <c r="I71" s="204">
        <f t="shared" si="27"/>
        <v>0</v>
      </c>
      <c r="J71" s="204">
        <f t="shared" si="27"/>
        <v>0</v>
      </c>
      <c r="K71" s="204">
        <f t="shared" si="27"/>
        <v>0</v>
      </c>
      <c r="L71" s="204">
        <f t="shared" si="27"/>
        <v>0</v>
      </c>
    </row>
    <row r="72" spans="2:12">
      <c r="B72" s="224" t="str">
        <f t="shared" si="16"/>
        <v xml:space="preserve">External laser module (Comb) - HP  </v>
      </c>
      <c r="C72" s="206"/>
      <c r="D72" s="159"/>
      <c r="E72" s="159"/>
      <c r="F72" s="205">
        <f t="shared" ref="F72:L72" si="28">IF(F19=0,,F19*F49/10^6)</f>
        <v>0</v>
      </c>
      <c r="G72" s="205">
        <f t="shared" si="28"/>
        <v>0</v>
      </c>
      <c r="H72" s="205">
        <f t="shared" si="28"/>
        <v>0</v>
      </c>
      <c r="I72" s="205">
        <f t="shared" si="28"/>
        <v>0</v>
      </c>
      <c r="J72" s="205">
        <f t="shared" si="28"/>
        <v>0</v>
      </c>
      <c r="K72" s="205">
        <f t="shared" si="28"/>
        <v>0</v>
      </c>
      <c r="L72" s="205">
        <f t="shared" si="28"/>
        <v>0</v>
      </c>
    </row>
    <row r="73" spans="2:12">
      <c r="B73" s="224" t="str">
        <f t="shared" si="16"/>
        <v xml:space="preserve">External laser module (4xDR4)  </v>
      </c>
      <c r="C73" s="206"/>
      <c r="D73" s="159"/>
      <c r="E73" s="159"/>
      <c r="F73" s="205">
        <f t="shared" ref="F73:L73" si="29">IF(F20=0,,F20*F50/10^6)</f>
        <v>0</v>
      </c>
      <c r="G73" s="205">
        <f t="shared" si="29"/>
        <v>0</v>
      </c>
      <c r="H73" s="205">
        <f t="shared" si="29"/>
        <v>0</v>
      </c>
      <c r="I73" s="205">
        <f t="shared" si="29"/>
        <v>0</v>
      </c>
      <c r="J73" s="205">
        <f t="shared" si="29"/>
        <v>0</v>
      </c>
      <c r="K73" s="205">
        <f t="shared" si="29"/>
        <v>0</v>
      </c>
      <c r="L73" s="205">
        <f t="shared" si="29"/>
        <v>0</v>
      </c>
    </row>
    <row r="74" spans="2:12">
      <c r="B74" s="224" t="str">
        <f t="shared" si="16"/>
        <v xml:space="preserve">External laser module (4xFR4)  </v>
      </c>
      <c r="C74" s="206"/>
      <c r="D74" s="159"/>
      <c r="E74" s="159"/>
      <c r="F74" s="205">
        <f t="shared" ref="F74:L74" si="30">IF(F21=0,,F21*F51/10^6)</f>
        <v>0</v>
      </c>
      <c r="G74" s="205">
        <f t="shared" si="30"/>
        <v>0</v>
      </c>
      <c r="H74" s="205">
        <f t="shared" si="30"/>
        <v>0</v>
      </c>
      <c r="I74" s="205">
        <f t="shared" si="30"/>
        <v>0</v>
      </c>
      <c r="J74" s="205">
        <f t="shared" si="30"/>
        <v>0</v>
      </c>
      <c r="K74" s="205">
        <f t="shared" si="30"/>
        <v>0</v>
      </c>
      <c r="L74" s="205">
        <f t="shared" si="30"/>
        <v>0</v>
      </c>
    </row>
    <row r="75" spans="2:12">
      <c r="B75" s="219"/>
      <c r="C75" s="207"/>
      <c r="D75" s="160"/>
      <c r="E75" s="160"/>
      <c r="F75" s="122"/>
      <c r="G75" s="122"/>
      <c r="H75" s="122"/>
      <c r="I75" s="122"/>
      <c r="J75" s="122"/>
      <c r="K75" s="122"/>
      <c r="L75" s="122"/>
    </row>
    <row r="76" spans="2:12">
      <c r="B76" s="217" t="str">
        <f>B23</f>
        <v>CPO&amp;External lasers total</v>
      </c>
      <c r="C76" s="201"/>
      <c r="D76" s="202"/>
      <c r="E76" s="202"/>
      <c r="F76" s="202">
        <f>SUM(F61:F75)</f>
        <v>0</v>
      </c>
      <c r="G76" s="202">
        <f>SUM(G61:G75)</f>
        <v>0</v>
      </c>
      <c r="H76" s="202">
        <f t="shared" ref="H76:L76" si="31">SUM(H61:H75)</f>
        <v>0</v>
      </c>
      <c r="I76" s="202">
        <f t="shared" si="31"/>
        <v>0</v>
      </c>
      <c r="J76" s="202">
        <f t="shared" si="31"/>
        <v>0</v>
      </c>
      <c r="K76" s="202">
        <f t="shared" si="31"/>
        <v>0</v>
      </c>
      <c r="L76" s="202">
        <f t="shared" si="31"/>
        <v>0</v>
      </c>
    </row>
    <row r="78" spans="2:12">
      <c r="B78" s="284" t="str">
        <f>B25</f>
        <v>800G total</v>
      </c>
      <c r="C78" s="208"/>
      <c r="D78" s="158"/>
      <c r="E78" s="158"/>
      <c r="F78" s="158">
        <f>SUM(F61:F65)</f>
        <v>0</v>
      </c>
      <c r="G78" s="158">
        <f t="shared" ref="G78:L78" si="32">SUM(G61:G65)</f>
        <v>0</v>
      </c>
      <c r="H78" s="158">
        <f t="shared" si="32"/>
        <v>0</v>
      </c>
      <c r="I78" s="158">
        <f t="shared" si="32"/>
        <v>0</v>
      </c>
      <c r="J78" s="158">
        <f t="shared" si="32"/>
        <v>0</v>
      </c>
      <c r="K78" s="158">
        <f t="shared" si="32"/>
        <v>0</v>
      </c>
      <c r="L78" s="158">
        <f t="shared" si="32"/>
        <v>0</v>
      </c>
    </row>
    <row r="79" spans="2:12">
      <c r="B79" s="285" t="str">
        <f>B26</f>
        <v>1.6Tb total</v>
      </c>
      <c r="C79" s="206"/>
      <c r="D79" s="159"/>
      <c r="E79" s="159"/>
      <c r="F79" s="159">
        <f>SUM(F66:F70)</f>
        <v>0</v>
      </c>
      <c r="G79" s="159">
        <f>SUM(G66:G70)</f>
        <v>0</v>
      </c>
      <c r="H79" s="159">
        <f>SUM(H66:H70)</f>
        <v>0</v>
      </c>
      <c r="I79" s="159">
        <f>SUM(I66:I70)</f>
        <v>0</v>
      </c>
      <c r="J79" s="159">
        <f t="shared" ref="J79:L79" si="33">SUM(J66:J70)</f>
        <v>0</v>
      </c>
      <c r="K79" s="159">
        <f t="shared" si="33"/>
        <v>0</v>
      </c>
      <c r="L79" s="159">
        <f t="shared" si="33"/>
        <v>0</v>
      </c>
    </row>
    <row r="80" spans="2:12">
      <c r="B80" s="285" t="str">
        <f>B27</f>
        <v>External laser modules</v>
      </c>
      <c r="C80" s="207"/>
      <c r="D80" s="160"/>
      <c r="E80" s="160"/>
      <c r="F80" s="159">
        <f>SUM(F71:F75)</f>
        <v>0</v>
      </c>
      <c r="G80" s="159">
        <f t="shared" ref="G80:L80" si="34">SUM(G71:G75)</f>
        <v>0</v>
      </c>
      <c r="H80" s="159">
        <f t="shared" si="34"/>
        <v>0</v>
      </c>
      <c r="I80" s="159">
        <f t="shared" si="34"/>
        <v>0</v>
      </c>
      <c r="J80" s="159">
        <f t="shared" si="34"/>
        <v>0</v>
      </c>
      <c r="K80" s="159">
        <f t="shared" si="34"/>
        <v>0</v>
      </c>
      <c r="L80" s="159">
        <f t="shared" si="34"/>
        <v>0</v>
      </c>
    </row>
    <row r="81" spans="2:12">
      <c r="B81" s="217" t="str">
        <f>B23</f>
        <v>CPO&amp;External lasers total</v>
      </c>
      <c r="C81" s="201"/>
      <c r="D81" s="202"/>
      <c r="E81" s="202"/>
      <c r="F81" s="202">
        <f>SUM(F78:F79)</f>
        <v>0</v>
      </c>
      <c r="G81" s="202">
        <f>SUM(G78:G80)</f>
        <v>0</v>
      </c>
      <c r="H81" s="202">
        <f t="shared" ref="H81:L81" si="35">SUM(H78:H80)</f>
        <v>0</v>
      </c>
      <c r="I81" s="202">
        <f t="shared" si="35"/>
        <v>0</v>
      </c>
      <c r="J81" s="202">
        <f t="shared" si="35"/>
        <v>0</v>
      </c>
      <c r="K81" s="202">
        <f t="shared" si="35"/>
        <v>0</v>
      </c>
      <c r="L81" s="202">
        <f t="shared" si="35"/>
        <v>0</v>
      </c>
    </row>
    <row r="82" spans="2:12">
      <c r="B82" s="165"/>
      <c r="C82" s="71"/>
      <c r="D82" s="71"/>
      <c r="E82" s="71"/>
      <c r="F82" s="71"/>
      <c r="G82" s="71"/>
      <c r="H82" s="71"/>
      <c r="I82" s="71"/>
      <c r="J82" s="71"/>
      <c r="K82" s="71"/>
      <c r="L82" s="71"/>
    </row>
    <row r="83" spans="2:12">
      <c r="B83" s="284" t="str">
        <f t="shared" ref="B83:B88" si="36">B30</f>
        <v>30 m total</v>
      </c>
      <c r="C83" s="208"/>
      <c r="D83" s="158"/>
      <c r="E83" s="158"/>
      <c r="F83" s="158">
        <f t="shared" ref="F83:G87" si="37">F61+F66</f>
        <v>0</v>
      </c>
      <c r="G83" s="158">
        <f t="shared" si="37"/>
        <v>0</v>
      </c>
      <c r="H83" s="158">
        <f t="shared" ref="H83:L83" si="38">H61+H66</f>
        <v>0</v>
      </c>
      <c r="I83" s="158">
        <f t="shared" si="38"/>
        <v>0</v>
      </c>
      <c r="J83" s="158">
        <f t="shared" si="38"/>
        <v>0</v>
      </c>
      <c r="K83" s="158">
        <f t="shared" si="38"/>
        <v>0</v>
      </c>
      <c r="L83" s="158">
        <f t="shared" si="38"/>
        <v>0</v>
      </c>
    </row>
    <row r="84" spans="2:12">
      <c r="B84" s="285" t="str">
        <f t="shared" si="36"/>
        <v>100 m total</v>
      </c>
      <c r="C84" s="206"/>
      <c r="D84" s="159"/>
      <c r="E84" s="159"/>
      <c r="F84" s="159">
        <f t="shared" si="37"/>
        <v>0</v>
      </c>
      <c r="G84" s="159">
        <f t="shared" si="37"/>
        <v>0</v>
      </c>
      <c r="H84" s="159">
        <f t="shared" ref="H84:L87" si="39">H62+H67</f>
        <v>0</v>
      </c>
      <c r="I84" s="159">
        <f t="shared" si="39"/>
        <v>0</v>
      </c>
      <c r="J84" s="159">
        <f t="shared" si="39"/>
        <v>0</v>
      </c>
      <c r="K84" s="159">
        <f t="shared" si="39"/>
        <v>0</v>
      </c>
      <c r="L84" s="159">
        <f t="shared" si="39"/>
        <v>0</v>
      </c>
    </row>
    <row r="85" spans="2:12">
      <c r="B85" s="285" t="str">
        <f t="shared" si="36"/>
        <v>500 m total</v>
      </c>
      <c r="C85" s="206"/>
      <c r="D85" s="159"/>
      <c r="E85" s="159"/>
      <c r="F85" s="159">
        <f t="shared" si="37"/>
        <v>0</v>
      </c>
      <c r="G85" s="159">
        <f t="shared" si="37"/>
        <v>0</v>
      </c>
      <c r="H85" s="159">
        <f t="shared" si="39"/>
        <v>0</v>
      </c>
      <c r="I85" s="159">
        <f t="shared" si="39"/>
        <v>0</v>
      </c>
      <c r="J85" s="159">
        <f t="shared" si="39"/>
        <v>0</v>
      </c>
      <c r="K85" s="159">
        <f t="shared" si="39"/>
        <v>0</v>
      </c>
      <c r="L85" s="159">
        <f t="shared" si="39"/>
        <v>0</v>
      </c>
    </row>
    <row r="86" spans="2:12">
      <c r="B86" s="285" t="str">
        <f t="shared" si="36"/>
        <v>2 km total</v>
      </c>
      <c r="C86" s="206"/>
      <c r="D86" s="159"/>
      <c r="E86" s="159"/>
      <c r="F86" s="159">
        <f t="shared" si="37"/>
        <v>0</v>
      </c>
      <c r="G86" s="159">
        <f t="shared" si="37"/>
        <v>0</v>
      </c>
      <c r="H86" s="159">
        <f t="shared" si="39"/>
        <v>0</v>
      </c>
      <c r="I86" s="159">
        <f t="shared" si="39"/>
        <v>0</v>
      </c>
      <c r="J86" s="159">
        <f t="shared" si="39"/>
        <v>0</v>
      </c>
      <c r="K86" s="159">
        <f t="shared" si="39"/>
        <v>0</v>
      </c>
      <c r="L86" s="159">
        <f t="shared" si="39"/>
        <v>0</v>
      </c>
    </row>
    <row r="87" spans="2:12">
      <c r="B87" s="286" t="str">
        <f t="shared" si="36"/>
        <v>10 km total</v>
      </c>
      <c r="C87" s="207"/>
      <c r="D87" s="160"/>
      <c r="E87" s="160"/>
      <c r="F87" s="160">
        <f t="shared" si="37"/>
        <v>0</v>
      </c>
      <c r="G87" s="160">
        <f t="shared" si="37"/>
        <v>0</v>
      </c>
      <c r="H87" s="160">
        <f t="shared" si="39"/>
        <v>0</v>
      </c>
      <c r="I87" s="160">
        <f t="shared" si="39"/>
        <v>0</v>
      </c>
      <c r="J87" s="160">
        <f t="shared" si="39"/>
        <v>0</v>
      </c>
      <c r="K87" s="160">
        <f t="shared" si="39"/>
        <v>0</v>
      </c>
      <c r="L87" s="160">
        <f t="shared" si="39"/>
        <v>0</v>
      </c>
    </row>
    <row r="88" spans="2:12">
      <c r="B88" s="217" t="str">
        <f t="shared" si="36"/>
        <v>CPOs total</v>
      </c>
      <c r="C88" s="201"/>
      <c r="D88" s="202"/>
      <c r="E88" s="202"/>
      <c r="F88" s="202">
        <f>SUM(F83:F87)</f>
        <v>0</v>
      </c>
      <c r="G88" s="202">
        <f t="shared" ref="G88:L88" si="40">SUM(G83:G87)</f>
        <v>0</v>
      </c>
      <c r="H88" s="202">
        <f t="shared" si="40"/>
        <v>0</v>
      </c>
      <c r="I88" s="202">
        <f t="shared" si="40"/>
        <v>0</v>
      </c>
      <c r="J88" s="202">
        <f t="shared" si="40"/>
        <v>0</v>
      </c>
      <c r="K88" s="202">
        <f t="shared" si="40"/>
        <v>0</v>
      </c>
      <c r="L88" s="202">
        <f t="shared" si="40"/>
        <v>0</v>
      </c>
    </row>
    <row r="89" spans="2:12">
      <c r="B89" s="165"/>
    </row>
    <row r="90" spans="2:12">
      <c r="B90" s="165"/>
    </row>
    <row r="91" spans="2:12">
      <c r="B91" s="283" t="s">
        <v>157</v>
      </c>
      <c r="C91" s="85">
        <v>2018</v>
      </c>
      <c r="D91" s="86">
        <v>2019</v>
      </c>
      <c r="E91" s="86">
        <v>2020</v>
      </c>
      <c r="F91" s="86">
        <v>2021</v>
      </c>
      <c r="G91" s="86">
        <v>2022</v>
      </c>
      <c r="H91" s="86">
        <v>2023</v>
      </c>
      <c r="I91" s="86">
        <v>2024</v>
      </c>
      <c r="J91" s="86">
        <v>2025</v>
      </c>
      <c r="K91" s="86">
        <v>2026</v>
      </c>
      <c r="L91" s="86">
        <v>2027</v>
      </c>
    </row>
    <row r="92" spans="2:12">
      <c r="B92" s="285" t="str">
        <f t="shared" ref="B92:B105" si="41">B61</f>
        <v>CPO 800 Gbps 30m</v>
      </c>
      <c r="C92" s="291"/>
      <c r="D92" s="292"/>
      <c r="E92" s="292"/>
      <c r="F92" s="236">
        <f t="shared" ref="F92:L92" si="42">F38/800</f>
        <v>0</v>
      </c>
      <c r="G92" s="236">
        <f t="shared" si="42"/>
        <v>0</v>
      </c>
      <c r="H92" s="236">
        <f t="shared" si="42"/>
        <v>0</v>
      </c>
      <c r="I92" s="236">
        <f t="shared" si="42"/>
        <v>0</v>
      </c>
      <c r="J92" s="236">
        <f t="shared" si="42"/>
        <v>0</v>
      </c>
      <c r="K92" s="236">
        <f t="shared" si="42"/>
        <v>0</v>
      </c>
      <c r="L92" s="236">
        <f t="shared" si="42"/>
        <v>0</v>
      </c>
    </row>
    <row r="93" spans="2:12">
      <c r="B93" s="285" t="str">
        <f t="shared" si="41"/>
        <v>CPO 800 Gbps 100 m</v>
      </c>
      <c r="C93" s="291"/>
      <c r="D93" s="292"/>
      <c r="E93" s="292"/>
      <c r="F93" s="236">
        <f t="shared" ref="F93:L93" si="43">F39/800</f>
        <v>0</v>
      </c>
      <c r="G93" s="236">
        <f t="shared" si="43"/>
        <v>0</v>
      </c>
      <c r="H93" s="236">
        <f t="shared" si="43"/>
        <v>0</v>
      </c>
      <c r="I93" s="236">
        <f t="shared" si="43"/>
        <v>0</v>
      </c>
      <c r="J93" s="236">
        <f t="shared" si="43"/>
        <v>0</v>
      </c>
      <c r="K93" s="236">
        <f t="shared" si="43"/>
        <v>0</v>
      </c>
      <c r="L93" s="236">
        <f t="shared" si="43"/>
        <v>0</v>
      </c>
    </row>
    <row r="94" spans="2:12">
      <c r="B94" s="285" t="str">
        <f t="shared" si="41"/>
        <v>CPO 800 Gbps 500 m</v>
      </c>
      <c r="C94" s="291"/>
      <c r="D94" s="292"/>
      <c r="E94" s="292"/>
      <c r="F94" s="236">
        <f t="shared" ref="F94:L94" si="44">F40/800</f>
        <v>0</v>
      </c>
      <c r="G94" s="236">
        <f t="shared" si="44"/>
        <v>0</v>
      </c>
      <c r="H94" s="236">
        <f t="shared" si="44"/>
        <v>0</v>
      </c>
      <c r="I94" s="236">
        <f t="shared" si="44"/>
        <v>0</v>
      </c>
      <c r="J94" s="236">
        <f t="shared" si="44"/>
        <v>0</v>
      </c>
      <c r="K94" s="236">
        <f t="shared" si="44"/>
        <v>0</v>
      </c>
      <c r="L94" s="236">
        <f t="shared" si="44"/>
        <v>0</v>
      </c>
    </row>
    <row r="95" spans="2:12">
      <c r="B95" s="285" t="str">
        <f t="shared" si="41"/>
        <v>CPO 800 Gbps 2 km</v>
      </c>
      <c r="C95" s="291"/>
      <c r="D95" s="292"/>
      <c r="E95" s="292"/>
      <c r="F95" s="236">
        <f t="shared" ref="F95:L95" si="45">F41/800</f>
        <v>0</v>
      </c>
      <c r="G95" s="236">
        <f t="shared" si="45"/>
        <v>0</v>
      </c>
      <c r="H95" s="236">
        <f t="shared" si="45"/>
        <v>0</v>
      </c>
      <c r="I95" s="236">
        <f t="shared" si="45"/>
        <v>0</v>
      </c>
      <c r="J95" s="236">
        <f t="shared" si="45"/>
        <v>0</v>
      </c>
      <c r="K95" s="236">
        <f t="shared" si="45"/>
        <v>0</v>
      </c>
      <c r="L95" s="236">
        <f t="shared" si="45"/>
        <v>0</v>
      </c>
    </row>
    <row r="96" spans="2:12">
      <c r="B96" s="286" t="str">
        <f t="shared" si="41"/>
        <v>CPO 800 Gbps 10 km</v>
      </c>
      <c r="C96" s="293"/>
      <c r="D96" s="294"/>
      <c r="E96" s="294"/>
      <c r="F96" s="237">
        <f t="shared" ref="F96:L96" si="46">F42/800</f>
        <v>0</v>
      </c>
      <c r="G96" s="237">
        <f t="shared" si="46"/>
        <v>0</v>
      </c>
      <c r="H96" s="237">
        <f t="shared" si="46"/>
        <v>0</v>
      </c>
      <c r="I96" s="237">
        <f t="shared" si="46"/>
        <v>0</v>
      </c>
      <c r="J96" s="237">
        <f t="shared" si="46"/>
        <v>0</v>
      </c>
      <c r="K96" s="237">
        <f t="shared" si="46"/>
        <v>0</v>
      </c>
      <c r="L96" s="237">
        <f t="shared" si="46"/>
        <v>0</v>
      </c>
    </row>
    <row r="97" spans="2:12">
      <c r="B97" s="285" t="str">
        <f t="shared" si="41"/>
        <v>CPO 1.6 Tbps 30m</v>
      </c>
      <c r="C97" s="291"/>
      <c r="D97" s="292"/>
      <c r="E97" s="292"/>
      <c r="F97" s="236">
        <f t="shared" ref="F97:L97" si="47">F43/800</f>
        <v>0</v>
      </c>
      <c r="G97" s="236">
        <f t="shared" si="47"/>
        <v>0</v>
      </c>
      <c r="H97" s="236">
        <f t="shared" si="47"/>
        <v>0</v>
      </c>
      <c r="I97" s="236">
        <f t="shared" si="47"/>
        <v>0</v>
      </c>
      <c r="J97" s="236">
        <f t="shared" si="47"/>
        <v>0</v>
      </c>
      <c r="K97" s="236">
        <f t="shared" si="47"/>
        <v>0</v>
      </c>
      <c r="L97" s="236">
        <f t="shared" si="47"/>
        <v>0</v>
      </c>
    </row>
    <row r="98" spans="2:12">
      <c r="B98" s="285" t="str">
        <f t="shared" si="41"/>
        <v>CPO 1.6 Tbps 100 m</v>
      </c>
      <c r="C98" s="291"/>
      <c r="D98" s="292"/>
      <c r="E98" s="292"/>
      <c r="F98" s="236">
        <f t="shared" ref="F98:L98" si="48">F44/800</f>
        <v>0</v>
      </c>
      <c r="G98" s="236">
        <f t="shared" si="48"/>
        <v>0</v>
      </c>
      <c r="H98" s="236">
        <f t="shared" si="48"/>
        <v>0</v>
      </c>
      <c r="I98" s="236">
        <f t="shared" si="48"/>
        <v>0</v>
      </c>
      <c r="J98" s="236">
        <f t="shared" si="48"/>
        <v>0</v>
      </c>
      <c r="K98" s="236">
        <f t="shared" si="48"/>
        <v>0</v>
      </c>
      <c r="L98" s="236">
        <f t="shared" si="48"/>
        <v>0</v>
      </c>
    </row>
    <row r="99" spans="2:12">
      <c r="B99" s="285" t="str">
        <f t="shared" si="41"/>
        <v>CPO 1.6 Tbps 500 m</v>
      </c>
      <c r="C99" s="291"/>
      <c r="D99" s="292"/>
      <c r="E99" s="292"/>
      <c r="F99" s="236">
        <f t="shared" ref="F99:L99" si="49">F45/800</f>
        <v>0</v>
      </c>
      <c r="G99" s="236">
        <f t="shared" si="49"/>
        <v>0</v>
      </c>
      <c r="H99" s="236">
        <f t="shared" si="49"/>
        <v>0</v>
      </c>
      <c r="I99" s="236">
        <f t="shared" si="49"/>
        <v>0</v>
      </c>
      <c r="J99" s="236">
        <f t="shared" si="49"/>
        <v>0</v>
      </c>
      <c r="K99" s="236">
        <f t="shared" si="49"/>
        <v>0</v>
      </c>
      <c r="L99" s="236">
        <f t="shared" si="49"/>
        <v>0</v>
      </c>
    </row>
    <row r="100" spans="2:12">
      <c r="B100" s="285" t="str">
        <f t="shared" si="41"/>
        <v>CPO 1.6 Tbps 2 km</v>
      </c>
      <c r="C100" s="291"/>
      <c r="D100" s="292"/>
      <c r="E100" s="292"/>
      <c r="F100" s="236">
        <f t="shared" ref="F100:L100" si="50">F46/800</f>
        <v>0</v>
      </c>
      <c r="G100" s="236">
        <f t="shared" si="50"/>
        <v>0</v>
      </c>
      <c r="H100" s="236">
        <f t="shared" si="50"/>
        <v>0</v>
      </c>
      <c r="I100" s="236">
        <f t="shared" si="50"/>
        <v>0</v>
      </c>
      <c r="J100" s="236">
        <f t="shared" si="50"/>
        <v>0</v>
      </c>
      <c r="K100" s="236">
        <f t="shared" si="50"/>
        <v>0</v>
      </c>
      <c r="L100" s="236">
        <f t="shared" si="50"/>
        <v>0</v>
      </c>
    </row>
    <row r="101" spans="2:12">
      <c r="B101" s="286" t="str">
        <f t="shared" si="41"/>
        <v>CPO 1.6 Tbps 10 km</v>
      </c>
      <c r="C101" s="293"/>
      <c r="D101" s="294"/>
      <c r="E101" s="294"/>
      <c r="F101" s="294">
        <f t="shared" ref="F101:L101" si="51">F47/800</f>
        <v>0</v>
      </c>
      <c r="G101" s="294">
        <f t="shared" si="51"/>
        <v>0</v>
      </c>
      <c r="H101" s="237">
        <f t="shared" si="51"/>
        <v>0</v>
      </c>
      <c r="I101" s="237">
        <f t="shared" si="51"/>
        <v>0</v>
      </c>
      <c r="J101" s="237">
        <f t="shared" si="51"/>
        <v>0</v>
      </c>
      <c r="K101" s="237">
        <f t="shared" si="51"/>
        <v>0</v>
      </c>
      <c r="L101" s="237">
        <f t="shared" si="51"/>
        <v>0</v>
      </c>
    </row>
    <row r="102" spans="2:12">
      <c r="B102" s="285" t="str">
        <f t="shared" si="41"/>
        <v xml:space="preserve">External laser module (Comb) -LP  </v>
      </c>
      <c r="C102" s="291"/>
      <c r="D102" s="292"/>
      <c r="E102" s="292"/>
      <c r="F102" s="236">
        <f t="shared" ref="F102:L102" si="52">F48/800</f>
        <v>0</v>
      </c>
      <c r="G102" s="236">
        <f t="shared" si="52"/>
        <v>0</v>
      </c>
      <c r="H102" s="236">
        <f t="shared" si="52"/>
        <v>0</v>
      </c>
      <c r="I102" s="236">
        <f t="shared" si="52"/>
        <v>0</v>
      </c>
      <c r="J102" s="236">
        <f t="shared" si="52"/>
        <v>0</v>
      </c>
      <c r="K102" s="236">
        <f t="shared" si="52"/>
        <v>0</v>
      </c>
      <c r="L102" s="236">
        <f t="shared" si="52"/>
        <v>0</v>
      </c>
    </row>
    <row r="103" spans="2:12">
      <c r="B103" s="285" t="str">
        <f t="shared" si="41"/>
        <v xml:space="preserve">External laser module (Comb) - HP  </v>
      </c>
      <c r="C103" s="291"/>
      <c r="D103" s="292"/>
      <c r="E103" s="292"/>
      <c r="F103" s="236">
        <f t="shared" ref="F103:L103" si="53">F49/800</f>
        <v>0</v>
      </c>
      <c r="G103" s="236">
        <f t="shared" si="53"/>
        <v>0</v>
      </c>
      <c r="H103" s="236">
        <f t="shared" si="53"/>
        <v>0</v>
      </c>
      <c r="I103" s="236">
        <f t="shared" si="53"/>
        <v>0</v>
      </c>
      <c r="J103" s="236">
        <f t="shared" si="53"/>
        <v>0</v>
      </c>
      <c r="K103" s="236">
        <f t="shared" si="53"/>
        <v>0</v>
      </c>
      <c r="L103" s="236">
        <f t="shared" si="53"/>
        <v>0</v>
      </c>
    </row>
    <row r="104" spans="2:12">
      <c r="B104" s="285" t="str">
        <f t="shared" si="41"/>
        <v xml:space="preserve">External laser module (4xDR4)  </v>
      </c>
      <c r="C104" s="291"/>
      <c r="D104" s="292"/>
      <c r="E104" s="292"/>
      <c r="F104" s="236">
        <f t="shared" ref="F104:L104" si="54">F50/800</f>
        <v>0</v>
      </c>
      <c r="G104" s="236">
        <f t="shared" si="54"/>
        <v>0</v>
      </c>
      <c r="H104" s="236">
        <f t="shared" si="54"/>
        <v>0</v>
      </c>
      <c r="I104" s="236">
        <f t="shared" si="54"/>
        <v>0</v>
      </c>
      <c r="J104" s="236">
        <f t="shared" si="54"/>
        <v>0</v>
      </c>
      <c r="K104" s="236">
        <f t="shared" si="54"/>
        <v>0</v>
      </c>
      <c r="L104" s="236">
        <f t="shared" si="54"/>
        <v>0</v>
      </c>
    </row>
    <row r="105" spans="2:12">
      <c r="B105" s="285" t="str">
        <f t="shared" si="41"/>
        <v xml:space="preserve">External laser module (4xFR4)  </v>
      </c>
      <c r="C105" s="291"/>
      <c r="D105" s="292"/>
      <c r="E105" s="292"/>
      <c r="F105" s="236">
        <f t="shared" ref="F105:L105" si="55">F51/800</f>
        <v>0</v>
      </c>
      <c r="G105" s="236">
        <f t="shared" si="55"/>
        <v>0</v>
      </c>
      <c r="H105" s="236">
        <f t="shared" si="55"/>
        <v>0</v>
      </c>
      <c r="I105" s="236">
        <f t="shared" si="55"/>
        <v>0</v>
      </c>
      <c r="J105" s="236">
        <f t="shared" si="55"/>
        <v>0</v>
      </c>
      <c r="K105" s="236">
        <f t="shared" si="55"/>
        <v>0</v>
      </c>
      <c r="L105" s="236">
        <f t="shared" si="55"/>
        <v>0</v>
      </c>
    </row>
    <row r="106" spans="2:12">
      <c r="B106" s="286"/>
      <c r="C106" s="293"/>
      <c r="D106" s="294"/>
      <c r="E106" s="294"/>
      <c r="F106" s="294"/>
      <c r="G106" s="294"/>
      <c r="H106" s="237"/>
      <c r="I106" s="237"/>
      <c r="J106" s="237"/>
      <c r="K106" s="237"/>
      <c r="L106" s="237"/>
    </row>
    <row r="107" spans="2:12">
      <c r="B107" s="165"/>
    </row>
    <row r="108" spans="2:12">
      <c r="B108" s="284" t="s">
        <v>217</v>
      </c>
      <c r="C108" s="208"/>
      <c r="D108" s="158"/>
      <c r="E108" s="158"/>
      <c r="F108" s="235">
        <f>AVERAGE(F92:F96)</f>
        <v>0</v>
      </c>
      <c r="G108" s="235">
        <f>AVERAGE(G92:G96)</f>
        <v>0</v>
      </c>
      <c r="H108" s="235">
        <f t="shared" ref="H108:L108" si="56">AVERAGE(H92:H96)</f>
        <v>0</v>
      </c>
      <c r="I108" s="235">
        <f t="shared" si="56"/>
        <v>0</v>
      </c>
      <c r="J108" s="235">
        <f t="shared" si="56"/>
        <v>0</v>
      </c>
      <c r="K108" s="235">
        <f t="shared" si="56"/>
        <v>0</v>
      </c>
      <c r="L108" s="235">
        <f t="shared" si="56"/>
        <v>0</v>
      </c>
    </row>
    <row r="109" spans="2:12">
      <c r="B109" s="285" t="s">
        <v>218</v>
      </c>
      <c r="C109" s="206"/>
      <c r="D109" s="159"/>
      <c r="E109" s="159"/>
      <c r="F109" s="159"/>
      <c r="G109" s="159"/>
      <c r="H109" s="236"/>
      <c r="I109" s="236">
        <f>AVERAGE(I97:I101)</f>
        <v>0</v>
      </c>
      <c r="J109" s="236">
        <f t="shared" ref="J109:L109" si="57">AVERAGE(J97:J101)</f>
        <v>0</v>
      </c>
      <c r="K109" s="236">
        <f t="shared" si="57"/>
        <v>0</v>
      </c>
      <c r="L109" s="236">
        <f t="shared" si="57"/>
        <v>0</v>
      </c>
    </row>
    <row r="110" spans="2:12">
      <c r="B110" s="286"/>
      <c r="C110" s="207"/>
      <c r="D110" s="160"/>
      <c r="E110" s="160"/>
      <c r="F110" s="160"/>
      <c r="G110" s="160"/>
      <c r="H110" s="237"/>
      <c r="I110" s="237">
        <f>AVERAGE(I102:I106)</f>
        <v>0</v>
      </c>
      <c r="J110" s="237">
        <f t="shared" ref="J110:L110" si="58">AVERAGE(J102:J106)</f>
        <v>0</v>
      </c>
      <c r="K110" s="237">
        <f t="shared" si="58"/>
        <v>0</v>
      </c>
      <c r="L110" s="237">
        <f t="shared" si="58"/>
        <v>0</v>
      </c>
    </row>
    <row r="111" spans="2:12">
      <c r="B111" s="165"/>
      <c r="C111" s="71"/>
      <c r="D111" s="71"/>
      <c r="E111" s="71"/>
      <c r="F111" s="71"/>
      <c r="G111" s="71"/>
      <c r="H111" s="72"/>
      <c r="I111" s="72"/>
      <c r="J111" s="72"/>
      <c r="K111" s="72"/>
      <c r="L111" s="72"/>
    </row>
    <row r="112" spans="2:12">
      <c r="B112" s="284" t="s">
        <v>219</v>
      </c>
      <c r="C112" s="208"/>
      <c r="D112" s="158"/>
      <c r="E112" s="158"/>
      <c r="F112" s="235">
        <f>AVERAGE(F97,F92)</f>
        <v>0</v>
      </c>
      <c r="G112" s="235">
        <f>AVERAGE(G97,G92)</f>
        <v>0</v>
      </c>
      <c r="H112" s="235">
        <f t="shared" ref="H112:L112" si="59">AVERAGE(H97,H92)</f>
        <v>0</v>
      </c>
      <c r="I112" s="235">
        <f t="shared" si="59"/>
        <v>0</v>
      </c>
      <c r="J112" s="235">
        <f t="shared" si="59"/>
        <v>0</v>
      </c>
      <c r="K112" s="235">
        <f t="shared" si="59"/>
        <v>0</v>
      </c>
      <c r="L112" s="235">
        <f t="shared" si="59"/>
        <v>0</v>
      </c>
    </row>
    <row r="113" spans="2:12">
      <c r="B113" s="285" t="s">
        <v>221</v>
      </c>
      <c r="C113" s="206"/>
      <c r="D113" s="159"/>
      <c r="E113" s="159"/>
      <c r="F113" s="236">
        <f>AVERAGE(F98,F93)</f>
        <v>0</v>
      </c>
      <c r="G113" s="236">
        <f t="shared" ref="G113:L116" si="60">AVERAGE(G98,G93)</f>
        <v>0</v>
      </c>
      <c r="H113" s="236">
        <f t="shared" si="60"/>
        <v>0</v>
      </c>
      <c r="I113" s="236">
        <f t="shared" si="60"/>
        <v>0</v>
      </c>
      <c r="J113" s="236">
        <f t="shared" si="60"/>
        <v>0</v>
      </c>
      <c r="K113" s="236">
        <f t="shared" si="60"/>
        <v>0</v>
      </c>
      <c r="L113" s="236">
        <f t="shared" si="60"/>
        <v>0</v>
      </c>
    </row>
    <row r="114" spans="2:12">
      <c r="B114" s="285" t="s">
        <v>220</v>
      </c>
      <c r="C114" s="206"/>
      <c r="D114" s="159"/>
      <c r="E114" s="159"/>
      <c r="F114" s="236">
        <f>AVERAGE(F99,F94)</f>
        <v>0</v>
      </c>
      <c r="G114" s="236">
        <f t="shared" si="60"/>
        <v>0</v>
      </c>
      <c r="H114" s="236">
        <f t="shared" si="60"/>
        <v>0</v>
      </c>
      <c r="I114" s="236">
        <f t="shared" si="60"/>
        <v>0</v>
      </c>
      <c r="J114" s="236">
        <f t="shared" si="60"/>
        <v>0</v>
      </c>
      <c r="K114" s="236">
        <f t="shared" si="60"/>
        <v>0</v>
      </c>
      <c r="L114" s="236">
        <f t="shared" si="60"/>
        <v>0</v>
      </c>
    </row>
    <row r="115" spans="2:12">
      <c r="B115" s="285" t="s">
        <v>222</v>
      </c>
      <c r="C115" s="206"/>
      <c r="D115" s="159"/>
      <c r="E115" s="159"/>
      <c r="F115" s="236">
        <f>AVERAGE(F100,F95)</f>
        <v>0</v>
      </c>
      <c r="G115" s="236">
        <f t="shared" si="60"/>
        <v>0</v>
      </c>
      <c r="H115" s="236">
        <f t="shared" si="60"/>
        <v>0</v>
      </c>
      <c r="I115" s="236">
        <f t="shared" si="60"/>
        <v>0</v>
      </c>
      <c r="J115" s="236">
        <f t="shared" si="60"/>
        <v>0</v>
      </c>
      <c r="K115" s="236">
        <f t="shared" si="60"/>
        <v>0</v>
      </c>
      <c r="L115" s="236">
        <f t="shared" si="60"/>
        <v>0</v>
      </c>
    </row>
    <row r="116" spans="2:12">
      <c r="B116" s="286" t="s">
        <v>223</v>
      </c>
      <c r="C116" s="207"/>
      <c r="D116" s="160"/>
      <c r="E116" s="160"/>
      <c r="F116" s="294">
        <f>AVERAGE(F101,F96)</f>
        <v>0</v>
      </c>
      <c r="G116" s="294">
        <f t="shared" si="60"/>
        <v>0</v>
      </c>
      <c r="H116" s="294">
        <f t="shared" si="60"/>
        <v>0</v>
      </c>
      <c r="I116" s="294">
        <f t="shared" si="60"/>
        <v>0</v>
      </c>
      <c r="J116" s="294">
        <f t="shared" si="60"/>
        <v>0</v>
      </c>
      <c r="K116" s="294">
        <f t="shared" si="60"/>
        <v>0</v>
      </c>
      <c r="L116" s="294">
        <f t="shared" si="60"/>
        <v>0</v>
      </c>
    </row>
    <row r="118" spans="2:12">
      <c r="B118" s="65" t="s">
        <v>257</v>
      </c>
      <c r="H118" s="424">
        <f>AVERAGE(H92,H93,H97,H98)</f>
        <v>0</v>
      </c>
      <c r="I118" s="424">
        <f t="shared" ref="I118:L118" si="61">AVERAGE(I92,I93,I97,I98)</f>
        <v>0</v>
      </c>
      <c r="J118" s="424">
        <f t="shared" si="61"/>
        <v>0</v>
      </c>
      <c r="K118" s="424">
        <f t="shared" si="61"/>
        <v>0</v>
      </c>
      <c r="L118" s="424">
        <f t="shared" si="61"/>
        <v>0</v>
      </c>
    </row>
  </sheetData>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Introduction</vt:lpstr>
      <vt:lpstr>Segmentation</vt:lpstr>
      <vt:lpstr>Methodology</vt:lpstr>
      <vt:lpstr>Dashboard</vt:lpstr>
      <vt:lpstr>Summary</vt:lpstr>
      <vt:lpstr>Combined forecast</vt:lpstr>
      <vt:lpstr>AOC forecast</vt:lpstr>
      <vt:lpstr>EOM forecast</vt:lpstr>
      <vt:lpstr>CPO forecast</vt:lpstr>
      <vt:lpstr>Copper cable forecast</vt:lpstr>
      <vt:lpstr>Segment forecast</vt:lpstr>
      <vt:lpstr>CU_prod_names</vt:lpstr>
      <vt:lpstr>CU_revs_total</vt:lpstr>
      <vt:lpstr>CU_units_total</vt:lpstr>
      <vt:lpstr>Price</vt:lpstr>
      <vt:lpstr>Revenue</vt:lpstr>
      <vt:lpstr>VolCore</vt:lpstr>
      <vt:lpstr>VolDCS</vt:lpstr>
      <vt:lpstr>VolHPC</vt:lpstr>
      <vt:lpstr>VolOther</vt:lpstr>
      <vt:lpstr>Volume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LightCounting Forecasting</dc:title>
  <dc:creator>john@lightcounting.com</dc:creator>
  <cp:lastModifiedBy>Stelyana Baleva</cp:lastModifiedBy>
  <cp:lastPrinted>2015-12-01T16:46:00Z</cp:lastPrinted>
  <dcterms:created xsi:type="dcterms:W3CDTF">2009-02-04T20:40:14Z</dcterms:created>
  <dcterms:modified xsi:type="dcterms:W3CDTF">2022-12-22T19:32:49Z</dcterms:modified>
</cp:coreProperties>
</file>