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harts/chart54.xml" ContentType="application/vnd.openxmlformats-officedocument.drawingml.chart+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16.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17.xml" ContentType="application/vnd.openxmlformats-officedocument.drawing+xml"/>
  <Override PartName="/xl/comments7.xml" ContentType="application/vnd.openxmlformats-officedocument.spreadsheetml.comments+xml"/>
  <Override PartName="/xl/charts/chart93.xml" ContentType="application/vnd.openxmlformats-officedocument.drawingml.chart+xml"/>
  <Override PartName="/xl/charts/chart9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drawings/drawing20.xml" ContentType="application/vnd.openxmlformats-officedocument.drawingml.chartshapes+xml"/>
  <Override PartName="/xl/charts/chart10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460" windowWidth="19420" windowHeight="11020" tabRatio="768"/>
  </bookViews>
  <sheets>
    <sheet name="Introduction" sheetId="9" r:id="rId1"/>
    <sheet name="Methodology" sheetId="10" r:id="rId2"/>
    <sheet name="Definitions" sheetId="31" r:id="rId3"/>
    <sheet name="Summary" sheetId="32" r:id="rId4"/>
    <sheet name="CWDM and DWDM" sheetId="5" r:id="rId5"/>
    <sheet name="WDM ports" sheetId="55" r:id="rId6"/>
    <sheet name="Ethernet-Total" sheetId="52" r:id="rId7"/>
    <sheet name="Ethernet-Cloud" sheetId="51" r:id="rId8"/>
    <sheet name="Ethernet-Telecom" sheetId="3" r:id="rId9"/>
    <sheet name="Ethernet-Enterprise" sheetId="60" r:id="rId10"/>
    <sheet name="Wireless" sheetId="13" r:id="rId11"/>
    <sheet name="FTTx" sheetId="6" r:id="rId12"/>
    <sheet name="AOC-EOM" sheetId="29" r:id="rId13"/>
    <sheet name="ICPs" sheetId="46" r:id="rId14"/>
    <sheet name="CSPs" sheetId="47" r:id="rId15"/>
    <sheet name="NEMs" sheetId="48" r:id="rId16"/>
    <sheet name="OC vendors" sheetId="56" r:id="rId17"/>
    <sheet name="Report data" sheetId="58" r:id="rId18"/>
  </sheets>
  <definedNames>
    <definedName name="NewRevs">#REF!</definedName>
    <definedName name="NewUnits">#REF!</definedName>
    <definedName name="Ports_new">#REF!</definedName>
    <definedName name="Ports_old">#REF!</definedName>
    <definedName name="Revs_previous">#REF!</definedName>
    <definedName name="Units_previous">#REF!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7" i="51" l="1"/>
  <c r="S316" i="51"/>
  <c r="S315" i="51"/>
  <c r="S314" i="51"/>
  <c r="S313" i="51"/>
  <c r="S312" i="51"/>
  <c r="S311" i="51"/>
  <c r="S310" i="51"/>
  <c r="S309" i="51"/>
  <c r="S308" i="51"/>
  <c r="S307" i="51"/>
  <c r="S306" i="51"/>
  <c r="S305" i="51"/>
  <c r="S304" i="51"/>
  <c r="S303" i="51"/>
  <c r="S302" i="51"/>
  <c r="S301" i="51"/>
  <c r="S318" i="51" s="1"/>
  <c r="Y300" i="51"/>
  <c r="X300" i="51"/>
  <c r="W300" i="51"/>
  <c r="V300" i="51"/>
  <c r="U300" i="51"/>
  <c r="T300" i="51"/>
  <c r="S300" i="51"/>
  <c r="R300" i="51"/>
  <c r="Q300" i="51"/>
  <c r="P300" i="51"/>
  <c r="S296" i="51"/>
  <c r="T295" i="51"/>
  <c r="T294" i="51"/>
  <c r="T293" i="51"/>
  <c r="T292" i="51"/>
  <c r="T291" i="51"/>
  <c r="T313" i="51" s="1"/>
  <c r="T290" i="51"/>
  <c r="T289" i="51"/>
  <c r="T288" i="51"/>
  <c r="T287" i="51"/>
  <c r="T286" i="51"/>
  <c r="T285" i="51"/>
  <c r="T307" i="51" s="1"/>
  <c r="T284" i="51"/>
  <c r="T283" i="51"/>
  <c r="T282" i="51"/>
  <c r="T281" i="51"/>
  <c r="T280" i="51"/>
  <c r="T279" i="51"/>
  <c r="AB278" i="51"/>
  <c r="AA278" i="51"/>
  <c r="Y278" i="51"/>
  <c r="X278" i="51"/>
  <c r="W278" i="51"/>
  <c r="V278" i="51"/>
  <c r="U278" i="51"/>
  <c r="T278" i="51"/>
  <c r="S278" i="51"/>
  <c r="R278" i="51"/>
  <c r="Q278" i="51"/>
  <c r="P278" i="51"/>
  <c r="S274" i="51"/>
  <c r="T273" i="51"/>
  <c r="T272" i="51"/>
  <c r="T271" i="51"/>
  <c r="T270" i="51"/>
  <c r="T269" i="51"/>
  <c r="T268" i="51"/>
  <c r="T267" i="51"/>
  <c r="T266" i="51"/>
  <c r="T265" i="51"/>
  <c r="T264" i="51"/>
  <c r="T263" i="51"/>
  <c r="T262" i="51"/>
  <c r="T261" i="51"/>
  <c r="T260" i="51"/>
  <c r="T259" i="51"/>
  <c r="T258" i="51"/>
  <c r="T257" i="51"/>
  <c r="AB256" i="51"/>
  <c r="AB300" i="51" s="1"/>
  <c r="AA256" i="51"/>
  <c r="AA300" i="51" s="1"/>
  <c r="Z256" i="51"/>
  <c r="T274" i="51" l="1"/>
  <c r="Z300" i="51"/>
  <c r="Z278" i="51"/>
  <c r="T304" i="51"/>
  <c r="T306" i="51"/>
  <c r="T316" i="51"/>
  <c r="T296" i="51"/>
  <c r="T309" i="51"/>
  <c r="T312" i="51"/>
  <c r="T314" i="51"/>
  <c r="T315" i="51"/>
  <c r="T317" i="51"/>
  <c r="T302" i="51"/>
  <c r="T303" i="51"/>
  <c r="T305" i="51"/>
  <c r="T308" i="51"/>
  <c r="T310" i="51"/>
  <c r="T311" i="51"/>
  <c r="T301" i="51"/>
  <c r="T318" i="51" s="1"/>
  <c r="M40" i="46" l="1"/>
  <c r="M71" i="46" s="1"/>
  <c r="M126" i="46"/>
  <c r="E15" i="55" l="1"/>
  <c r="B91" i="29" l="1"/>
  <c r="B104" i="29" s="1"/>
  <c r="B115" i="29" s="1"/>
  <c r="B92" i="29"/>
  <c r="B105" i="29" s="1"/>
  <c r="B116" i="29" s="1"/>
  <c r="C99" i="29"/>
  <c r="C123" i="29" s="1"/>
  <c r="D99" i="29"/>
  <c r="D123" i="29" s="1"/>
  <c r="B100" i="29"/>
  <c r="C100" i="29"/>
  <c r="D100" i="29"/>
  <c r="B50" i="29"/>
  <c r="B63" i="29" s="1"/>
  <c r="B74" i="29" s="1"/>
  <c r="B51" i="29"/>
  <c r="B64" i="29" s="1"/>
  <c r="B75" i="29" s="1"/>
  <c r="C58" i="29"/>
  <c r="C82" i="29" s="1"/>
  <c r="D58" i="29"/>
  <c r="D82" i="29" s="1"/>
  <c r="B59" i="29"/>
  <c r="C59" i="29"/>
  <c r="D59" i="29"/>
  <c r="F68" i="29"/>
  <c r="F69" i="29"/>
  <c r="E68" i="29"/>
  <c r="E69" i="29"/>
  <c r="K113" i="29"/>
  <c r="C113" i="29"/>
  <c r="N113" i="29" s="1"/>
  <c r="F122" i="29"/>
  <c r="F119" i="29"/>
  <c r="E119" i="29"/>
  <c r="E118" i="29"/>
  <c r="F117" i="29"/>
  <c r="F116" i="29"/>
  <c r="E116" i="29"/>
  <c r="K102" i="29"/>
  <c r="C102" i="29"/>
  <c r="N102" i="29" s="1"/>
  <c r="E99" i="29"/>
  <c r="F100" i="29"/>
  <c r="N89" i="29"/>
  <c r="K89" i="29"/>
  <c r="C72" i="29"/>
  <c r="N72" i="29" s="1"/>
  <c r="C61" i="29"/>
  <c r="N61" i="29" s="1"/>
  <c r="K72" i="29"/>
  <c r="K61" i="29"/>
  <c r="N48" i="29"/>
  <c r="K48" i="29"/>
  <c r="F63" i="29"/>
  <c r="E63" i="29"/>
  <c r="F813" i="32"/>
  <c r="E64" i="29"/>
  <c r="F64" i="29"/>
  <c r="E65" i="29"/>
  <c r="F65" i="29"/>
  <c r="E66" i="29"/>
  <c r="F66" i="29"/>
  <c r="E67" i="29"/>
  <c r="F67" i="29"/>
  <c r="E70" i="29"/>
  <c r="F70" i="29"/>
  <c r="C41" i="29"/>
  <c r="D41" i="29"/>
  <c r="B22" i="29"/>
  <c r="B33" i="29" s="1"/>
  <c r="B23" i="29"/>
  <c r="B34" i="29" s="1"/>
  <c r="F99" i="29" l="1"/>
  <c r="E100" i="29"/>
  <c r="F118" i="29"/>
  <c r="F123" i="29" s="1"/>
  <c r="E117" i="29"/>
  <c r="E123" i="29" s="1"/>
  <c r="E122" i="29"/>
  <c r="E50" i="29"/>
  <c r="C814" i="32" s="1"/>
  <c r="C813" i="32"/>
  <c r="F54" i="29"/>
  <c r="F78" i="29" s="1"/>
  <c r="S13" i="29"/>
  <c r="E36" i="29"/>
  <c r="E53" i="29"/>
  <c r="R12" i="29"/>
  <c r="F52" i="29"/>
  <c r="F76" i="29" s="1"/>
  <c r="S11" i="29"/>
  <c r="F38" i="29"/>
  <c r="F55" i="29"/>
  <c r="F79" i="29" s="1"/>
  <c r="R13" i="29"/>
  <c r="E54" i="29"/>
  <c r="S10" i="29"/>
  <c r="F51" i="29"/>
  <c r="E38" i="29"/>
  <c r="E55" i="29"/>
  <c r="E51" i="29"/>
  <c r="E75" i="29" s="1"/>
  <c r="R10" i="29"/>
  <c r="F39" i="29"/>
  <c r="F56" i="29"/>
  <c r="F80" i="29" s="1"/>
  <c r="E39" i="29"/>
  <c r="E56" i="29"/>
  <c r="E80" i="29" s="1"/>
  <c r="S12" i="29"/>
  <c r="F53" i="29"/>
  <c r="F77" i="29" s="1"/>
  <c r="E52" i="29"/>
  <c r="E76" i="29" s="1"/>
  <c r="R11" i="29"/>
  <c r="J782" i="32"/>
  <c r="F101" i="29"/>
  <c r="E79" i="29"/>
  <c r="E115" i="29"/>
  <c r="R814" i="32"/>
  <c r="F115" i="29"/>
  <c r="E74" i="29"/>
  <c r="O814" i="32" s="1"/>
  <c r="F75" i="29"/>
  <c r="E78" i="29"/>
  <c r="E77" i="29"/>
  <c r="F36" i="29"/>
  <c r="E37" i="29"/>
  <c r="F34" i="29"/>
  <c r="F35" i="29"/>
  <c r="E34" i="29"/>
  <c r="E35" i="29"/>
  <c r="F37" i="29"/>
  <c r="P11" i="29"/>
  <c r="P12" i="29" s="1"/>
  <c r="P13" i="29" s="1"/>
  <c r="P14" i="29" s="1"/>
  <c r="P15" i="29" s="1"/>
  <c r="P16" i="29" s="1"/>
  <c r="P9" i="29"/>
  <c r="F782" i="32" l="1"/>
  <c r="E124" i="29"/>
  <c r="W781" i="32"/>
  <c r="V782" i="32"/>
  <c r="F814" i="32"/>
  <c r="AA781" i="32"/>
  <c r="C57" i="29"/>
  <c r="C70" i="29" s="1"/>
  <c r="C81" i="29" s="1"/>
  <c r="C98" i="29"/>
  <c r="C111" i="29" s="1"/>
  <c r="C122" i="29" s="1"/>
  <c r="C55" i="29"/>
  <c r="C68" i="29" s="1"/>
  <c r="C79" i="29" s="1"/>
  <c r="C96" i="29"/>
  <c r="C109" i="29" s="1"/>
  <c r="C120" i="29" s="1"/>
  <c r="C53" i="29"/>
  <c r="C66" i="29" s="1"/>
  <c r="C77" i="29" s="1"/>
  <c r="C94" i="29"/>
  <c r="C107" i="29" s="1"/>
  <c r="C118" i="29" s="1"/>
  <c r="C51" i="29"/>
  <c r="C64" i="29" s="1"/>
  <c r="C75" i="29" s="1"/>
  <c r="C92" i="29"/>
  <c r="C105" i="29" s="1"/>
  <c r="C116" i="29" s="1"/>
  <c r="D28" i="29"/>
  <c r="D39" i="29" s="1"/>
  <c r="D97" i="29"/>
  <c r="D110" i="29" s="1"/>
  <c r="D121" i="29" s="1"/>
  <c r="D56" i="29"/>
  <c r="D69" i="29" s="1"/>
  <c r="D80" i="29" s="1"/>
  <c r="D26" i="29"/>
  <c r="D37" i="29" s="1"/>
  <c r="D95" i="29"/>
  <c r="D108" i="29" s="1"/>
  <c r="D119" i="29" s="1"/>
  <c r="D54" i="29"/>
  <c r="D67" i="29" s="1"/>
  <c r="D78" i="29" s="1"/>
  <c r="D24" i="29"/>
  <c r="D35" i="29" s="1"/>
  <c r="D93" i="29"/>
  <c r="D106" i="29" s="1"/>
  <c r="D117" i="29" s="1"/>
  <c r="D52" i="29"/>
  <c r="D65" i="29" s="1"/>
  <c r="D76" i="29" s="1"/>
  <c r="D22" i="29"/>
  <c r="D33" i="29" s="1"/>
  <c r="D50" i="29"/>
  <c r="D63" i="29" s="1"/>
  <c r="D74" i="29" s="1"/>
  <c r="D91" i="29"/>
  <c r="D104" i="29" s="1"/>
  <c r="D115" i="29" s="1"/>
  <c r="C56" i="29"/>
  <c r="C69" i="29" s="1"/>
  <c r="C80" i="29" s="1"/>
  <c r="C97" i="29"/>
  <c r="C110" i="29" s="1"/>
  <c r="C121" i="29" s="1"/>
  <c r="C54" i="29"/>
  <c r="C67" i="29" s="1"/>
  <c r="C78" i="29" s="1"/>
  <c r="C95" i="29"/>
  <c r="C108" i="29" s="1"/>
  <c r="C119" i="29" s="1"/>
  <c r="C52" i="29"/>
  <c r="C65" i="29" s="1"/>
  <c r="C76" i="29" s="1"/>
  <c r="C93" i="29"/>
  <c r="C106" i="29" s="1"/>
  <c r="C117" i="29" s="1"/>
  <c r="C50" i="29"/>
  <c r="C63" i="29" s="1"/>
  <c r="C74" i="29" s="1"/>
  <c r="C91" i="29"/>
  <c r="C104" i="29" s="1"/>
  <c r="C115" i="29" s="1"/>
  <c r="D29" i="29"/>
  <c r="D40" i="29" s="1"/>
  <c r="D57" i="29"/>
  <c r="D70" i="29" s="1"/>
  <c r="D81" i="29" s="1"/>
  <c r="D98" i="29"/>
  <c r="D111" i="29" s="1"/>
  <c r="D122" i="29" s="1"/>
  <c r="D27" i="29"/>
  <c r="D38" i="29" s="1"/>
  <c r="D55" i="29"/>
  <c r="D68" i="29" s="1"/>
  <c r="D79" i="29" s="1"/>
  <c r="D96" i="29"/>
  <c r="D109" i="29" s="1"/>
  <c r="D120" i="29" s="1"/>
  <c r="D25" i="29"/>
  <c r="D36" i="29" s="1"/>
  <c r="D53" i="29"/>
  <c r="D66" i="29" s="1"/>
  <c r="D77" i="29" s="1"/>
  <c r="D94" i="29"/>
  <c r="D107" i="29" s="1"/>
  <c r="D118" i="29" s="1"/>
  <c r="D23" i="29"/>
  <c r="D34" i="29" s="1"/>
  <c r="D51" i="29"/>
  <c r="D64" i="29" s="1"/>
  <c r="D75" i="29" s="1"/>
  <c r="D92" i="29"/>
  <c r="D105" i="29" s="1"/>
  <c r="D116" i="29" s="1"/>
  <c r="F124" i="29"/>
  <c r="U782" i="32"/>
  <c r="Q781" i="32"/>
  <c r="T781" i="32"/>
  <c r="T782" i="32"/>
  <c r="W782" i="32"/>
  <c r="S781" i="32"/>
  <c r="U781" i="32"/>
  <c r="V781" i="32"/>
  <c r="R781" i="32"/>
  <c r="Q16" i="29"/>
  <c r="C29" i="29"/>
  <c r="C40" i="29" s="1"/>
  <c r="Q14" i="29"/>
  <c r="C27" i="29"/>
  <c r="C38" i="29" s="1"/>
  <c r="Q12" i="29"/>
  <c r="C25" i="29"/>
  <c r="C36" i="29" s="1"/>
  <c r="Q10" i="29"/>
  <c r="C23" i="29"/>
  <c r="C34" i="29" s="1"/>
  <c r="Q15" i="29"/>
  <c r="C28" i="29"/>
  <c r="C39" i="29" s="1"/>
  <c r="Q13" i="29"/>
  <c r="C26" i="29"/>
  <c r="C37" i="29" s="1"/>
  <c r="Q11" i="29"/>
  <c r="C24" i="29"/>
  <c r="C35" i="29" s="1"/>
  <c r="Q9" i="29"/>
  <c r="C22" i="29"/>
  <c r="C33" i="29" s="1"/>
  <c r="T380" i="32"/>
  <c r="U380" i="32"/>
  <c r="X380" i="32"/>
  <c r="D74" i="6" l="1"/>
  <c r="E54" i="6"/>
  <c r="E52" i="6"/>
  <c r="E48" i="6"/>
  <c r="W380" i="32"/>
  <c r="V380" i="32"/>
  <c r="D53" i="6"/>
  <c r="E53" i="6"/>
  <c r="E49" i="6"/>
  <c r="D75" i="6"/>
  <c r="D48" i="6"/>
  <c r="D50" i="6"/>
  <c r="D54" i="6"/>
  <c r="E50" i="6"/>
  <c r="D78" i="6"/>
  <c r="D51" i="6"/>
  <c r="D49" i="6"/>
  <c r="E51" i="6"/>
  <c r="E47" i="6"/>
  <c r="D79" i="6"/>
  <c r="D77" i="6"/>
  <c r="E80" i="6"/>
  <c r="E79" i="6"/>
  <c r="E78" i="6"/>
  <c r="E77" i="6"/>
  <c r="E76" i="6"/>
  <c r="E75" i="6"/>
  <c r="E74" i="6"/>
  <c r="E73" i="6"/>
  <c r="S381" i="32"/>
  <c r="W381" i="32"/>
  <c r="V381" i="32"/>
  <c r="V382" i="32" s="1"/>
  <c r="T381" i="32"/>
  <c r="T382" i="32" s="1"/>
  <c r="D80" i="6"/>
  <c r="D76" i="6"/>
  <c r="X381" i="32"/>
  <c r="X382" i="32" s="1"/>
  <c r="R782" i="32"/>
  <c r="H782" i="32"/>
  <c r="S16" i="29"/>
  <c r="F57" i="29"/>
  <c r="Q782" i="32"/>
  <c r="G782" i="32"/>
  <c r="E782" i="32"/>
  <c r="I782" i="32"/>
  <c r="R16" i="29"/>
  <c r="E57" i="29"/>
  <c r="S782" i="32"/>
  <c r="K782" i="32"/>
  <c r="F125" i="29"/>
  <c r="F17" i="29"/>
  <c r="F40" i="29"/>
  <c r="F41" i="29" s="1"/>
  <c r="P781" i="32" s="1"/>
  <c r="X781" i="32"/>
  <c r="E17" i="29"/>
  <c r="E40" i="29"/>
  <c r="E41" i="29" s="1"/>
  <c r="O781" i="32" s="1"/>
  <c r="U381" i="32"/>
  <c r="U382" i="32" s="1"/>
  <c r="W382" i="32" l="1"/>
  <c r="E55" i="6"/>
  <c r="Q381" i="32"/>
  <c r="R381" i="32"/>
  <c r="E81" i="6"/>
  <c r="P381" i="32" s="1"/>
  <c r="E81" i="29"/>
  <c r="E58" i="29"/>
  <c r="E59" i="29"/>
  <c r="F81" i="29"/>
  <c r="F82" i="29" s="1"/>
  <c r="F58" i="29"/>
  <c r="X782" i="32"/>
  <c r="X783" i="32" s="1"/>
  <c r="D52" i="6"/>
  <c r="P782" i="32" l="1"/>
  <c r="L782" i="32"/>
  <c r="F60" i="29"/>
  <c r="C782" i="32"/>
  <c r="D782" i="32"/>
  <c r="E82" i="29"/>
  <c r="E204" i="13"/>
  <c r="E136" i="13" s="1"/>
  <c r="E205" i="13"/>
  <c r="E137" i="13" s="1"/>
  <c r="F205" i="13"/>
  <c r="F137" i="13" s="1"/>
  <c r="E206" i="13"/>
  <c r="E138" i="13" s="1"/>
  <c r="F94" i="13"/>
  <c r="F117" i="13" s="1"/>
  <c r="E207" i="13"/>
  <c r="E139" i="13" s="1"/>
  <c r="F95" i="13"/>
  <c r="F48" i="13"/>
  <c r="G48" i="13"/>
  <c r="H48" i="13"/>
  <c r="J48" i="13"/>
  <c r="K48" i="13"/>
  <c r="L48" i="13"/>
  <c r="N48" i="13"/>
  <c r="S26" i="13"/>
  <c r="T26" i="13"/>
  <c r="B207" i="13"/>
  <c r="C207" i="13"/>
  <c r="D207" i="13"/>
  <c r="B185" i="13"/>
  <c r="C185" i="13"/>
  <c r="D185" i="13"/>
  <c r="B163" i="13"/>
  <c r="C163" i="13"/>
  <c r="D163" i="13"/>
  <c r="B139" i="13"/>
  <c r="C139" i="13"/>
  <c r="D139" i="13"/>
  <c r="B117" i="13"/>
  <c r="C117" i="13"/>
  <c r="D117" i="13"/>
  <c r="B95" i="13"/>
  <c r="C95" i="13"/>
  <c r="D95" i="13"/>
  <c r="B70" i="13"/>
  <c r="C70" i="13"/>
  <c r="D70" i="13"/>
  <c r="B48" i="13"/>
  <c r="C48" i="13"/>
  <c r="D48" i="13"/>
  <c r="E48" i="13"/>
  <c r="I48" i="13"/>
  <c r="M48" i="13"/>
  <c r="P26" i="13"/>
  <c r="Q26" i="13"/>
  <c r="R26" i="13"/>
  <c r="E95" i="13" l="1"/>
  <c r="E27" i="13"/>
  <c r="E83" i="29"/>
  <c r="O782" i="32"/>
  <c r="F27" i="13"/>
  <c r="F71" i="13"/>
  <c r="F90" i="13"/>
  <c r="E71" i="13"/>
  <c r="F91" i="13"/>
  <c r="F93" i="13"/>
  <c r="F116" i="13" s="1"/>
  <c r="F206" i="13"/>
  <c r="F138" i="13" s="1"/>
  <c r="F164" i="13"/>
  <c r="F207" i="13"/>
  <c r="F139" i="13" s="1"/>
  <c r="E164" i="13"/>
  <c r="F92" i="13"/>
  <c r="F96" i="13" l="1"/>
  <c r="AA813" i="32"/>
  <c r="N713" i="32"/>
  <c r="E344" i="32"/>
  <c r="F344" i="32"/>
  <c r="G344" i="32"/>
  <c r="H344" i="32"/>
  <c r="I344" i="32"/>
  <c r="J344" i="32"/>
  <c r="K344" i="32"/>
  <c r="L344" i="32"/>
  <c r="E345" i="32"/>
  <c r="F345" i="32"/>
  <c r="G345" i="32"/>
  <c r="H345" i="32"/>
  <c r="I345" i="32"/>
  <c r="J345" i="32"/>
  <c r="K345" i="32"/>
  <c r="L345" i="32"/>
  <c r="E346" i="32"/>
  <c r="F346" i="32"/>
  <c r="G346" i="32"/>
  <c r="H346" i="32"/>
  <c r="I346" i="32"/>
  <c r="J346" i="32"/>
  <c r="K346" i="32"/>
  <c r="L346" i="32"/>
  <c r="E347" i="32"/>
  <c r="F347" i="32"/>
  <c r="G347" i="32"/>
  <c r="H347" i="32"/>
  <c r="I347" i="32"/>
  <c r="J347" i="32"/>
  <c r="K347" i="32"/>
  <c r="L347" i="32"/>
  <c r="E348" i="32"/>
  <c r="F348" i="32"/>
  <c r="G348" i="32"/>
  <c r="H348" i="32"/>
  <c r="I348" i="32"/>
  <c r="J348" i="32"/>
  <c r="K348" i="32"/>
  <c r="L348" i="32"/>
  <c r="I349" i="32" l="1"/>
  <c r="K349" i="32"/>
  <c r="E349" i="32"/>
  <c r="G349" i="32"/>
  <c r="L349" i="32"/>
  <c r="H349" i="32"/>
  <c r="J349" i="32"/>
  <c r="F349" i="32"/>
  <c r="F103" i="5" l="1"/>
  <c r="G103" i="5"/>
  <c r="AA253" i="32"/>
  <c r="L343" i="32"/>
  <c r="H343" i="32"/>
  <c r="G16" i="5"/>
  <c r="K343" i="32"/>
  <c r="G343" i="32"/>
  <c r="F16" i="5"/>
  <c r="G17" i="5" s="1"/>
  <c r="J343" i="32"/>
  <c r="F343" i="32"/>
  <c r="G115" i="5"/>
  <c r="F92" i="5"/>
  <c r="G92" i="5"/>
  <c r="I343" i="32"/>
  <c r="E343" i="32"/>
  <c r="L206" i="52" l="1"/>
  <c r="N163" i="52"/>
  <c r="L163" i="52"/>
  <c r="L138" i="52"/>
  <c r="L117" i="52"/>
  <c r="N95" i="52"/>
  <c r="L95" i="52"/>
  <c r="L71" i="52"/>
  <c r="L50" i="52"/>
  <c r="L28" i="52"/>
  <c r="N28" i="52"/>
  <c r="F204" i="60"/>
  <c r="F136" i="60" s="1"/>
  <c r="E204" i="60"/>
  <c r="B208" i="60"/>
  <c r="B209" i="60"/>
  <c r="B210" i="60"/>
  <c r="B211" i="60"/>
  <c r="B212" i="60"/>
  <c r="B213" i="60"/>
  <c r="B217" i="60"/>
  <c r="B218" i="60"/>
  <c r="B223" i="60"/>
  <c r="B224" i="60"/>
  <c r="B225" i="60"/>
  <c r="B187" i="60"/>
  <c r="B188" i="60"/>
  <c r="B189" i="60"/>
  <c r="B190" i="60"/>
  <c r="B191" i="60"/>
  <c r="B192" i="60"/>
  <c r="B196" i="60"/>
  <c r="B197" i="60"/>
  <c r="B202" i="60"/>
  <c r="B203" i="60"/>
  <c r="B204" i="60"/>
  <c r="B165" i="60"/>
  <c r="B166" i="60"/>
  <c r="B167" i="60"/>
  <c r="B168" i="60"/>
  <c r="B169" i="60"/>
  <c r="B170" i="60"/>
  <c r="B174" i="60"/>
  <c r="B175" i="60"/>
  <c r="B180" i="60"/>
  <c r="B181" i="60"/>
  <c r="B182" i="60"/>
  <c r="B140" i="60"/>
  <c r="B141" i="60"/>
  <c r="B142" i="60"/>
  <c r="B143" i="60"/>
  <c r="B144" i="60"/>
  <c r="B145" i="60"/>
  <c r="B149" i="60"/>
  <c r="B150" i="60"/>
  <c r="B155" i="60"/>
  <c r="B156" i="60"/>
  <c r="B157" i="60"/>
  <c r="B119" i="60"/>
  <c r="B120" i="60"/>
  <c r="B121" i="60"/>
  <c r="B122" i="60"/>
  <c r="B123" i="60"/>
  <c r="B124" i="60"/>
  <c r="B128" i="60"/>
  <c r="B129" i="60"/>
  <c r="B134" i="60"/>
  <c r="B135" i="60"/>
  <c r="B136" i="60"/>
  <c r="B97" i="60"/>
  <c r="B98" i="60"/>
  <c r="B99" i="60"/>
  <c r="B100" i="60"/>
  <c r="B101" i="60"/>
  <c r="B102" i="60"/>
  <c r="B106" i="60"/>
  <c r="B107" i="60"/>
  <c r="B112" i="60"/>
  <c r="B113" i="60"/>
  <c r="B114" i="60"/>
  <c r="B73" i="60"/>
  <c r="B74" i="60"/>
  <c r="B75" i="60"/>
  <c r="B76" i="60"/>
  <c r="B77" i="60"/>
  <c r="B78" i="60"/>
  <c r="B82" i="60"/>
  <c r="B83" i="60"/>
  <c r="B88" i="60"/>
  <c r="B89" i="60"/>
  <c r="B90" i="60"/>
  <c r="B52" i="60"/>
  <c r="B53" i="60"/>
  <c r="B54" i="60"/>
  <c r="B55" i="60"/>
  <c r="B56" i="60"/>
  <c r="B57" i="60"/>
  <c r="B61" i="60"/>
  <c r="B62" i="60"/>
  <c r="B67" i="60"/>
  <c r="B68" i="60"/>
  <c r="B69" i="60"/>
  <c r="F183" i="60" l="1"/>
  <c r="E226" i="60"/>
  <c r="E47" i="60"/>
  <c r="E114" i="60" s="1"/>
  <c r="F226" i="60"/>
  <c r="F47" i="60"/>
  <c r="F114" i="60" s="1"/>
  <c r="E183" i="60"/>
  <c r="F69" i="60"/>
  <c r="E136" i="60"/>
  <c r="E69" i="60"/>
  <c r="B208" i="3"/>
  <c r="B209" i="3"/>
  <c r="B210" i="3"/>
  <c r="B211" i="3"/>
  <c r="B212" i="3"/>
  <c r="B213" i="3"/>
  <c r="B217" i="3"/>
  <c r="B218" i="3"/>
  <c r="B223" i="3"/>
  <c r="B224" i="3"/>
  <c r="B225" i="3"/>
  <c r="B187" i="3"/>
  <c r="B188" i="3"/>
  <c r="B189" i="3"/>
  <c r="B190" i="3"/>
  <c r="B191" i="3"/>
  <c r="B192" i="3"/>
  <c r="B196" i="3"/>
  <c r="B197" i="3"/>
  <c r="B202" i="3"/>
  <c r="B203" i="3"/>
  <c r="B204" i="3"/>
  <c r="B165" i="3"/>
  <c r="B166" i="3"/>
  <c r="B167" i="3"/>
  <c r="B168" i="3"/>
  <c r="B169" i="3"/>
  <c r="B170" i="3"/>
  <c r="B174" i="3"/>
  <c r="B175" i="3"/>
  <c r="B180" i="3"/>
  <c r="B181" i="3"/>
  <c r="B182" i="3"/>
  <c r="B140" i="3"/>
  <c r="B141" i="3"/>
  <c r="B142" i="3"/>
  <c r="B143" i="3"/>
  <c r="B144" i="3"/>
  <c r="B145" i="3"/>
  <c r="B149" i="3"/>
  <c r="B150" i="3"/>
  <c r="B155" i="3"/>
  <c r="B156" i="3"/>
  <c r="B157" i="3"/>
  <c r="B119" i="3"/>
  <c r="B120" i="3"/>
  <c r="B121" i="3"/>
  <c r="B122" i="3"/>
  <c r="B123" i="3"/>
  <c r="B124" i="3"/>
  <c r="B128" i="3"/>
  <c r="B129" i="3"/>
  <c r="B134" i="3"/>
  <c r="B135" i="3"/>
  <c r="B136" i="3"/>
  <c r="B97" i="3"/>
  <c r="B98" i="3"/>
  <c r="B99" i="3"/>
  <c r="B100" i="3"/>
  <c r="B101" i="3"/>
  <c r="B102" i="3"/>
  <c r="B106" i="3"/>
  <c r="B107" i="3"/>
  <c r="B112" i="3"/>
  <c r="B113" i="3"/>
  <c r="B114" i="3"/>
  <c r="B73" i="3"/>
  <c r="B74" i="3"/>
  <c r="B75" i="3"/>
  <c r="B76" i="3"/>
  <c r="B77" i="3"/>
  <c r="B78" i="3"/>
  <c r="B82" i="3"/>
  <c r="B83" i="3"/>
  <c r="B88" i="3"/>
  <c r="B89" i="3"/>
  <c r="B90" i="3"/>
  <c r="B52" i="3"/>
  <c r="B53" i="3"/>
  <c r="B54" i="3"/>
  <c r="B55" i="3"/>
  <c r="B56" i="3"/>
  <c r="B57" i="3"/>
  <c r="B61" i="3"/>
  <c r="B62" i="3"/>
  <c r="B67" i="3"/>
  <c r="B68" i="3"/>
  <c r="B69" i="3"/>
  <c r="F204" i="3"/>
  <c r="E204" i="3"/>
  <c r="E90" i="60" l="1"/>
  <c r="F226" i="3"/>
  <c r="F69" i="3"/>
  <c r="F136" i="3"/>
  <c r="F47" i="3"/>
  <c r="F114" i="3" s="1"/>
  <c r="E47" i="3"/>
  <c r="E114" i="3" s="1"/>
  <c r="F90" i="60"/>
  <c r="E69" i="3"/>
  <c r="E136" i="3"/>
  <c r="E183" i="3"/>
  <c r="E226" i="3"/>
  <c r="F183" i="3"/>
  <c r="F90" i="3" l="1"/>
  <c r="E90" i="3"/>
  <c r="F225" i="52" l="1"/>
  <c r="C225" i="51"/>
  <c r="D225" i="51"/>
  <c r="C225" i="3"/>
  <c r="D225" i="3"/>
  <c r="C225" i="60"/>
  <c r="D225" i="60"/>
  <c r="C225" i="52"/>
  <c r="D225" i="52"/>
  <c r="C157" i="51"/>
  <c r="D157" i="51"/>
  <c r="C157" i="3"/>
  <c r="D157" i="3"/>
  <c r="C157" i="60"/>
  <c r="D157" i="60"/>
  <c r="C157" i="52"/>
  <c r="D157" i="52"/>
  <c r="C90" i="51"/>
  <c r="D90" i="51"/>
  <c r="C90" i="3"/>
  <c r="D90" i="3"/>
  <c r="C90" i="60"/>
  <c r="D90" i="60"/>
  <c r="C90" i="52"/>
  <c r="D90" i="52"/>
  <c r="F201" i="51"/>
  <c r="F202" i="51"/>
  <c r="E203" i="51"/>
  <c r="E202" i="51"/>
  <c r="F196" i="51"/>
  <c r="F197" i="51"/>
  <c r="F198" i="51"/>
  <c r="E201" i="51"/>
  <c r="E198" i="51"/>
  <c r="E197" i="51"/>
  <c r="E196" i="51"/>
  <c r="F192" i="51"/>
  <c r="F193" i="51"/>
  <c r="F194" i="51"/>
  <c r="E195" i="51"/>
  <c r="E192" i="51"/>
  <c r="E191" i="51"/>
  <c r="F190" i="51"/>
  <c r="E190" i="51"/>
  <c r="F189" i="51"/>
  <c r="E189" i="51"/>
  <c r="F188" i="51" l="1"/>
  <c r="E188" i="51"/>
  <c r="E193" i="51"/>
  <c r="E200" i="51"/>
  <c r="F200" i="51"/>
  <c r="E183" i="51"/>
  <c r="E226" i="51"/>
  <c r="F226" i="51"/>
  <c r="I713" i="32"/>
  <c r="F203" i="51"/>
  <c r="F195" i="51"/>
  <c r="F204" i="51"/>
  <c r="F182" i="52"/>
  <c r="F204" i="52" s="1"/>
  <c r="E204" i="51"/>
  <c r="E136" i="51" s="1"/>
  <c r="E182" i="52"/>
  <c r="E204" i="52" s="1"/>
  <c r="E47" i="51"/>
  <c r="F187" i="51"/>
  <c r="F191" i="51"/>
  <c r="E194" i="51"/>
  <c r="E199" i="51"/>
  <c r="F199" i="51"/>
  <c r="F183" i="51"/>
  <c r="F47" i="51"/>
  <c r="E225" i="52"/>
  <c r="E114" i="51" l="1"/>
  <c r="F114" i="51"/>
  <c r="H713" i="32"/>
  <c r="Q713" i="32"/>
  <c r="F47" i="52"/>
  <c r="R713" i="32"/>
  <c r="G713" i="32"/>
  <c r="F713" i="32"/>
  <c r="E69" i="51"/>
  <c r="E90" i="51" s="1"/>
  <c r="E90" i="52" s="1"/>
  <c r="F136" i="51"/>
  <c r="F69" i="51"/>
  <c r="F90" i="51" s="1"/>
  <c r="F90" i="52" s="1"/>
  <c r="P713" i="32" s="1"/>
  <c r="G45" i="47"/>
  <c r="F45" i="47"/>
  <c r="G40" i="47"/>
  <c r="F40" i="47"/>
  <c r="J713" i="32" l="1"/>
  <c r="D713" i="32"/>
  <c r="F69" i="52"/>
  <c r="E713" i="32"/>
  <c r="K31" i="29"/>
  <c r="K20" i="29"/>
  <c r="N7" i="29"/>
  <c r="K7" i="29"/>
  <c r="L206" i="60"/>
  <c r="N163" i="60"/>
  <c r="L163" i="60"/>
  <c r="L138" i="60"/>
  <c r="L117" i="60"/>
  <c r="N95" i="60"/>
  <c r="L95" i="60"/>
  <c r="L71" i="60"/>
  <c r="L50" i="60"/>
  <c r="N28" i="60"/>
  <c r="L28" i="60"/>
  <c r="M71" i="3"/>
  <c r="N28" i="3"/>
  <c r="M28" i="3"/>
  <c r="M50" i="3"/>
  <c r="L117" i="3"/>
  <c r="N95" i="3"/>
  <c r="L95" i="3"/>
  <c r="N28" i="51"/>
  <c r="L28" i="51"/>
  <c r="L50" i="51"/>
  <c r="L71" i="51"/>
  <c r="N95" i="51"/>
  <c r="L95" i="51"/>
  <c r="L117" i="51"/>
  <c r="L138" i="51"/>
  <c r="N163" i="51"/>
  <c r="L163" i="51"/>
  <c r="K713" i="32" l="1"/>
  <c r="L713" i="32"/>
  <c r="Y812" i="32"/>
  <c r="Y744" i="32"/>
  <c r="Y704" i="32"/>
  <c r="Y670" i="32"/>
  <c r="Y638" i="32"/>
  <c r="Y606" i="32"/>
  <c r="Y572" i="32"/>
  <c r="Y284" i="32"/>
  <c r="X105" i="32"/>
  <c r="O6" i="5"/>
  <c r="M6" i="5"/>
  <c r="M18" i="5"/>
  <c r="M29" i="5"/>
  <c r="O44" i="5"/>
  <c r="M44" i="5"/>
  <c r="M56" i="5"/>
  <c r="M67" i="5"/>
  <c r="O82" i="5"/>
  <c r="N82" i="5"/>
  <c r="N94" i="5"/>
  <c r="N105" i="5"/>
  <c r="AD11" i="5"/>
  <c r="X253" i="32"/>
  <c r="M55" i="55"/>
  <c r="M28" i="55"/>
  <c r="M17" i="55"/>
  <c r="M6" i="55"/>
  <c r="Z11" i="55"/>
  <c r="N163" i="3"/>
  <c r="L445" i="32"/>
  <c r="L448" i="32"/>
  <c r="X443" i="32"/>
  <c r="X444" i="32"/>
  <c r="X447" i="32"/>
  <c r="X448" i="32"/>
  <c r="N128" i="29"/>
  <c r="X286" i="32" l="1"/>
  <c r="X412" i="32"/>
  <c r="X446" i="32"/>
  <c r="X445" i="32"/>
  <c r="AD13" i="5"/>
  <c r="AD9" i="5"/>
  <c r="L285" i="32"/>
  <c r="L412" i="32"/>
  <c r="AD12" i="5"/>
  <c r="AD8" i="5"/>
  <c r="X285" i="32"/>
  <c r="L253" i="32"/>
  <c r="L413" i="32"/>
  <c r="L254" i="32"/>
  <c r="L444" i="32"/>
  <c r="L447" i="32"/>
  <c r="L443" i="32"/>
  <c r="L380" i="32"/>
  <c r="L138" i="32"/>
  <c r="L446" i="32"/>
  <c r="X573" i="32"/>
  <c r="AD15" i="5"/>
  <c r="AD14" i="5"/>
  <c r="AD10" i="5"/>
  <c r="Z15" i="55"/>
  <c r="L320" i="32" s="1"/>
  <c r="Z13" i="55"/>
  <c r="L318" i="32" s="1"/>
  <c r="Z9" i="55"/>
  <c r="Z14" i="55"/>
  <c r="L319" i="32" s="1"/>
  <c r="Z10" i="55"/>
  <c r="Z12" i="55"/>
  <c r="L317" i="32" s="1"/>
  <c r="Z8" i="55"/>
  <c r="L286" i="32"/>
  <c r="L287" i="32" s="1"/>
  <c r="L288" i="32" s="1"/>
  <c r="X413" i="32"/>
  <c r="C41" i="56"/>
  <c r="D41" i="56"/>
  <c r="E41" i="56"/>
  <c r="F41" i="56"/>
  <c r="G41" i="56"/>
  <c r="H41" i="56"/>
  <c r="I41" i="56"/>
  <c r="J41" i="56"/>
  <c r="K41" i="56"/>
  <c r="L41" i="56"/>
  <c r="M41" i="56"/>
  <c r="X287" i="32" l="1"/>
  <c r="X414" i="32"/>
  <c r="X449" i="32"/>
  <c r="L381" i="32"/>
  <c r="L574" i="32"/>
  <c r="O54" i="5"/>
  <c r="L222" i="32" s="1"/>
  <c r="L414" i="32"/>
  <c r="L415" i="32" s="1"/>
  <c r="X288" i="32"/>
  <c r="X254" i="32"/>
  <c r="L221" i="32"/>
  <c r="L135" i="32"/>
  <c r="L177" i="32"/>
  <c r="X221" i="32"/>
  <c r="L255" i="32"/>
  <c r="L256" i="32" s="1"/>
  <c r="L180" i="32"/>
  <c r="L449" i="32"/>
  <c r="L573" i="32"/>
  <c r="L137" i="32"/>
  <c r="L179" i="32"/>
  <c r="AD16" i="5"/>
  <c r="X222" i="32"/>
  <c r="O66" i="5"/>
  <c r="C36" i="56"/>
  <c r="D36" i="56"/>
  <c r="L382" i="32" l="1"/>
  <c r="L383" i="32" s="1"/>
  <c r="L575" i="32"/>
  <c r="L576" i="32" s="1"/>
  <c r="X223" i="32"/>
  <c r="L223" i="32"/>
  <c r="L224" i="32" s="1"/>
  <c r="X255" i="32"/>
  <c r="X256" i="32" l="1"/>
  <c r="X224" i="32"/>
  <c r="X415" i="32"/>
  <c r="X383" i="32" l="1"/>
  <c r="N54" i="32" l="1"/>
  <c r="N53" i="32"/>
  <c r="B71" i="55"/>
  <c r="B72" i="55"/>
  <c r="B73" i="55"/>
  <c r="M69" i="55" l="1"/>
  <c r="M63" i="55"/>
  <c r="N102" i="32" l="1"/>
  <c r="E53" i="55"/>
  <c r="N101" i="32"/>
  <c r="E50" i="55"/>
  <c r="E51" i="55" s="1"/>
  <c r="D51" i="55"/>
  <c r="B58" i="55"/>
  <c r="B44" i="55"/>
  <c r="B57" i="55" s="1"/>
  <c r="C44" i="55"/>
  <c r="B45" i="55"/>
  <c r="C45" i="55"/>
  <c r="C51" i="55" s="1"/>
  <c r="C58" i="55" s="1"/>
  <c r="B46" i="55"/>
  <c r="B59" i="55" s="1"/>
  <c r="C46" i="55"/>
  <c r="C52" i="55" s="1"/>
  <c r="C59" i="55" s="1"/>
  <c r="X102" i="32" l="1"/>
  <c r="L102" i="32"/>
  <c r="C50" i="55"/>
  <c r="C57" i="55" s="1"/>
  <c r="N575" i="32" l="1"/>
  <c r="N574" i="32"/>
  <c r="N573" i="32"/>
  <c r="P27" i="13"/>
  <c r="B89" i="13"/>
  <c r="B64" i="13"/>
  <c r="L100" i="32" l="1"/>
  <c r="X100" i="32" l="1"/>
  <c r="L101" i="32"/>
  <c r="X101" i="32"/>
  <c r="N670" i="32" l="1"/>
  <c r="N672" i="32"/>
  <c r="N674" i="32"/>
  <c r="N673" i="32"/>
  <c r="N671" i="32"/>
  <c r="D226" i="60" l="1"/>
  <c r="C226" i="60"/>
  <c r="D224" i="60"/>
  <c r="C224" i="60"/>
  <c r="D223" i="60"/>
  <c r="C223" i="60"/>
  <c r="D222" i="60"/>
  <c r="C222" i="60"/>
  <c r="D221" i="60"/>
  <c r="C221" i="60"/>
  <c r="D220" i="60"/>
  <c r="C220" i="60"/>
  <c r="D219" i="60"/>
  <c r="C219" i="60"/>
  <c r="D218" i="60"/>
  <c r="C218" i="60"/>
  <c r="D217" i="60"/>
  <c r="C217" i="60"/>
  <c r="D216" i="60"/>
  <c r="D215" i="60"/>
  <c r="D209" i="60"/>
  <c r="C209" i="60"/>
  <c r="D208" i="60"/>
  <c r="C208" i="60"/>
  <c r="C206" i="60"/>
  <c r="N206" i="60" s="1"/>
  <c r="D202" i="60"/>
  <c r="C202" i="60"/>
  <c r="D201" i="60"/>
  <c r="C201" i="60"/>
  <c r="D200" i="60"/>
  <c r="C200" i="60"/>
  <c r="D199" i="60"/>
  <c r="C199" i="60"/>
  <c r="D198" i="60"/>
  <c r="D197" i="60"/>
  <c r="C197" i="60"/>
  <c r="D196" i="60"/>
  <c r="C196" i="60"/>
  <c r="D195" i="60"/>
  <c r="C189" i="60"/>
  <c r="C211" i="60" s="1"/>
  <c r="D188" i="60"/>
  <c r="C188" i="60"/>
  <c r="D187" i="60"/>
  <c r="C187" i="60"/>
  <c r="C185" i="60"/>
  <c r="D158" i="60"/>
  <c r="C158" i="60"/>
  <c r="D156" i="60"/>
  <c r="C156" i="60"/>
  <c r="D155" i="60"/>
  <c r="C155" i="60"/>
  <c r="D154" i="60"/>
  <c r="C154" i="60"/>
  <c r="D153" i="60"/>
  <c r="C153" i="60"/>
  <c r="D152" i="60"/>
  <c r="C152" i="60"/>
  <c r="D151" i="60"/>
  <c r="C151" i="60"/>
  <c r="D150" i="60"/>
  <c r="C150" i="60"/>
  <c r="D149" i="60"/>
  <c r="C149" i="60"/>
  <c r="D148" i="60"/>
  <c r="D147" i="60"/>
  <c r="D141" i="60"/>
  <c r="C141" i="60"/>
  <c r="D140" i="60"/>
  <c r="C140" i="60"/>
  <c r="E138" i="60"/>
  <c r="D134" i="60"/>
  <c r="C134" i="60"/>
  <c r="D133" i="60"/>
  <c r="C133" i="60"/>
  <c r="D132" i="60"/>
  <c r="C132" i="60"/>
  <c r="D131" i="60"/>
  <c r="C131" i="60"/>
  <c r="D130" i="60"/>
  <c r="D129" i="60"/>
  <c r="C129" i="60"/>
  <c r="D128" i="60"/>
  <c r="C128" i="60"/>
  <c r="D127" i="60"/>
  <c r="C121" i="60"/>
  <c r="C143" i="60" s="1"/>
  <c r="D120" i="60"/>
  <c r="C120" i="60"/>
  <c r="D119" i="60"/>
  <c r="C119" i="60"/>
  <c r="C117" i="60"/>
  <c r="D91" i="60"/>
  <c r="C91" i="60"/>
  <c r="D89" i="60"/>
  <c r="C89" i="60"/>
  <c r="D88" i="60"/>
  <c r="C88" i="60"/>
  <c r="D87" i="60"/>
  <c r="C87" i="60"/>
  <c r="D86" i="60"/>
  <c r="C86" i="60"/>
  <c r="D85" i="60"/>
  <c r="C85" i="60"/>
  <c r="D84" i="60"/>
  <c r="C84" i="60"/>
  <c r="D83" i="60"/>
  <c r="C83" i="60"/>
  <c r="D82" i="60"/>
  <c r="C82" i="60"/>
  <c r="D81" i="60"/>
  <c r="D80" i="60"/>
  <c r="D74" i="60"/>
  <c r="C74" i="60"/>
  <c r="D73" i="60"/>
  <c r="C73" i="60"/>
  <c r="E71" i="60"/>
  <c r="C71" i="60"/>
  <c r="N71" i="60" s="1"/>
  <c r="D67" i="60"/>
  <c r="C67" i="60"/>
  <c r="D66" i="60"/>
  <c r="C66" i="60"/>
  <c r="D65" i="60"/>
  <c r="C65" i="60"/>
  <c r="D64" i="60"/>
  <c r="C64" i="60"/>
  <c r="D63" i="60"/>
  <c r="D62" i="60"/>
  <c r="C62" i="60"/>
  <c r="D61" i="60"/>
  <c r="C61" i="60"/>
  <c r="D60" i="60"/>
  <c r="C54" i="60"/>
  <c r="C76" i="60" s="1"/>
  <c r="D53" i="60"/>
  <c r="C53" i="60"/>
  <c r="D52" i="60"/>
  <c r="C52" i="60"/>
  <c r="C50" i="60"/>
  <c r="N50" i="60" s="1"/>
  <c r="AF49" i="60"/>
  <c r="AE49" i="60"/>
  <c r="AD49" i="60"/>
  <c r="AC49" i="60"/>
  <c r="AB49" i="60"/>
  <c r="AA49" i="60"/>
  <c r="Z49" i="60"/>
  <c r="Y49" i="60"/>
  <c r="X49" i="60"/>
  <c r="W49" i="60"/>
  <c r="V49" i="60"/>
  <c r="U49" i="60"/>
  <c r="T49" i="60"/>
  <c r="B3" i="60"/>
  <c r="B2" i="60"/>
  <c r="X673" i="32" l="1"/>
  <c r="C138" i="60"/>
  <c r="N138" i="60" s="1"/>
  <c r="N117" i="60"/>
  <c r="L673" i="32"/>
  <c r="P105" i="32"/>
  <c r="Q105" i="32"/>
  <c r="R105" i="32"/>
  <c r="S105" i="32"/>
  <c r="T105" i="32"/>
  <c r="U105" i="32"/>
  <c r="V105" i="32"/>
  <c r="W105" i="32"/>
  <c r="O105" i="32"/>
  <c r="B183" i="32" l="1"/>
  <c r="B184" i="32"/>
  <c r="B185" i="32"/>
  <c r="B186" i="32"/>
  <c r="B187" i="32"/>
  <c r="B188" i="32"/>
  <c r="B189" i="32"/>
  <c r="B174" i="32"/>
  <c r="B175" i="32"/>
  <c r="B176" i="32"/>
  <c r="B177" i="32"/>
  <c r="B178" i="32"/>
  <c r="B179" i="32"/>
  <c r="B180" i="32"/>
  <c r="B146" i="32"/>
  <c r="S23" i="13"/>
  <c r="S24" i="13"/>
  <c r="T24" i="13"/>
  <c r="S25" i="13"/>
  <c r="T25" i="13"/>
  <c r="C137" i="32" l="1"/>
  <c r="I137" i="32" l="1"/>
  <c r="I573" i="32"/>
  <c r="H137" i="32"/>
  <c r="H573" i="32"/>
  <c r="K137" i="32"/>
  <c r="K573" i="32"/>
  <c r="F137" i="32"/>
  <c r="F573" i="32"/>
  <c r="J137" i="32"/>
  <c r="J573" i="32"/>
  <c r="E137" i="32"/>
  <c r="E573" i="32"/>
  <c r="D137" i="32"/>
  <c r="D573" i="32"/>
  <c r="G137" i="32"/>
  <c r="G573" i="32"/>
  <c r="C573" i="32"/>
  <c r="M137" i="32" l="1"/>
  <c r="L146" i="32"/>
  <c r="J146" i="32"/>
  <c r="F146" i="32"/>
  <c r="K146" i="32"/>
  <c r="G146" i="32"/>
  <c r="D146" i="32"/>
  <c r="E146" i="32"/>
  <c r="H146" i="32"/>
  <c r="I146" i="32"/>
  <c r="T21" i="13" l="1"/>
  <c r="S22" i="13"/>
  <c r="E92" i="13"/>
  <c r="E115" i="13" s="1"/>
  <c r="E93" i="13"/>
  <c r="E116" i="13" s="1"/>
  <c r="E94" i="13"/>
  <c r="E117" i="13" s="1"/>
  <c r="F46" i="13"/>
  <c r="E46" i="13"/>
  <c r="E47" i="13"/>
  <c r="F47" i="13"/>
  <c r="B208" i="13"/>
  <c r="R27" i="13"/>
  <c r="E90" i="13" l="1"/>
  <c r="E44" i="13"/>
  <c r="E91" i="13"/>
  <c r="C204" i="13"/>
  <c r="Q23" i="13"/>
  <c r="D180" i="13"/>
  <c r="R21" i="13"/>
  <c r="D205" i="13"/>
  <c r="R24" i="13"/>
  <c r="B203" i="13"/>
  <c r="P22" i="13"/>
  <c r="T23" i="13"/>
  <c r="D184" i="13"/>
  <c r="R25" i="13"/>
  <c r="C183" i="13"/>
  <c r="Q24" i="13"/>
  <c r="B182" i="13"/>
  <c r="P23" i="13"/>
  <c r="T22" i="13"/>
  <c r="C184" i="13"/>
  <c r="Q25" i="13"/>
  <c r="B183" i="13"/>
  <c r="P24" i="13"/>
  <c r="D181" i="13"/>
  <c r="R22" i="13"/>
  <c r="C180" i="13"/>
  <c r="Q21" i="13"/>
  <c r="C208" i="13"/>
  <c r="Q27" i="13"/>
  <c r="B206" i="13"/>
  <c r="P25" i="13"/>
  <c r="D204" i="13"/>
  <c r="R23" i="13"/>
  <c r="C203" i="13"/>
  <c r="Q22" i="13"/>
  <c r="B202" i="13"/>
  <c r="P21" i="13"/>
  <c r="S27" i="13"/>
  <c r="S21" i="13"/>
  <c r="T573" i="32"/>
  <c r="W573" i="32"/>
  <c r="S573" i="32"/>
  <c r="T27" i="13"/>
  <c r="U573" i="32"/>
  <c r="R573" i="32"/>
  <c r="V573" i="32"/>
  <c r="E45" i="13"/>
  <c r="F44" i="13"/>
  <c r="F45" i="13"/>
  <c r="B47" i="13"/>
  <c r="D45" i="13"/>
  <c r="C44" i="13"/>
  <c r="B43" i="13"/>
  <c r="D69" i="13"/>
  <c r="C68" i="13"/>
  <c r="B67" i="13"/>
  <c r="D65" i="13"/>
  <c r="C96" i="13"/>
  <c r="B94" i="13"/>
  <c r="D92" i="13"/>
  <c r="C91" i="13"/>
  <c r="B90" i="13"/>
  <c r="D116" i="13"/>
  <c r="C115" i="13"/>
  <c r="B114" i="13"/>
  <c r="D112" i="13"/>
  <c r="C140" i="13"/>
  <c r="B138" i="13"/>
  <c r="D136" i="13"/>
  <c r="C135" i="13"/>
  <c r="B134" i="13"/>
  <c r="D162" i="13"/>
  <c r="C161" i="13"/>
  <c r="B160" i="13"/>
  <c r="D158" i="13"/>
  <c r="B184" i="13"/>
  <c r="D182" i="13"/>
  <c r="C181" i="13"/>
  <c r="B180" i="13"/>
  <c r="D206" i="13"/>
  <c r="C205" i="13"/>
  <c r="B204" i="13"/>
  <c r="D202" i="13"/>
  <c r="D46" i="13"/>
  <c r="C45" i="13"/>
  <c r="B44" i="13"/>
  <c r="D71" i="13"/>
  <c r="C69" i="13"/>
  <c r="B68" i="13"/>
  <c r="D66" i="13"/>
  <c r="C65" i="13"/>
  <c r="B96" i="13"/>
  <c r="D93" i="13"/>
  <c r="C92" i="13"/>
  <c r="B91" i="13"/>
  <c r="C116" i="13"/>
  <c r="B115" i="13"/>
  <c r="D113" i="13"/>
  <c r="C112" i="13"/>
  <c r="B140" i="13"/>
  <c r="D137" i="13"/>
  <c r="C136" i="13"/>
  <c r="B135" i="13"/>
  <c r="D164" i="13"/>
  <c r="C162" i="13"/>
  <c r="B161" i="13"/>
  <c r="D159" i="13"/>
  <c r="C158" i="13"/>
  <c r="D183" i="13"/>
  <c r="C182" i="13"/>
  <c r="B181" i="13"/>
  <c r="D208" i="13"/>
  <c r="C206" i="13"/>
  <c r="B205" i="13"/>
  <c r="D203" i="13"/>
  <c r="C202" i="13"/>
  <c r="D47" i="13"/>
  <c r="C46" i="13"/>
  <c r="B45" i="13"/>
  <c r="D43" i="13"/>
  <c r="C71" i="13"/>
  <c r="B69" i="13"/>
  <c r="D67" i="13"/>
  <c r="C66" i="13"/>
  <c r="B65" i="13"/>
  <c r="D94" i="13"/>
  <c r="C93" i="13"/>
  <c r="B92" i="13"/>
  <c r="D90" i="13"/>
  <c r="B116" i="13"/>
  <c r="D114" i="13"/>
  <c r="C113" i="13"/>
  <c r="B112" i="13"/>
  <c r="D138" i="13"/>
  <c r="C137" i="13"/>
  <c r="B136" i="13"/>
  <c r="D134" i="13"/>
  <c r="C164" i="13"/>
  <c r="B162" i="13"/>
  <c r="D160" i="13"/>
  <c r="C159" i="13"/>
  <c r="B158" i="13"/>
  <c r="C47" i="13"/>
  <c r="B46" i="13"/>
  <c r="D44" i="13"/>
  <c r="C43" i="13"/>
  <c r="B71" i="13"/>
  <c r="D68" i="13"/>
  <c r="C67" i="13"/>
  <c r="B66" i="13"/>
  <c r="D96" i="13"/>
  <c r="C94" i="13"/>
  <c r="B93" i="13"/>
  <c r="D91" i="13"/>
  <c r="C90" i="13"/>
  <c r="D115" i="13"/>
  <c r="C114" i="13"/>
  <c r="B113" i="13"/>
  <c r="D140" i="13"/>
  <c r="C138" i="13"/>
  <c r="B137" i="13"/>
  <c r="D135" i="13"/>
  <c r="C134" i="13"/>
  <c r="B164" i="13"/>
  <c r="D161" i="13"/>
  <c r="C160" i="13"/>
  <c r="B159" i="13"/>
  <c r="I574" i="32" l="1"/>
  <c r="I575" i="32" s="1"/>
  <c r="I576" i="32" s="1"/>
  <c r="E96" i="13"/>
  <c r="C574" i="32" s="1"/>
  <c r="C575" i="32" s="1"/>
  <c r="J574" i="32"/>
  <c r="J575" i="32" s="1"/>
  <c r="D574" i="32"/>
  <c r="D575" i="32" s="1"/>
  <c r="H574" i="32"/>
  <c r="H575" i="32" s="1"/>
  <c r="H576" i="32" s="1"/>
  <c r="K574" i="32"/>
  <c r="K575" i="32" s="1"/>
  <c r="K576" i="32" s="1"/>
  <c r="G574" i="32"/>
  <c r="G575" i="32" s="1"/>
  <c r="E574" i="32"/>
  <c r="E575" i="32" s="1"/>
  <c r="J179" i="32"/>
  <c r="G179" i="32"/>
  <c r="Y573" i="32"/>
  <c r="C179" i="32"/>
  <c r="O573" i="32"/>
  <c r="F179" i="32"/>
  <c r="I179" i="32"/>
  <c r="K179" i="32"/>
  <c r="L188" i="32" s="1"/>
  <c r="D179" i="32"/>
  <c r="P573" i="32"/>
  <c r="F574" i="32"/>
  <c r="F575" i="32" s="1"/>
  <c r="E179" i="32"/>
  <c r="Q573" i="32"/>
  <c r="H179" i="32"/>
  <c r="M179" i="32" l="1"/>
  <c r="J576" i="32"/>
  <c r="O18" i="58"/>
  <c r="G576" i="32"/>
  <c r="E576" i="32"/>
  <c r="D576" i="32"/>
  <c r="K188" i="32"/>
  <c r="G188" i="32"/>
  <c r="I188" i="32"/>
  <c r="J188" i="32"/>
  <c r="H188" i="32"/>
  <c r="F188" i="32"/>
  <c r="E188" i="32"/>
  <c r="D188" i="32"/>
  <c r="F576" i="32"/>
  <c r="C576" i="32"/>
  <c r="A189" i="13"/>
  <c r="A168" i="13"/>
  <c r="A121" i="13"/>
  <c r="A100" i="13"/>
  <c r="A52" i="13"/>
  <c r="A31" i="13"/>
  <c r="C104" i="46" l="1"/>
  <c r="D51" i="56" l="1"/>
  <c r="C51" i="56"/>
  <c r="D52" i="56" l="1"/>
  <c r="B141" i="32" l="1"/>
  <c r="B142" i="32"/>
  <c r="B143" i="32"/>
  <c r="B144" i="32"/>
  <c r="B145" i="32"/>
  <c r="B147" i="32"/>
  <c r="B148" i="32"/>
  <c r="B190" i="32"/>
  <c r="D44" i="55" l="1"/>
  <c r="D57" i="55" s="1"/>
  <c r="E44" i="55"/>
  <c r="D45" i="55"/>
  <c r="D58" i="55" s="1"/>
  <c r="E45" i="55"/>
  <c r="E58" i="55" s="1"/>
  <c r="D46" i="55"/>
  <c r="D59" i="55" s="1"/>
  <c r="E46" i="55"/>
  <c r="E59" i="55" s="1"/>
  <c r="Q102" i="32" l="1"/>
  <c r="T102" i="32"/>
  <c r="W102" i="32"/>
  <c r="D47" i="55"/>
  <c r="U102" i="32"/>
  <c r="E57" i="55"/>
  <c r="E60" i="55" s="1"/>
  <c r="E47" i="55"/>
  <c r="E61" i="55" s="1"/>
  <c r="E73" i="55" s="1"/>
  <c r="P102" i="32" s="1"/>
  <c r="V102" i="32"/>
  <c r="R102" i="32"/>
  <c r="E37" i="55"/>
  <c r="D37" i="55"/>
  <c r="S102" i="32" l="1"/>
  <c r="Y102" i="32" s="1"/>
  <c r="D61" i="55"/>
  <c r="D73" i="55" s="1"/>
  <c r="O102" i="32" s="1"/>
  <c r="T100" i="32"/>
  <c r="T101" i="32"/>
  <c r="U100" i="32"/>
  <c r="U101" i="32"/>
  <c r="E71" i="55"/>
  <c r="P100" i="32" s="1"/>
  <c r="E72" i="55"/>
  <c r="P101" i="32" s="1"/>
  <c r="H100" i="32"/>
  <c r="H101" i="32" s="1"/>
  <c r="J102" i="32"/>
  <c r="I102" i="32"/>
  <c r="G102" i="32"/>
  <c r="H102" i="32"/>
  <c r="I100" i="32"/>
  <c r="I101" i="32" s="1"/>
  <c r="F102" i="32"/>
  <c r="D102" i="32"/>
  <c r="K102" i="32"/>
  <c r="E102" i="32"/>
  <c r="D100" i="32"/>
  <c r="D101" i="32" s="1"/>
  <c r="D60" i="55"/>
  <c r="R703" i="32"/>
  <c r="P7" i="13"/>
  <c r="Q7" i="13"/>
  <c r="R7" i="13"/>
  <c r="P20" i="13"/>
  <c r="Q20" i="13"/>
  <c r="R20" i="13"/>
  <c r="E131" i="13"/>
  <c r="F131" i="13"/>
  <c r="E132" i="13"/>
  <c r="F132" i="13"/>
  <c r="E85" i="13"/>
  <c r="F85" i="13"/>
  <c r="E87" i="13"/>
  <c r="E110" i="13" s="1"/>
  <c r="F87" i="13"/>
  <c r="F110" i="13" s="1"/>
  <c r="E88" i="13"/>
  <c r="E111" i="13" s="1"/>
  <c r="F88" i="13"/>
  <c r="F111" i="13" s="1"/>
  <c r="E178" i="13"/>
  <c r="F178" i="13"/>
  <c r="E179" i="13"/>
  <c r="F179" i="13"/>
  <c r="E119" i="13"/>
  <c r="N119" i="13"/>
  <c r="P8" i="13"/>
  <c r="Q8" i="13"/>
  <c r="R8" i="13"/>
  <c r="P9" i="13"/>
  <c r="Q9" i="13"/>
  <c r="R9" i="13"/>
  <c r="P10" i="13"/>
  <c r="Q10" i="13"/>
  <c r="R10" i="13"/>
  <c r="P11" i="13"/>
  <c r="Q11" i="13"/>
  <c r="R11" i="13"/>
  <c r="P12" i="13"/>
  <c r="Q12" i="13"/>
  <c r="R12" i="13"/>
  <c r="P13" i="13"/>
  <c r="Q13" i="13"/>
  <c r="R13" i="13"/>
  <c r="P14" i="13"/>
  <c r="Q14" i="13"/>
  <c r="R14" i="13"/>
  <c r="P15" i="13"/>
  <c r="Q15" i="13"/>
  <c r="R15" i="13"/>
  <c r="P16" i="13"/>
  <c r="Q16" i="13"/>
  <c r="R16" i="13"/>
  <c r="P17" i="13"/>
  <c r="Q17" i="13"/>
  <c r="R17" i="13"/>
  <c r="D199" i="13"/>
  <c r="C102" i="32" l="1"/>
  <c r="D72" i="55"/>
  <c r="O101" i="32" s="1"/>
  <c r="D71" i="55"/>
  <c r="O100" i="32" s="1"/>
  <c r="Q100" i="32"/>
  <c r="Q101" i="32"/>
  <c r="W100" i="32"/>
  <c r="W101" i="32"/>
  <c r="R100" i="32"/>
  <c r="R101" i="32"/>
  <c r="V100" i="32"/>
  <c r="V101" i="32"/>
  <c r="E100" i="32"/>
  <c r="E101" i="32" s="1"/>
  <c r="C100" i="32"/>
  <c r="C101" i="32" s="1"/>
  <c r="G100" i="32"/>
  <c r="G101" i="32" s="1"/>
  <c r="K100" i="32"/>
  <c r="K101" i="32" s="1"/>
  <c r="F100" i="32"/>
  <c r="F101" i="32" s="1"/>
  <c r="J100" i="32"/>
  <c r="J101" i="32" s="1"/>
  <c r="B200" i="13"/>
  <c r="P19" i="13"/>
  <c r="E108" i="13"/>
  <c r="D179" i="13"/>
  <c r="R19" i="13"/>
  <c r="C178" i="13"/>
  <c r="Q18" i="13"/>
  <c r="C156" i="13"/>
  <c r="Q19" i="13"/>
  <c r="B178" i="13"/>
  <c r="P18" i="13"/>
  <c r="R18" i="13"/>
  <c r="F108" i="13"/>
  <c r="D63" i="13"/>
  <c r="C62" i="13"/>
  <c r="C179" i="13"/>
  <c r="C199" i="13"/>
  <c r="C111" i="13"/>
  <c r="C42" i="13"/>
  <c r="B88" i="13"/>
  <c r="D132" i="13"/>
  <c r="C131" i="13"/>
  <c r="B156" i="13"/>
  <c r="D200" i="13"/>
  <c r="B42" i="13"/>
  <c r="D41" i="13"/>
  <c r="C63" i="13"/>
  <c r="B62" i="13"/>
  <c r="D87" i="13"/>
  <c r="B111" i="13"/>
  <c r="D110" i="13"/>
  <c r="C132" i="13"/>
  <c r="B131" i="13"/>
  <c r="D155" i="13"/>
  <c r="B179" i="13"/>
  <c r="D178" i="13"/>
  <c r="C200" i="13"/>
  <c r="B199" i="13"/>
  <c r="C41" i="13"/>
  <c r="B63" i="13"/>
  <c r="D88" i="13"/>
  <c r="C87" i="13"/>
  <c r="C110" i="13"/>
  <c r="B132" i="13"/>
  <c r="D156" i="13"/>
  <c r="C155" i="13"/>
  <c r="D42" i="13"/>
  <c r="B41" i="13"/>
  <c r="D62" i="13"/>
  <c r="C88" i="13"/>
  <c r="B87" i="13"/>
  <c r="D111" i="13"/>
  <c r="B110" i="13"/>
  <c r="D131" i="13"/>
  <c r="B155" i="13"/>
  <c r="E177" i="13"/>
  <c r="F177" i="13"/>
  <c r="N50" i="13"/>
  <c r="N6" i="13"/>
  <c r="N29" i="13"/>
  <c r="N166" i="13"/>
  <c r="N187" i="13"/>
  <c r="N143" i="13"/>
  <c r="C176" i="13"/>
  <c r="C177" i="13"/>
  <c r="C168" i="13"/>
  <c r="C169" i="13"/>
  <c r="C170" i="13"/>
  <c r="C171" i="13"/>
  <c r="C172" i="13"/>
  <c r="C173" i="13"/>
  <c r="C174" i="13"/>
  <c r="C175" i="13"/>
  <c r="C189" i="13"/>
  <c r="C190" i="13"/>
  <c r="C191" i="13"/>
  <c r="C192" i="13"/>
  <c r="C193" i="13"/>
  <c r="C194" i="13"/>
  <c r="C195" i="13"/>
  <c r="C196" i="13"/>
  <c r="C197" i="13"/>
  <c r="C198" i="13"/>
  <c r="B201" i="13"/>
  <c r="C201" i="13"/>
  <c r="D201" i="13"/>
  <c r="C145" i="13"/>
  <c r="C146" i="13"/>
  <c r="C147" i="13"/>
  <c r="C148" i="13"/>
  <c r="C149" i="13"/>
  <c r="C150" i="13"/>
  <c r="C151" i="13"/>
  <c r="C152" i="13"/>
  <c r="C153" i="13"/>
  <c r="C154" i="13"/>
  <c r="B157" i="13"/>
  <c r="C157" i="13"/>
  <c r="D157" i="13"/>
  <c r="C121" i="13"/>
  <c r="C122" i="13"/>
  <c r="C123" i="13"/>
  <c r="C124" i="13"/>
  <c r="C125" i="13"/>
  <c r="C126" i="13"/>
  <c r="C127" i="13"/>
  <c r="C128" i="13"/>
  <c r="C129" i="13"/>
  <c r="C130" i="13"/>
  <c r="B133" i="13"/>
  <c r="C133" i="13"/>
  <c r="D133" i="13"/>
  <c r="C108" i="13"/>
  <c r="C109" i="13"/>
  <c r="C100" i="13"/>
  <c r="C101" i="13"/>
  <c r="C102" i="13"/>
  <c r="C103" i="13"/>
  <c r="C104" i="13"/>
  <c r="C105" i="13"/>
  <c r="C106" i="13"/>
  <c r="C107" i="13"/>
  <c r="C77" i="13"/>
  <c r="C78" i="13"/>
  <c r="C79" i="13"/>
  <c r="C80" i="13"/>
  <c r="C81" i="13"/>
  <c r="C82" i="13"/>
  <c r="C83" i="13"/>
  <c r="C84" i="13"/>
  <c r="C85" i="13"/>
  <c r="C86" i="13"/>
  <c r="C52" i="13"/>
  <c r="C53" i="13"/>
  <c r="C54" i="13"/>
  <c r="D54" i="13"/>
  <c r="C55" i="13"/>
  <c r="C56" i="13"/>
  <c r="C57" i="13"/>
  <c r="C58" i="13"/>
  <c r="C59" i="13"/>
  <c r="C60" i="13"/>
  <c r="C61" i="13"/>
  <c r="C31" i="13"/>
  <c r="C32" i="13"/>
  <c r="C33" i="13"/>
  <c r="C34" i="13"/>
  <c r="C35" i="13"/>
  <c r="C36" i="13"/>
  <c r="B37" i="13"/>
  <c r="C37" i="13"/>
  <c r="C38" i="13"/>
  <c r="C39" i="13"/>
  <c r="C40" i="13"/>
  <c r="D121" i="13"/>
  <c r="D53" i="13"/>
  <c r="D170" i="13"/>
  <c r="D148" i="13"/>
  <c r="D125" i="13"/>
  <c r="D57" i="13"/>
  <c r="D174" i="13"/>
  <c r="D152" i="13"/>
  <c r="D176" i="13"/>
  <c r="D177" i="13"/>
  <c r="B168" i="13"/>
  <c r="B146" i="13"/>
  <c r="B123" i="13"/>
  <c r="B55" i="13"/>
  <c r="B172" i="13"/>
  <c r="B150" i="13"/>
  <c r="B127" i="13"/>
  <c r="B59" i="13"/>
  <c r="B197" i="13"/>
  <c r="B154" i="13"/>
  <c r="S101" i="32" l="1"/>
  <c r="Y101" i="32" s="1"/>
  <c r="S100" i="32"/>
  <c r="Y100" i="32" s="1"/>
  <c r="E176" i="13"/>
  <c r="D58" i="13"/>
  <c r="B102" i="13"/>
  <c r="D130" i="13"/>
  <c r="B128" i="13"/>
  <c r="D122" i="13"/>
  <c r="D196" i="13"/>
  <c r="B194" i="13"/>
  <c r="D175" i="13"/>
  <c r="B173" i="13"/>
  <c r="B83" i="13"/>
  <c r="B33" i="13"/>
  <c r="B79" i="13"/>
  <c r="D126" i="13"/>
  <c r="B124" i="13"/>
  <c r="B151" i="13"/>
  <c r="B198" i="13"/>
  <c r="D192" i="13"/>
  <c r="B190" i="13"/>
  <c r="D171" i="13"/>
  <c r="B169" i="13"/>
  <c r="B106" i="13"/>
  <c r="B147" i="13"/>
  <c r="D39" i="13"/>
  <c r="D35" i="13"/>
  <c r="B56" i="13"/>
  <c r="D81" i="13"/>
  <c r="D77" i="13"/>
  <c r="D149" i="13"/>
  <c r="D145" i="13"/>
  <c r="D40" i="13"/>
  <c r="B38" i="13"/>
  <c r="D36" i="13"/>
  <c r="B34" i="13"/>
  <c r="D32" i="13"/>
  <c r="B61" i="13"/>
  <c r="D59" i="13"/>
  <c r="B57" i="13"/>
  <c r="D55" i="13"/>
  <c r="B53" i="13"/>
  <c r="D86" i="13"/>
  <c r="B84" i="13"/>
  <c r="D82" i="13"/>
  <c r="B80" i="13"/>
  <c r="D78" i="13"/>
  <c r="B107" i="13"/>
  <c r="D105" i="13"/>
  <c r="B103" i="13"/>
  <c r="D101" i="13"/>
  <c r="D109" i="13"/>
  <c r="B129" i="13"/>
  <c r="D127" i="13"/>
  <c r="B125" i="13"/>
  <c r="D123" i="13"/>
  <c r="B121" i="13"/>
  <c r="D154" i="13"/>
  <c r="B152" i="13"/>
  <c r="D150" i="13"/>
  <c r="B148" i="13"/>
  <c r="D146" i="13"/>
  <c r="D197" i="13"/>
  <c r="B195" i="13"/>
  <c r="D193" i="13"/>
  <c r="B191" i="13"/>
  <c r="D189" i="13"/>
  <c r="B174" i="13"/>
  <c r="D172" i="13"/>
  <c r="B170" i="13"/>
  <c r="D168" i="13"/>
  <c r="B177" i="13"/>
  <c r="B176" i="13"/>
  <c r="F176" i="13"/>
  <c r="B60" i="13"/>
  <c r="B52" i="13"/>
  <c r="D85" i="13"/>
  <c r="B39" i="13"/>
  <c r="D37" i="13"/>
  <c r="B35" i="13"/>
  <c r="D33" i="13"/>
  <c r="B31" i="13"/>
  <c r="D60" i="13"/>
  <c r="B58" i="13"/>
  <c r="D56" i="13"/>
  <c r="B54" i="13"/>
  <c r="D52" i="13"/>
  <c r="B85" i="13"/>
  <c r="D83" i="13"/>
  <c r="B81" i="13"/>
  <c r="D79" i="13"/>
  <c r="B77" i="13"/>
  <c r="D106" i="13"/>
  <c r="B104" i="13"/>
  <c r="D102" i="13"/>
  <c r="B100" i="13"/>
  <c r="D108" i="13"/>
  <c r="B130" i="13"/>
  <c r="D128" i="13"/>
  <c r="B126" i="13"/>
  <c r="D124" i="13"/>
  <c r="B122" i="13"/>
  <c r="B153" i="13"/>
  <c r="D151" i="13"/>
  <c r="B149" i="13"/>
  <c r="D147" i="13"/>
  <c r="B145" i="13"/>
  <c r="D198" i="13"/>
  <c r="B196" i="13"/>
  <c r="D194" i="13"/>
  <c r="B192" i="13"/>
  <c r="D190" i="13"/>
  <c r="B175" i="13"/>
  <c r="D173" i="13"/>
  <c r="B171" i="13"/>
  <c r="D169" i="13"/>
  <c r="D31" i="13"/>
  <c r="D104" i="13"/>
  <c r="D100" i="13"/>
  <c r="B108" i="13"/>
  <c r="D153" i="13"/>
  <c r="B40" i="13"/>
  <c r="D38" i="13"/>
  <c r="B36" i="13"/>
  <c r="D34" i="13"/>
  <c r="B32" i="13"/>
  <c r="D61" i="13"/>
  <c r="B86" i="13"/>
  <c r="D84" i="13"/>
  <c r="B82" i="13"/>
  <c r="D80" i="13"/>
  <c r="B78" i="13"/>
  <c r="D107" i="13"/>
  <c r="B105" i="13"/>
  <c r="D103" i="13"/>
  <c r="B101" i="13"/>
  <c r="B109" i="13"/>
  <c r="D129" i="13"/>
  <c r="D195" i="13"/>
  <c r="B193" i="13"/>
  <c r="D191" i="13"/>
  <c r="B189" i="13"/>
  <c r="D32" i="6" l="1"/>
  <c r="L45" i="6"/>
  <c r="L97" i="6"/>
  <c r="L110" i="6"/>
  <c r="L71" i="6"/>
  <c r="O13" i="6"/>
  <c r="P13" i="6"/>
  <c r="O14" i="6"/>
  <c r="P14" i="6"/>
  <c r="O15" i="6"/>
  <c r="P15" i="6"/>
  <c r="AA412" i="32"/>
  <c r="D120" i="6" l="1"/>
  <c r="E24" i="6" l="1"/>
  <c r="D24" i="6" l="1"/>
  <c r="W448" i="32" l="1"/>
  <c r="V448" i="32"/>
  <c r="U448" i="32"/>
  <c r="T448" i="32"/>
  <c r="S448" i="32"/>
  <c r="R448" i="32"/>
  <c r="V447" i="32"/>
  <c r="T447" i="32"/>
  <c r="R447" i="32"/>
  <c r="R446" i="32"/>
  <c r="Q412" i="32"/>
  <c r="P412" i="32"/>
  <c r="O412" i="32"/>
  <c r="W445" i="32"/>
  <c r="V445" i="32"/>
  <c r="U445" i="32"/>
  <c r="T445" i="32"/>
  <c r="S445" i="32"/>
  <c r="R445" i="32"/>
  <c r="W444" i="32"/>
  <c r="V444" i="32"/>
  <c r="U444" i="32"/>
  <c r="T444" i="32"/>
  <c r="S444" i="32"/>
  <c r="R444" i="32"/>
  <c r="W443" i="32"/>
  <c r="V443" i="32"/>
  <c r="U443" i="32"/>
  <c r="T443" i="32"/>
  <c r="S443" i="32"/>
  <c r="R443" i="32"/>
  <c r="F448" i="32"/>
  <c r="E27" i="6"/>
  <c r="D27" i="6"/>
  <c r="E26" i="6"/>
  <c r="D26" i="6"/>
  <c r="K412" i="32"/>
  <c r="J412" i="32"/>
  <c r="I412" i="32"/>
  <c r="H412" i="32"/>
  <c r="G412" i="32"/>
  <c r="M412" i="32" s="1"/>
  <c r="E412" i="32"/>
  <c r="D412" i="32"/>
  <c r="C412" i="32"/>
  <c r="F445" i="32"/>
  <c r="F444" i="32"/>
  <c r="E21" i="6"/>
  <c r="R449" i="32" l="1"/>
  <c r="V412" i="32"/>
  <c r="V446" i="32"/>
  <c r="V449" i="32" s="1"/>
  <c r="U447" i="32"/>
  <c r="S412" i="32"/>
  <c r="Y412" i="32" s="1"/>
  <c r="S446" i="32"/>
  <c r="W412" i="32"/>
  <c r="W446" i="32"/>
  <c r="T412" i="32"/>
  <c r="T446" i="32"/>
  <c r="T449" i="32" s="1"/>
  <c r="S447" i="32"/>
  <c r="W447" i="32"/>
  <c r="U412" i="32"/>
  <c r="U446" i="32"/>
  <c r="F412" i="32"/>
  <c r="F446" i="32"/>
  <c r="F443" i="32"/>
  <c r="F447" i="32"/>
  <c r="E22" i="6"/>
  <c r="D28" i="6"/>
  <c r="R412" i="32"/>
  <c r="D21" i="6"/>
  <c r="E23" i="6"/>
  <c r="D25" i="6"/>
  <c r="E28" i="6"/>
  <c r="D42" i="6"/>
  <c r="E25" i="6"/>
  <c r="D23" i="6"/>
  <c r="D22" i="6"/>
  <c r="S449" i="32" l="1"/>
  <c r="U449" i="32"/>
  <c r="W449" i="32"/>
  <c r="F449" i="32"/>
  <c r="M249" i="51" l="1"/>
  <c r="N299" i="51"/>
  <c r="N277" i="51"/>
  <c r="N255" i="51"/>
  <c r="Y11" i="55" l="1"/>
  <c r="Y8" i="55" l="1"/>
  <c r="Y9" i="55"/>
  <c r="Y10" i="55"/>
  <c r="Y12" i="55"/>
  <c r="K317" i="32" s="1"/>
  <c r="Y13" i="55"/>
  <c r="K318" i="32" s="1"/>
  <c r="Y14" i="55"/>
  <c r="K319" i="32" s="1"/>
  <c r="AC11" i="5" l="1"/>
  <c r="AC15" i="5"/>
  <c r="W253" i="32"/>
  <c r="W285" i="32"/>
  <c r="M128" i="29"/>
  <c r="K443" i="32"/>
  <c r="K445" i="32"/>
  <c r="K448" i="32"/>
  <c r="C343" i="32"/>
  <c r="D343" i="32"/>
  <c r="G75" i="5"/>
  <c r="G53" i="5"/>
  <c r="G76" i="5"/>
  <c r="F51" i="5"/>
  <c r="D345" i="32"/>
  <c r="F76" i="5"/>
  <c r="O253" i="32"/>
  <c r="R13" i="5"/>
  <c r="R14" i="5"/>
  <c r="R12" i="5"/>
  <c r="F47" i="47"/>
  <c r="F21" i="47"/>
  <c r="F12" i="47"/>
  <c r="F20" i="47"/>
  <c r="F50" i="47" s="1"/>
  <c r="N444" i="32"/>
  <c r="N445" i="32"/>
  <c r="N446" i="32"/>
  <c r="N447" i="32"/>
  <c r="N448" i="32"/>
  <c r="N443" i="32"/>
  <c r="Y445" i="32"/>
  <c r="O9" i="6"/>
  <c r="P9" i="6"/>
  <c r="O10" i="6"/>
  <c r="P10" i="6"/>
  <c r="O11" i="6"/>
  <c r="P11" i="6"/>
  <c r="O12" i="6"/>
  <c r="P12" i="6"/>
  <c r="P8" i="6"/>
  <c r="O8" i="6"/>
  <c r="D99" i="6"/>
  <c r="D444" i="32"/>
  <c r="G445" i="32"/>
  <c r="E102" i="6"/>
  <c r="Q14" i="6"/>
  <c r="E105" i="6"/>
  <c r="B112" i="6"/>
  <c r="C112" i="6"/>
  <c r="B113" i="6"/>
  <c r="C113" i="6"/>
  <c r="B114" i="6"/>
  <c r="C114" i="6"/>
  <c r="B115" i="6"/>
  <c r="C115" i="6"/>
  <c r="B116" i="6"/>
  <c r="C116" i="6"/>
  <c r="B117" i="6"/>
  <c r="C117" i="6"/>
  <c r="B118" i="6"/>
  <c r="C118" i="6"/>
  <c r="B119" i="6"/>
  <c r="C119" i="6"/>
  <c r="B99" i="6"/>
  <c r="C99" i="6"/>
  <c r="B100" i="6"/>
  <c r="C100" i="6"/>
  <c r="B101" i="6"/>
  <c r="C101" i="6"/>
  <c r="B102" i="6"/>
  <c r="C102" i="6"/>
  <c r="B103" i="6"/>
  <c r="C103" i="6"/>
  <c r="B104" i="6"/>
  <c r="C104" i="6"/>
  <c r="B105" i="6"/>
  <c r="C105" i="6"/>
  <c r="B106" i="6"/>
  <c r="C106" i="6"/>
  <c r="B86" i="6"/>
  <c r="C86" i="6"/>
  <c r="B87" i="6"/>
  <c r="C87" i="6"/>
  <c r="B88" i="6"/>
  <c r="C88" i="6"/>
  <c r="B89" i="6"/>
  <c r="C89" i="6"/>
  <c r="B90" i="6"/>
  <c r="C90" i="6"/>
  <c r="B91" i="6"/>
  <c r="C91" i="6"/>
  <c r="B92" i="6"/>
  <c r="C92" i="6"/>
  <c r="B93" i="6"/>
  <c r="C93" i="6"/>
  <c r="B73" i="6"/>
  <c r="C73" i="6"/>
  <c r="B74" i="6"/>
  <c r="C74" i="6"/>
  <c r="B75" i="6"/>
  <c r="C75" i="6"/>
  <c r="B76" i="6"/>
  <c r="C76" i="6"/>
  <c r="B77" i="6"/>
  <c r="C77" i="6"/>
  <c r="B78" i="6"/>
  <c r="C78" i="6"/>
  <c r="B79" i="6"/>
  <c r="C79" i="6"/>
  <c r="B80" i="6"/>
  <c r="C80" i="6"/>
  <c r="B60" i="6"/>
  <c r="C60" i="6"/>
  <c r="B61" i="6"/>
  <c r="C61" i="6"/>
  <c r="B62" i="6"/>
  <c r="C62" i="6"/>
  <c r="B63" i="6"/>
  <c r="C63" i="6"/>
  <c r="B64" i="6"/>
  <c r="C64" i="6"/>
  <c r="B65" i="6"/>
  <c r="C65" i="6"/>
  <c r="B66" i="6"/>
  <c r="C66" i="6"/>
  <c r="B67" i="6"/>
  <c r="C67" i="6"/>
  <c r="B47" i="6"/>
  <c r="C47" i="6"/>
  <c r="B48" i="6"/>
  <c r="C48" i="6"/>
  <c r="B49" i="6"/>
  <c r="C49" i="6"/>
  <c r="B50" i="6"/>
  <c r="C50" i="6"/>
  <c r="B51" i="6"/>
  <c r="C51" i="6"/>
  <c r="B52" i="6"/>
  <c r="C52" i="6"/>
  <c r="B53" i="6"/>
  <c r="C53" i="6"/>
  <c r="B54" i="6"/>
  <c r="C54" i="6"/>
  <c r="B34" i="6"/>
  <c r="C34" i="6"/>
  <c r="B35" i="6"/>
  <c r="C35" i="6"/>
  <c r="B36" i="6"/>
  <c r="C36" i="6"/>
  <c r="B37" i="6"/>
  <c r="C37" i="6"/>
  <c r="B38" i="6"/>
  <c r="C38" i="6"/>
  <c r="B39" i="6"/>
  <c r="C39" i="6"/>
  <c r="B40" i="6"/>
  <c r="C40" i="6"/>
  <c r="B41" i="6"/>
  <c r="C41" i="6"/>
  <c r="B21" i="6"/>
  <c r="C21" i="6"/>
  <c r="B22" i="6"/>
  <c r="C22" i="6"/>
  <c r="B23" i="6"/>
  <c r="C23" i="6"/>
  <c r="B24" i="6"/>
  <c r="C24" i="6"/>
  <c r="B25" i="6"/>
  <c r="C25" i="6"/>
  <c r="B26" i="6"/>
  <c r="C26" i="6"/>
  <c r="B27" i="6"/>
  <c r="C27" i="6"/>
  <c r="B28" i="6"/>
  <c r="C28" i="6"/>
  <c r="P443" i="32"/>
  <c r="Q444" i="32"/>
  <c r="Q446" i="32"/>
  <c r="Y444" i="32"/>
  <c r="O445" i="32"/>
  <c r="P445" i="32"/>
  <c r="O448" i="32"/>
  <c r="Y448" i="32"/>
  <c r="J448" i="32"/>
  <c r="E443" i="32"/>
  <c r="C445" i="32"/>
  <c r="D445" i="32"/>
  <c r="E446" i="32"/>
  <c r="Q12" i="6"/>
  <c r="R12" i="6"/>
  <c r="R14" i="6"/>
  <c r="Q15" i="6"/>
  <c r="R15" i="6"/>
  <c r="E448" i="32"/>
  <c r="Q9" i="6"/>
  <c r="C444" i="32"/>
  <c r="E445" i="32"/>
  <c r="H448" i="32"/>
  <c r="R13" i="6"/>
  <c r="H444" i="32"/>
  <c r="Q8" i="6"/>
  <c r="W13" i="55"/>
  <c r="I318" i="32" s="1"/>
  <c r="C142" i="46"/>
  <c r="F72" i="47" s="1"/>
  <c r="F74" i="5"/>
  <c r="G52" i="5"/>
  <c r="F52" i="5"/>
  <c r="Q14" i="55"/>
  <c r="C319" i="32" s="1"/>
  <c r="C346" i="32"/>
  <c r="C345" i="32"/>
  <c r="C344" i="32"/>
  <c r="AB15" i="5"/>
  <c r="X15" i="5"/>
  <c r="V14" i="5"/>
  <c r="X13" i="5"/>
  <c r="W11" i="5"/>
  <c r="D81" i="58"/>
  <c r="E81" i="58"/>
  <c r="C81" i="58"/>
  <c r="B3" i="58"/>
  <c r="B2" i="58"/>
  <c r="B3" i="56"/>
  <c r="B3" i="48"/>
  <c r="B3" i="47"/>
  <c r="B3" i="46"/>
  <c r="B2" i="56"/>
  <c r="B2" i="48"/>
  <c r="B2" i="47"/>
  <c r="B2" i="46"/>
  <c r="F75" i="5"/>
  <c r="Y780" i="32"/>
  <c r="Y540" i="32"/>
  <c r="Y510" i="32"/>
  <c r="Y478" i="32"/>
  <c r="Y442" i="32"/>
  <c r="Y411" i="32"/>
  <c r="Y379" i="32"/>
  <c r="Y220" i="32"/>
  <c r="Y252" i="32"/>
  <c r="B3" i="55"/>
  <c r="B2" i="55"/>
  <c r="C117" i="52"/>
  <c r="N117" i="52" s="1"/>
  <c r="C206" i="52"/>
  <c r="N206" i="52" s="1"/>
  <c r="E206" i="52"/>
  <c r="E138" i="52"/>
  <c r="N255" i="32"/>
  <c r="N254" i="32"/>
  <c r="N253" i="32"/>
  <c r="N223" i="32"/>
  <c r="N222" i="32"/>
  <c r="N221" i="32"/>
  <c r="N641" i="32"/>
  <c r="N640" i="32"/>
  <c r="N639" i="32"/>
  <c r="C66" i="52"/>
  <c r="B749" i="32" s="1"/>
  <c r="N749" i="32" s="1"/>
  <c r="C65" i="52"/>
  <c r="B748" i="32" s="1"/>
  <c r="N748" i="32" s="1"/>
  <c r="C64" i="52"/>
  <c r="B747" i="32" s="1"/>
  <c r="N747" i="32" s="1"/>
  <c r="B746" i="32"/>
  <c r="N746" i="32" s="1"/>
  <c r="C62" i="52"/>
  <c r="B745" i="32" s="1"/>
  <c r="N745" i="32" s="1"/>
  <c r="N815" i="32"/>
  <c r="N814" i="32"/>
  <c r="N813" i="32"/>
  <c r="N783" i="32"/>
  <c r="N782" i="32"/>
  <c r="N781" i="32"/>
  <c r="C31" i="29"/>
  <c r="N31" i="29" s="1"/>
  <c r="C20" i="29"/>
  <c r="N20" i="29" s="1"/>
  <c r="L128" i="29"/>
  <c r="K128" i="29"/>
  <c r="J128" i="29"/>
  <c r="I128" i="29"/>
  <c r="H128" i="29"/>
  <c r="G128" i="29"/>
  <c r="F128" i="29"/>
  <c r="C206" i="51"/>
  <c r="N206" i="51" s="1"/>
  <c r="L206" i="51"/>
  <c r="C117" i="51"/>
  <c r="N117" i="51" s="1"/>
  <c r="C71" i="51"/>
  <c r="N71" i="51" s="1"/>
  <c r="C50" i="51"/>
  <c r="N50" i="51" s="1"/>
  <c r="N609" i="32"/>
  <c r="N608" i="32"/>
  <c r="N607" i="32"/>
  <c r="N705" i="32"/>
  <c r="N706" i="32"/>
  <c r="N513" i="32"/>
  <c r="N512" i="32"/>
  <c r="N511" i="32"/>
  <c r="N481" i="32"/>
  <c r="N480" i="32"/>
  <c r="D106" i="6"/>
  <c r="N479" i="32"/>
  <c r="N414" i="32"/>
  <c r="N413" i="32"/>
  <c r="N412" i="32"/>
  <c r="N380" i="32"/>
  <c r="N381" i="32"/>
  <c r="N382" i="32"/>
  <c r="N98" i="13"/>
  <c r="N75" i="13"/>
  <c r="D188" i="13"/>
  <c r="E187" i="13"/>
  <c r="D167" i="13"/>
  <c r="D120" i="13"/>
  <c r="D99" i="13"/>
  <c r="C18" i="5"/>
  <c r="O18" i="5" s="1"/>
  <c r="C110" i="6"/>
  <c r="M110" i="6" s="1"/>
  <c r="C97" i="6"/>
  <c r="M97" i="6" s="1"/>
  <c r="L84" i="6"/>
  <c r="M84" i="6"/>
  <c r="C71" i="6"/>
  <c r="M71" i="6" s="1"/>
  <c r="C58" i="6"/>
  <c r="M58" i="6" s="1"/>
  <c r="L58" i="6"/>
  <c r="C32" i="6"/>
  <c r="M32" i="6" s="1"/>
  <c r="L32" i="6"/>
  <c r="C19" i="6"/>
  <c r="M19" i="6" s="1"/>
  <c r="L19" i="6"/>
  <c r="L6" i="6"/>
  <c r="M6" i="6"/>
  <c r="D110" i="6"/>
  <c r="D104" i="6"/>
  <c r="E103" i="6"/>
  <c r="D103" i="6"/>
  <c r="D102" i="6"/>
  <c r="E99" i="6"/>
  <c r="D71" i="6"/>
  <c r="C56" i="5"/>
  <c r="C94" i="5"/>
  <c r="O94" i="5" s="1"/>
  <c r="C114" i="5"/>
  <c r="E109" i="5"/>
  <c r="D109" i="5"/>
  <c r="C109" i="5"/>
  <c r="E107" i="5"/>
  <c r="D107" i="5"/>
  <c r="C107" i="5"/>
  <c r="B107" i="5"/>
  <c r="C103" i="5"/>
  <c r="D99" i="5"/>
  <c r="C99" i="5"/>
  <c r="E98" i="5"/>
  <c r="D98" i="5"/>
  <c r="C98" i="5"/>
  <c r="D97" i="5"/>
  <c r="C97" i="5"/>
  <c r="B97" i="5"/>
  <c r="E96" i="5"/>
  <c r="D96" i="5"/>
  <c r="C96" i="5"/>
  <c r="B96" i="5"/>
  <c r="C76" i="5"/>
  <c r="E71" i="5"/>
  <c r="D71" i="5"/>
  <c r="C71" i="5"/>
  <c r="E69" i="5"/>
  <c r="D69" i="5"/>
  <c r="C69" i="5"/>
  <c r="B69" i="5"/>
  <c r="C65" i="5"/>
  <c r="D61" i="5"/>
  <c r="C61" i="5"/>
  <c r="E60" i="5"/>
  <c r="D60" i="5"/>
  <c r="C60" i="5"/>
  <c r="D59" i="5"/>
  <c r="C59" i="5"/>
  <c r="B59" i="5"/>
  <c r="E58" i="5"/>
  <c r="D58" i="5"/>
  <c r="C58" i="5"/>
  <c r="B58" i="5"/>
  <c r="D226" i="52"/>
  <c r="C226" i="52"/>
  <c r="D224" i="52"/>
  <c r="C224" i="52"/>
  <c r="D223" i="52"/>
  <c r="C223" i="52"/>
  <c r="B223" i="52"/>
  <c r="D222" i="52"/>
  <c r="C222" i="52"/>
  <c r="D221" i="52"/>
  <c r="C221" i="52"/>
  <c r="D220" i="52"/>
  <c r="C220" i="52"/>
  <c r="D219" i="52"/>
  <c r="C219" i="52"/>
  <c r="D218" i="52"/>
  <c r="C218" i="52"/>
  <c r="B218" i="52"/>
  <c r="D217" i="52"/>
  <c r="C217" i="52"/>
  <c r="B217" i="52"/>
  <c r="D216" i="52"/>
  <c r="D215" i="52"/>
  <c r="D209" i="52"/>
  <c r="C209" i="52"/>
  <c r="D208" i="52"/>
  <c r="C208" i="52"/>
  <c r="D202" i="52"/>
  <c r="C202" i="52"/>
  <c r="B202" i="52"/>
  <c r="D201" i="52"/>
  <c r="C201" i="52"/>
  <c r="D200" i="52"/>
  <c r="C200" i="52"/>
  <c r="D199" i="52"/>
  <c r="C199" i="52"/>
  <c r="D198" i="52"/>
  <c r="D197" i="52"/>
  <c r="C197" i="52"/>
  <c r="B197" i="52"/>
  <c r="D196" i="52"/>
  <c r="C196" i="52"/>
  <c r="B196" i="52"/>
  <c r="D195" i="52"/>
  <c r="C189" i="52"/>
  <c r="C211" i="52" s="1"/>
  <c r="D188" i="52"/>
  <c r="C188" i="52"/>
  <c r="D187" i="52"/>
  <c r="C187" i="52"/>
  <c r="C185" i="52"/>
  <c r="D158" i="52"/>
  <c r="C158" i="52"/>
  <c r="D156" i="52"/>
  <c r="C156" i="52"/>
  <c r="D155" i="52"/>
  <c r="C155" i="52"/>
  <c r="B155" i="52"/>
  <c r="D154" i="52"/>
  <c r="C154" i="52"/>
  <c r="D153" i="52"/>
  <c r="C153" i="52"/>
  <c r="D152" i="52"/>
  <c r="C152" i="52"/>
  <c r="D151" i="52"/>
  <c r="C151" i="52"/>
  <c r="D150" i="52"/>
  <c r="C150" i="52"/>
  <c r="B150" i="52"/>
  <c r="D149" i="52"/>
  <c r="C149" i="52"/>
  <c r="B149" i="52"/>
  <c r="D148" i="52"/>
  <c r="D147" i="52"/>
  <c r="D141" i="52"/>
  <c r="C141" i="52"/>
  <c r="D140" i="52"/>
  <c r="C140" i="52"/>
  <c r="D134" i="52"/>
  <c r="C134" i="52"/>
  <c r="B134" i="52"/>
  <c r="D133" i="52"/>
  <c r="C133" i="52"/>
  <c r="D132" i="52"/>
  <c r="C132" i="52"/>
  <c r="D131" i="52"/>
  <c r="C131" i="52"/>
  <c r="D130" i="52"/>
  <c r="D129" i="52"/>
  <c r="C129" i="52"/>
  <c r="B129" i="52"/>
  <c r="D128" i="52"/>
  <c r="C128" i="52"/>
  <c r="B128" i="52"/>
  <c r="D127" i="52"/>
  <c r="C121" i="52"/>
  <c r="C143" i="52" s="1"/>
  <c r="D120" i="52"/>
  <c r="C120" i="52"/>
  <c r="D119" i="52"/>
  <c r="C119" i="52"/>
  <c r="D91" i="52"/>
  <c r="C91" i="52"/>
  <c r="D89" i="52"/>
  <c r="C89" i="52"/>
  <c r="D88" i="52"/>
  <c r="C88" i="52"/>
  <c r="B88" i="52"/>
  <c r="D87" i="52"/>
  <c r="C87" i="52"/>
  <c r="D86" i="52"/>
  <c r="C86" i="52"/>
  <c r="D85" i="52"/>
  <c r="C85" i="52"/>
  <c r="D84" i="52"/>
  <c r="C84" i="52"/>
  <c r="D83" i="52"/>
  <c r="C83" i="52"/>
  <c r="B83" i="52"/>
  <c r="D82" i="52"/>
  <c r="C82" i="52"/>
  <c r="B82" i="52"/>
  <c r="D81" i="52"/>
  <c r="D80" i="52"/>
  <c r="D74" i="52"/>
  <c r="C74" i="52"/>
  <c r="D73" i="52"/>
  <c r="C73" i="52"/>
  <c r="E71" i="52"/>
  <c r="C71" i="52"/>
  <c r="N71" i="52" s="1"/>
  <c r="D67" i="52"/>
  <c r="C67" i="52"/>
  <c r="B67" i="52"/>
  <c r="D66" i="52"/>
  <c r="D65" i="52"/>
  <c r="D64" i="52"/>
  <c r="D63" i="52"/>
  <c r="D62" i="52"/>
  <c r="B62" i="52"/>
  <c r="D61" i="52"/>
  <c r="C61" i="52"/>
  <c r="B61" i="52"/>
  <c r="D60" i="52"/>
  <c r="C54" i="52"/>
  <c r="C76" i="52" s="1"/>
  <c r="D53" i="52"/>
  <c r="C53" i="52"/>
  <c r="D52" i="52"/>
  <c r="C52" i="52"/>
  <c r="C50" i="52"/>
  <c r="N50" i="52" s="1"/>
  <c r="B3" i="52"/>
  <c r="B2" i="52"/>
  <c r="D226" i="51"/>
  <c r="C226" i="51"/>
  <c r="D224" i="51"/>
  <c r="C224" i="51"/>
  <c r="D223" i="51"/>
  <c r="C223" i="51"/>
  <c r="B223" i="51"/>
  <c r="D222" i="51"/>
  <c r="C222" i="51"/>
  <c r="D221" i="51"/>
  <c r="C221" i="51"/>
  <c r="D220" i="51"/>
  <c r="C220" i="51"/>
  <c r="D219" i="51"/>
  <c r="C219" i="51"/>
  <c r="D218" i="51"/>
  <c r="C218" i="51"/>
  <c r="B218" i="51"/>
  <c r="D217" i="51"/>
  <c r="C217" i="51"/>
  <c r="B217" i="51"/>
  <c r="D216" i="51"/>
  <c r="D215" i="51"/>
  <c r="D209" i="51"/>
  <c r="C209" i="51"/>
  <c r="D208" i="51"/>
  <c r="C208" i="51"/>
  <c r="D202" i="51"/>
  <c r="C202" i="51"/>
  <c r="B202" i="51"/>
  <c r="D201" i="51"/>
  <c r="C201" i="51"/>
  <c r="D200" i="51"/>
  <c r="C200" i="51"/>
  <c r="D199" i="51"/>
  <c r="C199" i="51"/>
  <c r="D198" i="51"/>
  <c r="D197" i="51"/>
  <c r="C197" i="51"/>
  <c r="B197" i="51"/>
  <c r="D196" i="51"/>
  <c r="C196" i="51"/>
  <c r="B196" i="51"/>
  <c r="D195" i="51"/>
  <c r="C189" i="51"/>
  <c r="C211" i="51" s="1"/>
  <c r="D188" i="51"/>
  <c r="C188" i="51"/>
  <c r="D187" i="51"/>
  <c r="C187" i="51"/>
  <c r="C185" i="51"/>
  <c r="D158" i="51"/>
  <c r="C158" i="51"/>
  <c r="D156" i="51"/>
  <c r="C156" i="51"/>
  <c r="D155" i="51"/>
  <c r="C155" i="51"/>
  <c r="B155" i="51"/>
  <c r="D154" i="51"/>
  <c r="C154" i="51"/>
  <c r="D153" i="51"/>
  <c r="C153" i="51"/>
  <c r="D152" i="51"/>
  <c r="C152" i="51"/>
  <c r="D151" i="51"/>
  <c r="C151" i="51"/>
  <c r="D150" i="51"/>
  <c r="C150" i="51"/>
  <c r="B150" i="51"/>
  <c r="D149" i="51"/>
  <c r="C149" i="51"/>
  <c r="B149" i="51"/>
  <c r="D148" i="51"/>
  <c r="D147" i="51"/>
  <c r="D141" i="51"/>
  <c r="C141" i="51"/>
  <c r="D140" i="51"/>
  <c r="C140" i="51"/>
  <c r="E138" i="51"/>
  <c r="D134" i="51"/>
  <c r="C134" i="51"/>
  <c r="B134" i="51"/>
  <c r="D133" i="51"/>
  <c r="C133" i="51"/>
  <c r="D132" i="51"/>
  <c r="C132" i="51"/>
  <c r="D131" i="51"/>
  <c r="C131" i="51"/>
  <c r="D130" i="51"/>
  <c r="D129" i="51"/>
  <c r="C129" i="51"/>
  <c r="B129" i="51"/>
  <c r="D128" i="51"/>
  <c r="C128" i="51"/>
  <c r="B128" i="51"/>
  <c r="D127" i="51"/>
  <c r="C121" i="51"/>
  <c r="C143" i="51" s="1"/>
  <c r="D120" i="51"/>
  <c r="C120" i="51"/>
  <c r="D119" i="51"/>
  <c r="C119" i="51"/>
  <c r="D91" i="51"/>
  <c r="C91" i="51"/>
  <c r="D89" i="51"/>
  <c r="C89" i="51"/>
  <c r="D88" i="51"/>
  <c r="C88" i="51"/>
  <c r="B88" i="51"/>
  <c r="D87" i="51"/>
  <c r="C87" i="51"/>
  <c r="D86" i="51"/>
  <c r="C86" i="51"/>
  <c r="D85" i="51"/>
  <c r="C85" i="51"/>
  <c r="D84" i="51"/>
  <c r="C84" i="51"/>
  <c r="D83" i="51"/>
  <c r="C83" i="51"/>
  <c r="B83" i="51"/>
  <c r="D82" i="51"/>
  <c r="C82" i="51"/>
  <c r="B82" i="51"/>
  <c r="D81" i="51"/>
  <c r="D80" i="51"/>
  <c r="D74" i="51"/>
  <c r="C74" i="51"/>
  <c r="D73" i="51"/>
  <c r="C73" i="51"/>
  <c r="E71" i="51"/>
  <c r="D67" i="51"/>
  <c r="C67" i="51"/>
  <c r="B67" i="51"/>
  <c r="D66" i="51"/>
  <c r="C66" i="51"/>
  <c r="D65" i="51"/>
  <c r="C65" i="51"/>
  <c r="D64" i="51"/>
  <c r="C64" i="51"/>
  <c r="D63" i="51"/>
  <c r="D62" i="51"/>
  <c r="C62" i="51"/>
  <c r="B62" i="51"/>
  <c r="D61" i="51"/>
  <c r="C61" i="51"/>
  <c r="B61" i="51"/>
  <c r="D60" i="51"/>
  <c r="C54" i="51"/>
  <c r="C76" i="51" s="1"/>
  <c r="D53" i="51"/>
  <c r="C53" i="51"/>
  <c r="D52" i="51"/>
  <c r="C52" i="51"/>
  <c r="B3" i="51"/>
  <c r="B2" i="51"/>
  <c r="C71" i="3"/>
  <c r="N71" i="3" s="1"/>
  <c r="L138" i="3"/>
  <c r="C117" i="3"/>
  <c r="M206" i="3"/>
  <c r="C206" i="3"/>
  <c r="M163" i="3"/>
  <c r="C50" i="3"/>
  <c r="N50" i="3" s="1"/>
  <c r="C185" i="3"/>
  <c r="D226" i="3"/>
  <c r="C226" i="3"/>
  <c r="D224" i="3"/>
  <c r="C224" i="3"/>
  <c r="D223" i="3"/>
  <c r="C223" i="3"/>
  <c r="D222" i="3"/>
  <c r="C222" i="3"/>
  <c r="D221" i="3"/>
  <c r="C221" i="3"/>
  <c r="D220" i="3"/>
  <c r="C220" i="3"/>
  <c r="D219" i="3"/>
  <c r="C219" i="3"/>
  <c r="D218" i="3"/>
  <c r="C218" i="3"/>
  <c r="D217" i="3"/>
  <c r="C217" i="3"/>
  <c r="D216" i="3"/>
  <c r="D215" i="3"/>
  <c r="D209" i="3"/>
  <c r="C209" i="3"/>
  <c r="D208" i="3"/>
  <c r="C208" i="3"/>
  <c r="E206" i="3"/>
  <c r="D202" i="3"/>
  <c r="C202" i="3"/>
  <c r="D201" i="3"/>
  <c r="C201" i="3"/>
  <c r="D200" i="3"/>
  <c r="C200" i="3"/>
  <c r="D199" i="3"/>
  <c r="C199" i="3"/>
  <c r="D198" i="3"/>
  <c r="D197" i="3"/>
  <c r="C197" i="3"/>
  <c r="D196" i="3"/>
  <c r="C196" i="3"/>
  <c r="D195" i="3"/>
  <c r="C189" i="3"/>
  <c r="C211" i="3" s="1"/>
  <c r="D188" i="3"/>
  <c r="C188" i="3"/>
  <c r="D187" i="3"/>
  <c r="C187" i="3"/>
  <c r="D158" i="3"/>
  <c r="C158" i="3"/>
  <c r="D156" i="3"/>
  <c r="C156" i="3"/>
  <c r="D155" i="3"/>
  <c r="C155" i="3"/>
  <c r="D154" i="3"/>
  <c r="C154" i="3"/>
  <c r="D153" i="3"/>
  <c r="C153" i="3"/>
  <c r="D152" i="3"/>
  <c r="C152" i="3"/>
  <c r="D151" i="3"/>
  <c r="C151" i="3"/>
  <c r="D150" i="3"/>
  <c r="C150" i="3"/>
  <c r="D149" i="3"/>
  <c r="C149" i="3"/>
  <c r="D148" i="3"/>
  <c r="D147" i="3"/>
  <c r="D141" i="3"/>
  <c r="C141" i="3"/>
  <c r="D140" i="3"/>
  <c r="C140" i="3"/>
  <c r="E138" i="3"/>
  <c r="D134" i="3"/>
  <c r="C134" i="3"/>
  <c r="D133" i="3"/>
  <c r="C133" i="3"/>
  <c r="D132" i="3"/>
  <c r="C132" i="3"/>
  <c r="D131" i="3"/>
  <c r="C131" i="3"/>
  <c r="D130" i="3"/>
  <c r="D129" i="3"/>
  <c r="C129" i="3"/>
  <c r="D128" i="3"/>
  <c r="C128" i="3"/>
  <c r="D127" i="3"/>
  <c r="C121" i="3"/>
  <c r="C143" i="3" s="1"/>
  <c r="D120" i="3"/>
  <c r="C120" i="3"/>
  <c r="D119" i="3"/>
  <c r="C119" i="3"/>
  <c r="AB49" i="3"/>
  <c r="U49" i="3"/>
  <c r="T49" i="3"/>
  <c r="Y49" i="3"/>
  <c r="AF49" i="3"/>
  <c r="X49" i="3"/>
  <c r="AC49" i="3"/>
  <c r="W49" i="3"/>
  <c r="AA49" i="3"/>
  <c r="AE49" i="3"/>
  <c r="N28" i="32"/>
  <c r="N27" i="32"/>
  <c r="N103" i="32"/>
  <c r="N100" i="32"/>
  <c r="N99" i="32"/>
  <c r="D142" i="46"/>
  <c r="G72" i="47" s="1"/>
  <c r="G57" i="47"/>
  <c r="F57" i="47"/>
  <c r="D80" i="3"/>
  <c r="D81" i="3"/>
  <c r="C54" i="3"/>
  <c r="C76" i="3" s="1"/>
  <c r="D73" i="3"/>
  <c r="D74" i="3"/>
  <c r="C33" i="5"/>
  <c r="D33" i="5"/>
  <c r="E33" i="5"/>
  <c r="C22" i="5"/>
  <c r="D22" i="5"/>
  <c r="E22" i="5"/>
  <c r="B31" i="5"/>
  <c r="C31" i="5"/>
  <c r="D31" i="5"/>
  <c r="E31" i="5"/>
  <c r="B20" i="5"/>
  <c r="C20" i="5"/>
  <c r="D20" i="5"/>
  <c r="E20" i="5"/>
  <c r="C136" i="46"/>
  <c r="E50" i="13"/>
  <c r="D136" i="46"/>
  <c r="D104" i="46"/>
  <c r="G17" i="47"/>
  <c r="G12" i="47"/>
  <c r="F42" i="47"/>
  <c r="G47" i="47"/>
  <c r="D63" i="3"/>
  <c r="C67" i="3"/>
  <c r="C88" i="3"/>
  <c r="C89" i="3"/>
  <c r="C91" i="3"/>
  <c r="D89" i="3"/>
  <c r="D91" i="3"/>
  <c r="D84" i="3"/>
  <c r="C84" i="3"/>
  <c r="D60" i="3"/>
  <c r="B21" i="5"/>
  <c r="C21" i="5"/>
  <c r="D21" i="5"/>
  <c r="C23" i="5"/>
  <c r="D23" i="5"/>
  <c r="C74" i="3"/>
  <c r="D53" i="3"/>
  <c r="C53" i="3"/>
  <c r="D52" i="3"/>
  <c r="C73" i="3"/>
  <c r="C52" i="3"/>
  <c r="D51" i="13"/>
  <c r="D30" i="13"/>
  <c r="N711" i="32"/>
  <c r="N709" i="32"/>
  <c r="C82" i="3"/>
  <c r="D82" i="3"/>
  <c r="C83" i="3"/>
  <c r="D83" i="3"/>
  <c r="C85" i="3"/>
  <c r="D85" i="3"/>
  <c r="C86" i="3"/>
  <c r="D86" i="3"/>
  <c r="C87" i="3"/>
  <c r="D87" i="3"/>
  <c r="D88" i="3"/>
  <c r="C61" i="3"/>
  <c r="D61" i="3"/>
  <c r="C62" i="3"/>
  <c r="D62" i="3"/>
  <c r="C64" i="3"/>
  <c r="D64" i="3"/>
  <c r="C65" i="3"/>
  <c r="D65" i="3"/>
  <c r="C66" i="3"/>
  <c r="D66" i="3"/>
  <c r="D67" i="3"/>
  <c r="N707" i="32"/>
  <c r="N708" i="32"/>
  <c r="N710" i="32"/>
  <c r="N712" i="32"/>
  <c r="N541" i="32"/>
  <c r="N542" i="32"/>
  <c r="B3" i="5"/>
  <c r="B3" i="6"/>
  <c r="B3" i="13"/>
  <c r="B3" i="3"/>
  <c r="B3" i="29"/>
  <c r="B2" i="32"/>
  <c r="B3" i="10"/>
  <c r="B3" i="31"/>
  <c r="B2" i="31"/>
  <c r="B2" i="10"/>
  <c r="B3" i="32"/>
  <c r="B2" i="5"/>
  <c r="B2" i="6"/>
  <c r="B2" i="13"/>
  <c r="B2" i="3"/>
  <c r="B2" i="29"/>
  <c r="Z49" i="3"/>
  <c r="V49" i="3"/>
  <c r="AD49" i="3"/>
  <c r="F17" i="47"/>
  <c r="G21" i="47"/>
  <c r="G20" i="47"/>
  <c r="G50" i="47" s="1"/>
  <c r="E104" i="6"/>
  <c r="E100" i="6"/>
  <c r="E106" i="6"/>
  <c r="D100" i="6"/>
  <c r="E94" i="6"/>
  <c r="D105" i="6"/>
  <c r="D101" i="6"/>
  <c r="E120" i="6"/>
  <c r="D94" i="6"/>
  <c r="AB8" i="5"/>
  <c r="F47" i="5"/>
  <c r="AA12" i="5"/>
  <c r="S11" i="55"/>
  <c r="W12" i="5"/>
  <c r="W11" i="55"/>
  <c r="F99" i="5"/>
  <c r="C348" i="32"/>
  <c r="U9" i="5"/>
  <c r="Y14" i="5"/>
  <c r="Z14" i="5"/>
  <c r="P253" i="32"/>
  <c r="V253" i="32"/>
  <c r="G25" i="5"/>
  <c r="G74" i="5"/>
  <c r="AA11" i="5"/>
  <c r="U11" i="55"/>
  <c r="C347" i="32"/>
  <c r="Q13" i="55"/>
  <c r="C318" i="32" s="1"/>
  <c r="U8" i="5"/>
  <c r="F46" i="5"/>
  <c r="V15" i="5"/>
  <c r="S285" i="32"/>
  <c r="Y285" i="32" s="1"/>
  <c r="Y8" i="5"/>
  <c r="G97" i="5"/>
  <c r="G70" i="5"/>
  <c r="Z15" i="5"/>
  <c r="G72" i="5"/>
  <c r="F96" i="5"/>
  <c r="G39" i="5"/>
  <c r="R253" i="32"/>
  <c r="O285" i="32"/>
  <c r="Q285" i="32"/>
  <c r="U285" i="32"/>
  <c r="W10" i="5"/>
  <c r="X8" i="5"/>
  <c r="F49" i="5"/>
  <c r="G20" i="5"/>
  <c r="G26" i="5"/>
  <c r="T253" i="32"/>
  <c r="U11" i="5"/>
  <c r="AA10" i="5"/>
  <c r="Y9" i="5"/>
  <c r="G99" i="5"/>
  <c r="AB13" i="5"/>
  <c r="Y11" i="5"/>
  <c r="D15" i="55"/>
  <c r="X9" i="5"/>
  <c r="Z10" i="5"/>
  <c r="X11" i="5"/>
  <c r="AB11" i="5"/>
  <c r="G50" i="5"/>
  <c r="D253" i="32"/>
  <c r="AA13" i="5"/>
  <c r="F26" i="5"/>
  <c r="V11" i="55"/>
  <c r="D347" i="32"/>
  <c r="F115" i="5"/>
  <c r="F97" i="5"/>
  <c r="W15" i="5"/>
  <c r="AB9" i="5"/>
  <c r="G48" i="5"/>
  <c r="V10" i="5"/>
  <c r="H253" i="32"/>
  <c r="Z12" i="5"/>
  <c r="W13" i="5"/>
  <c r="AA15" i="5"/>
  <c r="F69" i="5"/>
  <c r="F20" i="5"/>
  <c r="F22" i="5"/>
  <c r="F71" i="5"/>
  <c r="F73" i="5"/>
  <c r="F24" i="5"/>
  <c r="U14" i="5"/>
  <c r="V12" i="5"/>
  <c r="G24" i="5"/>
  <c r="G22" i="5"/>
  <c r="E24" i="55"/>
  <c r="R13" i="55"/>
  <c r="D318" i="32" s="1"/>
  <c r="T10" i="55"/>
  <c r="S12" i="55"/>
  <c r="E317" i="32" s="1"/>
  <c r="S14" i="55"/>
  <c r="E319" i="32" s="1"/>
  <c r="W12" i="55"/>
  <c r="I317" i="32" s="1"/>
  <c r="V13" i="55"/>
  <c r="H318" i="32" s="1"/>
  <c r="D24" i="55"/>
  <c r="R11" i="55"/>
  <c r="E22" i="55"/>
  <c r="W14" i="55"/>
  <c r="I319" i="32" s="1"/>
  <c r="U13" i="55"/>
  <c r="G318" i="32" s="1"/>
  <c r="T12" i="55"/>
  <c r="F317" i="32" s="1"/>
  <c r="W10" i="55"/>
  <c r="X12" i="55"/>
  <c r="J317" i="32" s="1"/>
  <c r="R9" i="55"/>
  <c r="E20" i="55"/>
  <c r="T8" i="55"/>
  <c r="X10" i="55"/>
  <c r="S9" i="55"/>
  <c r="X14" i="55"/>
  <c r="J319" i="32" s="1"/>
  <c r="Q8" i="55"/>
  <c r="D19" i="55"/>
  <c r="S10" i="55"/>
  <c r="W9" i="55"/>
  <c r="Q11" i="55"/>
  <c r="D22" i="55"/>
  <c r="V9" i="55"/>
  <c r="T14" i="55"/>
  <c r="F319" i="32" s="1"/>
  <c r="V14" i="55"/>
  <c r="H319" i="32" s="1"/>
  <c r="X8" i="55"/>
  <c r="U8" i="55"/>
  <c r="P448" i="32"/>
  <c r="E42" i="6"/>
  <c r="E60" i="6"/>
  <c r="J443" i="32"/>
  <c r="Y446" i="32"/>
  <c r="O444" i="32"/>
  <c r="J445" i="32"/>
  <c r="Q10" i="6"/>
  <c r="C448" i="32"/>
  <c r="G446" i="32"/>
  <c r="G448" i="32"/>
  <c r="O447" i="32"/>
  <c r="U13" i="5"/>
  <c r="F25" i="5"/>
  <c r="C135" i="32"/>
  <c r="C253" i="32"/>
  <c r="W14" i="5"/>
  <c r="E253" i="32"/>
  <c r="U15" i="5"/>
  <c r="F53" i="5"/>
  <c r="G46" i="5"/>
  <c r="G47" i="5"/>
  <c r="G49" i="5"/>
  <c r="G51" i="5"/>
  <c r="V8" i="5"/>
  <c r="W9" i="5"/>
  <c r="F48" i="5"/>
  <c r="F98" i="5"/>
  <c r="U10" i="5"/>
  <c r="Y12" i="5"/>
  <c r="X14" i="5"/>
  <c r="AA8" i="5"/>
  <c r="Q10" i="55"/>
  <c r="U10" i="55"/>
  <c r="D25" i="55"/>
  <c r="V9" i="5"/>
  <c r="G21" i="5"/>
  <c r="Z9" i="5"/>
  <c r="X10" i="5"/>
  <c r="F135" i="32"/>
  <c r="G23" i="5"/>
  <c r="V11" i="5"/>
  <c r="Z11" i="5"/>
  <c r="F253" i="32"/>
  <c r="X12" i="5"/>
  <c r="G221" i="32"/>
  <c r="F21" i="5"/>
  <c r="F23" i="5"/>
  <c r="F70" i="5"/>
  <c r="F39" i="5"/>
  <c r="F72" i="5"/>
  <c r="X11" i="55"/>
  <c r="Z8" i="5"/>
  <c r="AA9" i="5"/>
  <c r="Y10" i="5"/>
  <c r="F100" i="5"/>
  <c r="F50" i="5"/>
  <c r="C254" i="32" s="1"/>
  <c r="U12" i="5"/>
  <c r="Z13" i="5"/>
  <c r="G69" i="5"/>
  <c r="G96" i="5"/>
  <c r="G98" i="5"/>
  <c r="G100" i="5"/>
  <c r="G101" i="5"/>
  <c r="G73" i="5"/>
  <c r="W8" i="5"/>
  <c r="D348" i="32"/>
  <c r="D344" i="32"/>
  <c r="D346" i="32"/>
  <c r="R14" i="55"/>
  <c r="D319" i="32" s="1"/>
  <c r="Q12" i="55"/>
  <c r="C317" i="32" s="1"/>
  <c r="U12" i="55"/>
  <c r="G317" i="32" s="1"/>
  <c r="AB10" i="5"/>
  <c r="AB12" i="5"/>
  <c r="J253" i="32"/>
  <c r="G253" i="32"/>
  <c r="Y13" i="5"/>
  <c r="I253" i="32"/>
  <c r="Y15" i="5"/>
  <c r="Q253" i="32"/>
  <c r="U253" i="32"/>
  <c r="S253" i="32"/>
  <c r="Y253" i="32" s="1"/>
  <c r="T9" i="55"/>
  <c r="E21" i="55"/>
  <c r="T11" i="55"/>
  <c r="P285" i="32"/>
  <c r="R12" i="55"/>
  <c r="D317" i="32" s="1"/>
  <c r="E23" i="55"/>
  <c r="E25" i="55"/>
  <c r="R285" i="32"/>
  <c r="T13" i="55"/>
  <c r="F318" i="32" s="1"/>
  <c r="V285" i="32"/>
  <c r="V13" i="5"/>
  <c r="AB14" i="5"/>
  <c r="G71" i="5"/>
  <c r="U14" i="55"/>
  <c r="G319" i="32" s="1"/>
  <c r="T285" i="32"/>
  <c r="V10" i="55"/>
  <c r="X13" i="55"/>
  <c r="J318" i="32" s="1"/>
  <c r="H443" i="32"/>
  <c r="O443" i="32"/>
  <c r="D73" i="6"/>
  <c r="C138" i="51"/>
  <c r="N138" i="51" s="1"/>
  <c r="H445" i="32"/>
  <c r="P444" i="32"/>
  <c r="J446" i="32"/>
  <c r="I446" i="32"/>
  <c r="X9" i="55"/>
  <c r="D21" i="55"/>
  <c r="E19" i="55"/>
  <c r="R10" i="55"/>
  <c r="V8" i="55"/>
  <c r="D23" i="55"/>
  <c r="S13" i="55"/>
  <c r="E318" i="32" s="1"/>
  <c r="V12" i="55"/>
  <c r="H317" i="32" s="1"/>
  <c r="R8" i="55"/>
  <c r="D446" i="32"/>
  <c r="Q448" i="32"/>
  <c r="Q445" i="32"/>
  <c r="H447" i="32"/>
  <c r="J444" i="32"/>
  <c r="C99" i="46"/>
  <c r="F58" i="47" s="1"/>
  <c r="R11" i="6"/>
  <c r="I448" i="32"/>
  <c r="E444" i="32"/>
  <c r="I443" i="32"/>
  <c r="P447" i="32"/>
  <c r="P446" i="32"/>
  <c r="Q447" i="32"/>
  <c r="D47" i="6"/>
  <c r="R9" i="6"/>
  <c r="G443" i="32"/>
  <c r="Q443" i="32"/>
  <c r="J447" i="32"/>
  <c r="G447" i="32"/>
  <c r="I445" i="32"/>
  <c r="D443" i="32"/>
  <c r="R8" i="6"/>
  <c r="D447" i="32"/>
  <c r="H446" i="32"/>
  <c r="Q11" i="6"/>
  <c r="W8" i="55"/>
  <c r="D20" i="55"/>
  <c r="Q9" i="55"/>
  <c r="S8" i="55"/>
  <c r="U9" i="55"/>
  <c r="Q13" i="6"/>
  <c r="C447" i="32"/>
  <c r="D66" i="6"/>
  <c r="D16" i="6"/>
  <c r="O446" i="32"/>
  <c r="C446" i="32"/>
  <c r="E447" i="32"/>
  <c r="C443" i="32"/>
  <c r="E16" i="6"/>
  <c r="I447" i="32"/>
  <c r="C180" i="32"/>
  <c r="O19" i="58" s="1"/>
  <c r="O380" i="32"/>
  <c r="G58" i="5" l="1"/>
  <c r="Q380" i="32"/>
  <c r="Q382" i="32" s="1"/>
  <c r="P380" i="32"/>
  <c r="P382" i="32" s="1"/>
  <c r="AA446" i="32"/>
  <c r="AA380" i="32"/>
  <c r="R380" i="32"/>
  <c r="R382" i="32" s="1"/>
  <c r="S380" i="32"/>
  <c r="S382" i="32" s="1"/>
  <c r="W413" i="32"/>
  <c r="W414" i="32" s="1"/>
  <c r="Q15" i="55"/>
  <c r="C320" i="32" s="1"/>
  <c r="AA221" i="32"/>
  <c r="C138" i="3"/>
  <c r="N138" i="3" s="1"/>
  <c r="N117" i="3"/>
  <c r="E180" i="32"/>
  <c r="U413" i="32"/>
  <c r="U414" i="32" s="1"/>
  <c r="U415" i="32" s="1"/>
  <c r="V413" i="32"/>
  <c r="V414" i="32" s="1"/>
  <c r="H180" i="32"/>
  <c r="G180" i="32"/>
  <c r="M180" i="32" s="1"/>
  <c r="R221" i="32"/>
  <c r="P221" i="32"/>
  <c r="O254" i="32"/>
  <c r="O255" i="32" s="1"/>
  <c r="O256" i="32" s="1"/>
  <c r="C221" i="32"/>
  <c r="C413" i="32"/>
  <c r="C414" i="32" s="1"/>
  <c r="C415" i="32" s="1"/>
  <c r="D107" i="6"/>
  <c r="N206" i="3"/>
  <c r="J135" i="32"/>
  <c r="C67" i="5"/>
  <c r="O67" i="5" s="1"/>
  <c r="O56" i="5"/>
  <c r="F59" i="5"/>
  <c r="C29" i="5"/>
  <c r="O29" i="5" s="1"/>
  <c r="V16" i="5"/>
  <c r="O221" i="32"/>
  <c r="G413" i="32"/>
  <c r="M413" i="32" s="1"/>
  <c r="D37" i="56"/>
  <c r="G135" i="32"/>
  <c r="G62" i="5"/>
  <c r="D135" i="32"/>
  <c r="D144" i="32" s="1"/>
  <c r="E64" i="6"/>
  <c r="D131" i="46"/>
  <c r="C131" i="46"/>
  <c r="C134" i="46" s="1"/>
  <c r="D99" i="46"/>
  <c r="D102" i="46" s="1"/>
  <c r="G53" i="47" s="1"/>
  <c r="C138" i="52"/>
  <c r="N138" i="52" s="1"/>
  <c r="D221" i="32"/>
  <c r="F62" i="5"/>
  <c r="G61" i="5"/>
  <c r="E67" i="6"/>
  <c r="U221" i="32"/>
  <c r="I177" i="32"/>
  <c r="H380" i="32"/>
  <c r="R413" i="32"/>
  <c r="R414" i="32" s="1"/>
  <c r="R415" i="32" s="1"/>
  <c r="F138" i="32"/>
  <c r="F380" i="32"/>
  <c r="S221" i="32"/>
  <c r="Y221" i="32" s="1"/>
  <c r="H413" i="32"/>
  <c r="H414" i="32" s="1"/>
  <c r="H415" i="32" s="1"/>
  <c r="F285" i="32"/>
  <c r="T15" i="55"/>
  <c r="F320" i="32" s="1"/>
  <c r="I285" i="32"/>
  <c r="W15" i="55"/>
  <c r="I320" i="32" s="1"/>
  <c r="H285" i="32"/>
  <c r="V15" i="55"/>
  <c r="H320" i="32" s="1"/>
  <c r="G285" i="32"/>
  <c r="U15" i="55"/>
  <c r="G320" i="32" s="1"/>
  <c r="J285" i="32"/>
  <c r="X15" i="55"/>
  <c r="J320" i="32" s="1"/>
  <c r="E285" i="32"/>
  <c r="S15" i="55"/>
  <c r="E320" i="32" s="1"/>
  <c r="D285" i="32"/>
  <c r="R15" i="55"/>
  <c r="D320" i="32" s="1"/>
  <c r="C349" i="32"/>
  <c r="R286" i="32"/>
  <c r="R287" i="32" s="1"/>
  <c r="R288" i="32" s="1"/>
  <c r="E221" i="32"/>
  <c r="AB16" i="5"/>
  <c r="F254" i="32"/>
  <c r="F255" i="32" s="1"/>
  <c r="F256" i="32" s="1"/>
  <c r="I54" i="5"/>
  <c r="F222" i="32" s="1"/>
  <c r="J221" i="32"/>
  <c r="F221" i="32"/>
  <c r="U254" i="32"/>
  <c r="U255" i="32" s="1"/>
  <c r="U256" i="32" s="1"/>
  <c r="H221" i="32"/>
  <c r="H135" i="32"/>
  <c r="I221" i="32"/>
  <c r="I135" i="32"/>
  <c r="G58" i="47"/>
  <c r="C102" i="46"/>
  <c r="F53" i="47" s="1"/>
  <c r="J380" i="32"/>
  <c r="D67" i="6"/>
  <c r="I380" i="32"/>
  <c r="D380" i="32"/>
  <c r="G380" i="32"/>
  <c r="M380" i="32" s="1"/>
  <c r="I138" i="32"/>
  <c r="F381" i="32"/>
  <c r="D180" i="32"/>
  <c r="D189" i="32" s="1"/>
  <c r="E380" i="32"/>
  <c r="T221" i="32"/>
  <c r="F177" i="32"/>
  <c r="H65" i="5"/>
  <c r="E61" i="6"/>
  <c r="C781" i="32"/>
  <c r="C105" i="5"/>
  <c r="O105" i="5" s="1"/>
  <c r="E177" i="32"/>
  <c r="Q221" i="32"/>
  <c r="E381" i="32"/>
  <c r="D177" i="32"/>
  <c r="I381" i="32"/>
  <c r="G177" i="32"/>
  <c r="M177" i="32" s="1"/>
  <c r="C285" i="32"/>
  <c r="J177" i="32"/>
  <c r="D349" i="32"/>
  <c r="U286" i="32"/>
  <c r="U287" i="32" s="1"/>
  <c r="U288" i="32" s="1"/>
  <c r="G77" i="5"/>
  <c r="P222" i="32" s="1"/>
  <c r="P254" i="32"/>
  <c r="P255" i="32" s="1"/>
  <c r="P256" i="32" s="1"/>
  <c r="U222" i="32"/>
  <c r="F65" i="5"/>
  <c r="F58" i="5"/>
  <c r="F61" i="5"/>
  <c r="J54" i="5"/>
  <c r="G222" i="32" s="1"/>
  <c r="G223" i="32" s="1"/>
  <c r="G224" i="32" s="1"/>
  <c r="Y16" i="5"/>
  <c r="L54" i="5"/>
  <c r="I222" i="32" s="1"/>
  <c r="G254" i="32"/>
  <c r="G255" i="32" s="1"/>
  <c r="G256" i="32" s="1"/>
  <c r="D254" i="32"/>
  <c r="D255" i="32" s="1"/>
  <c r="D256" i="32" s="1"/>
  <c r="J254" i="32"/>
  <c r="J255" i="32" s="1"/>
  <c r="J256" i="32" s="1"/>
  <c r="I254" i="32"/>
  <c r="I255" i="32" s="1"/>
  <c r="I256" i="32" s="1"/>
  <c r="U16" i="5"/>
  <c r="X16" i="5"/>
  <c r="Z16" i="5"/>
  <c r="M54" i="5"/>
  <c r="AC16" i="5"/>
  <c r="F54" i="5"/>
  <c r="C255" i="32"/>
  <c r="C256" i="32" s="1"/>
  <c r="H254" i="32"/>
  <c r="H255" i="32" s="1"/>
  <c r="H256" i="32" s="1"/>
  <c r="G60" i="5"/>
  <c r="K54" i="5"/>
  <c r="E135" i="32"/>
  <c r="W16" i="5"/>
  <c r="H54" i="5"/>
  <c r="E254" i="32"/>
  <c r="E255" i="32" s="1"/>
  <c r="E256" i="32" s="1"/>
  <c r="Q254" i="32"/>
  <c r="Q255" i="32" s="1"/>
  <c r="Q256" i="32" s="1"/>
  <c r="T222" i="32"/>
  <c r="T254" i="32"/>
  <c r="T255" i="32" s="1"/>
  <c r="T256" i="32" s="1"/>
  <c r="G59" i="5"/>
  <c r="C177" i="32"/>
  <c r="V254" i="32"/>
  <c r="V255" i="32" s="1"/>
  <c r="V256" i="32" s="1"/>
  <c r="G40" i="5"/>
  <c r="R222" i="32"/>
  <c r="R223" i="32" s="1"/>
  <c r="R224" i="32" s="1"/>
  <c r="V221" i="32"/>
  <c r="G63" i="5"/>
  <c r="F60" i="5"/>
  <c r="R254" i="32"/>
  <c r="R255" i="32" s="1"/>
  <c r="R256" i="32" s="1"/>
  <c r="S254" i="32"/>
  <c r="S222" i="32"/>
  <c r="Y222" i="32" s="1"/>
  <c r="H177" i="32"/>
  <c r="F77" i="5"/>
  <c r="G65" i="5"/>
  <c r="K135" i="32"/>
  <c r="L144" i="32" s="1"/>
  <c r="G54" i="5"/>
  <c r="I180" i="32"/>
  <c r="E138" i="32"/>
  <c r="J381" i="32"/>
  <c r="J413" i="32"/>
  <c r="J414" i="32" s="1"/>
  <c r="J415" i="32" s="1"/>
  <c r="O286" i="32"/>
  <c r="O287" i="32" s="1"/>
  <c r="O288" i="32" s="1"/>
  <c r="K413" i="32"/>
  <c r="R16" i="6"/>
  <c r="H138" i="32"/>
  <c r="G138" i="32"/>
  <c r="M138" i="32" s="1"/>
  <c r="C138" i="32"/>
  <c r="I413" i="32"/>
  <c r="I414" i="32" s="1"/>
  <c r="I415" i="32" s="1"/>
  <c r="D138" i="32"/>
  <c r="D413" i="32"/>
  <c r="D414" i="32" s="1"/>
  <c r="D415" i="32" s="1"/>
  <c r="E26" i="55"/>
  <c r="D286" i="32" s="1"/>
  <c r="P413" i="32"/>
  <c r="F413" i="32"/>
  <c r="F414" i="32" s="1"/>
  <c r="F415" i="32" s="1"/>
  <c r="E413" i="32"/>
  <c r="E414" i="32" s="1"/>
  <c r="E415" i="32" s="1"/>
  <c r="S413" i="32"/>
  <c r="P449" i="32"/>
  <c r="Q449" i="32"/>
  <c r="O449" i="32"/>
  <c r="E107" i="6"/>
  <c r="D60" i="6"/>
  <c r="D61" i="6"/>
  <c r="E63" i="6"/>
  <c r="D29" i="6"/>
  <c r="J180" i="32"/>
  <c r="E29" i="6"/>
  <c r="F180" i="32"/>
  <c r="E17" i="6"/>
  <c r="Q16" i="6"/>
  <c r="C380" i="32"/>
  <c r="J138" i="32"/>
  <c r="J449" i="32"/>
  <c r="N54" i="5"/>
  <c r="K222" i="32" s="1"/>
  <c r="C449" i="32"/>
  <c r="E95" i="6"/>
  <c r="E101" i="6"/>
  <c r="AA14" i="5"/>
  <c r="K447" i="32"/>
  <c r="K444" i="32"/>
  <c r="K221" i="32"/>
  <c r="R10" i="6"/>
  <c r="G444" i="32"/>
  <c r="G449" i="32" s="1"/>
  <c r="K254" i="32"/>
  <c r="AC12" i="5"/>
  <c r="K253" i="32"/>
  <c r="AC8" i="5"/>
  <c r="AA16" i="5"/>
  <c r="W254" i="32"/>
  <c r="W255" i="32" s="1"/>
  <c r="W256" i="32" s="1"/>
  <c r="E66" i="6"/>
  <c r="D62" i="6"/>
  <c r="AC14" i="5"/>
  <c r="AC10" i="5"/>
  <c r="Q413" i="32"/>
  <c r="D65" i="6"/>
  <c r="AC13" i="5"/>
  <c r="AC9" i="5"/>
  <c r="D26" i="55"/>
  <c r="C286" i="32" s="1"/>
  <c r="H449" i="32"/>
  <c r="Q286" i="32"/>
  <c r="Q287" i="32" s="1"/>
  <c r="Q288" i="32" s="1"/>
  <c r="J286" i="32"/>
  <c r="T286" i="32"/>
  <c r="T287" i="32" s="1"/>
  <c r="T288" i="32" s="1"/>
  <c r="H286" i="32"/>
  <c r="G286" i="32"/>
  <c r="F286" i="32"/>
  <c r="E286" i="32"/>
  <c r="V286" i="32"/>
  <c r="V287" i="32" s="1"/>
  <c r="V288" i="32" s="1"/>
  <c r="P286" i="32"/>
  <c r="P287" i="32" s="1"/>
  <c r="P288" i="32" s="1"/>
  <c r="D55" i="6"/>
  <c r="K446" i="32"/>
  <c r="E449" i="32"/>
  <c r="K180" i="32"/>
  <c r="E65" i="6"/>
  <c r="D64" i="6"/>
  <c r="D448" i="32"/>
  <c r="D449" i="32" s="1"/>
  <c r="I444" i="32"/>
  <c r="K380" i="32"/>
  <c r="S286" i="32"/>
  <c r="Y286" i="32" s="1"/>
  <c r="G51" i="47"/>
  <c r="G42" i="47"/>
  <c r="F51" i="47"/>
  <c r="I286" i="32"/>
  <c r="Y380" i="32" l="1"/>
  <c r="H189" i="32"/>
  <c r="I66" i="5"/>
  <c r="T413" i="32"/>
  <c r="T414" i="32" s="1"/>
  <c r="T415" i="32" s="1"/>
  <c r="P223" i="32"/>
  <c r="P224" i="32" s="1"/>
  <c r="E189" i="32"/>
  <c r="S255" i="32"/>
  <c r="Y254" i="32"/>
  <c r="M135" i="32"/>
  <c r="S287" i="32"/>
  <c r="K138" i="32"/>
  <c r="L147" i="32" s="1"/>
  <c r="I382" i="32"/>
  <c r="I383" i="32" s="1"/>
  <c r="AA444" i="32"/>
  <c r="S414" i="32"/>
  <c r="Y413" i="32"/>
  <c r="Y449" i="32"/>
  <c r="G144" i="32"/>
  <c r="L189" i="32"/>
  <c r="V222" i="32"/>
  <c r="V223" i="32" s="1"/>
  <c r="V224" i="32" s="1"/>
  <c r="O78" i="5"/>
  <c r="J222" i="32"/>
  <c r="J223" i="32" s="1"/>
  <c r="J224" i="32" s="1"/>
  <c r="O55" i="5"/>
  <c r="E382" i="32"/>
  <c r="E383" i="32" s="1"/>
  <c r="H144" i="32"/>
  <c r="J189" i="32"/>
  <c r="C143" i="46"/>
  <c r="F73" i="47" s="1"/>
  <c r="O16" i="58"/>
  <c r="D134" i="46"/>
  <c r="D143" i="46"/>
  <c r="G73" i="47" s="1"/>
  <c r="U383" i="32"/>
  <c r="U223" i="32"/>
  <c r="U224" i="32" s="1"/>
  <c r="F147" i="32"/>
  <c r="S223" i="32"/>
  <c r="H287" i="32"/>
  <c r="H288" i="32" s="1"/>
  <c r="D287" i="32"/>
  <c r="D288" i="32" s="1"/>
  <c r="J287" i="32"/>
  <c r="J288" i="32" s="1"/>
  <c r="I223" i="32"/>
  <c r="I224" i="32" s="1"/>
  <c r="J382" i="32"/>
  <c r="J383" i="32" s="1"/>
  <c r="F382" i="32"/>
  <c r="F383" i="32" s="1"/>
  <c r="C287" i="32"/>
  <c r="C288" i="32" s="1"/>
  <c r="G287" i="32"/>
  <c r="G288" i="32" s="1"/>
  <c r="E287" i="32"/>
  <c r="E288" i="32" s="1"/>
  <c r="F287" i="32"/>
  <c r="F288" i="32" s="1"/>
  <c r="I287" i="32"/>
  <c r="I288" i="32" s="1"/>
  <c r="K285" i="32"/>
  <c r="Y15" i="55"/>
  <c r="K320" i="32" s="1"/>
  <c r="H78" i="5"/>
  <c r="F223" i="32"/>
  <c r="F224" i="32" s="1"/>
  <c r="W286" i="32"/>
  <c r="W287" i="32" s="1"/>
  <c r="W288" i="32" s="1"/>
  <c r="L66" i="5"/>
  <c r="K286" i="32"/>
  <c r="K66" i="5"/>
  <c r="T223" i="32"/>
  <c r="T224" i="32" s="1"/>
  <c r="J144" i="32"/>
  <c r="F186" i="32"/>
  <c r="E186" i="32"/>
  <c r="I144" i="32"/>
  <c r="K189" i="32"/>
  <c r="L55" i="5"/>
  <c r="F189" i="32"/>
  <c r="G147" i="32"/>
  <c r="H147" i="32"/>
  <c r="E147" i="32"/>
  <c r="E144" i="32"/>
  <c r="G186" i="32"/>
  <c r="D147" i="32"/>
  <c r="I189" i="32"/>
  <c r="J186" i="32"/>
  <c r="G189" i="32"/>
  <c r="D186" i="32"/>
  <c r="F144" i="32"/>
  <c r="K144" i="32"/>
  <c r="H186" i="32"/>
  <c r="I186" i="32"/>
  <c r="J147" i="32"/>
  <c r="I147" i="32"/>
  <c r="J78" i="5"/>
  <c r="L78" i="5"/>
  <c r="F66" i="5"/>
  <c r="J55" i="5"/>
  <c r="M66" i="5"/>
  <c r="C222" i="32"/>
  <c r="C223" i="32" s="1"/>
  <c r="C224" i="32" s="1"/>
  <c r="M78" i="5"/>
  <c r="H222" i="32"/>
  <c r="H223" i="32" s="1"/>
  <c r="H224" i="32" s="1"/>
  <c r="M55" i="5"/>
  <c r="K55" i="5"/>
  <c r="E222" i="32"/>
  <c r="E223" i="32" s="1"/>
  <c r="E224" i="32" s="1"/>
  <c r="I55" i="5"/>
  <c r="H66" i="5"/>
  <c r="J66" i="5"/>
  <c r="K78" i="5"/>
  <c r="I78" i="5"/>
  <c r="Q222" i="32"/>
  <c r="Q223" i="32" s="1"/>
  <c r="Q224" i="32" s="1"/>
  <c r="G66" i="5"/>
  <c r="N55" i="5"/>
  <c r="G78" i="5"/>
  <c r="O222" i="32"/>
  <c r="O223" i="32" s="1"/>
  <c r="O224" i="32" s="1"/>
  <c r="H55" i="5"/>
  <c r="G55" i="5"/>
  <c r="D222" i="32"/>
  <c r="D223" i="32" s="1"/>
  <c r="D224" i="32" s="1"/>
  <c r="H381" i="32"/>
  <c r="H382" i="32" s="1"/>
  <c r="H383" i="32" s="1"/>
  <c r="K255" i="32"/>
  <c r="K256" i="32" s="1"/>
  <c r="E62" i="6"/>
  <c r="O413" i="32"/>
  <c r="O414" i="32" s="1"/>
  <c r="K449" i="32"/>
  <c r="P383" i="32"/>
  <c r="P414" i="32"/>
  <c r="P415" i="32" s="1"/>
  <c r="D381" i="32"/>
  <c r="D382" i="32" s="1"/>
  <c r="D383" i="32" s="1"/>
  <c r="K223" i="32"/>
  <c r="K224" i="32" s="1"/>
  <c r="Q414" i="32"/>
  <c r="Q415" i="32" s="1"/>
  <c r="N66" i="5"/>
  <c r="V415" i="32"/>
  <c r="W221" i="32"/>
  <c r="K177" i="32"/>
  <c r="D63" i="6"/>
  <c r="D81" i="6"/>
  <c r="G414" i="32"/>
  <c r="G415" i="32" s="1"/>
  <c r="C381" i="32"/>
  <c r="C382" i="32" s="1"/>
  <c r="C383" i="32" s="1"/>
  <c r="E56" i="6"/>
  <c r="I449" i="32"/>
  <c r="K414" i="32"/>
  <c r="V383" i="32"/>
  <c r="C783" i="32"/>
  <c r="C784" i="32" l="1"/>
  <c r="O381" i="32"/>
  <c r="K147" i="32"/>
  <c r="K381" i="32"/>
  <c r="K382" i="32" s="1"/>
  <c r="K383" i="32" s="1"/>
  <c r="S383" i="32"/>
  <c r="S224" i="32"/>
  <c r="Y223" i="32"/>
  <c r="S256" i="32"/>
  <c r="Y255" i="32"/>
  <c r="AA252" i="32"/>
  <c r="S288" i="32"/>
  <c r="Y287" i="32"/>
  <c r="AA411" i="32"/>
  <c r="AA445" i="32"/>
  <c r="K415" i="32"/>
  <c r="S415" i="32"/>
  <c r="Y414" i="32"/>
  <c r="L186" i="32"/>
  <c r="K287" i="32"/>
  <c r="K288" i="32" s="1"/>
  <c r="K186" i="32"/>
  <c r="O415" i="32"/>
  <c r="E68" i="6"/>
  <c r="D68" i="6"/>
  <c r="Q383" i="32"/>
  <c r="W222" i="32"/>
  <c r="N78" i="5"/>
  <c r="T383" i="32"/>
  <c r="W383" i="32"/>
  <c r="W415" i="32"/>
  <c r="G381" i="32"/>
  <c r="G382" i="32" l="1"/>
  <c r="G383" i="32" s="1"/>
  <c r="M381" i="32"/>
  <c r="O382" i="32"/>
  <c r="O383" i="32" s="1"/>
  <c r="Y382" i="32"/>
  <c r="Y381" i="32"/>
  <c r="E18" i="29"/>
  <c r="C134" i="32" s="1"/>
  <c r="D781" i="32"/>
  <c r="F19" i="29"/>
  <c r="W223" i="32"/>
  <c r="AA220" i="32" s="1"/>
  <c r="O783" i="32"/>
  <c r="S9" i="29"/>
  <c r="AA379" i="32" l="1"/>
  <c r="F50" i="29"/>
  <c r="D814" i="32" s="1"/>
  <c r="D813" i="32"/>
  <c r="O784" i="32"/>
  <c r="P783" i="32"/>
  <c r="D783" i="32"/>
  <c r="E781" i="32"/>
  <c r="W224" i="32"/>
  <c r="R383" i="32"/>
  <c r="E33" i="29"/>
  <c r="F59" i="29" l="1"/>
  <c r="F74" i="29"/>
  <c r="F83" i="29" s="1"/>
  <c r="F84" i="29" s="1"/>
  <c r="E42" i="29"/>
  <c r="C176" i="32" s="1"/>
  <c r="O813" i="32"/>
  <c r="E814" i="32"/>
  <c r="E813" i="32"/>
  <c r="P784" i="32"/>
  <c r="D784" i="32"/>
  <c r="Q783" i="32"/>
  <c r="Q784" i="32" s="1"/>
  <c r="F781" i="32"/>
  <c r="E783" i="32"/>
  <c r="E784" i="32" s="1"/>
  <c r="C815" i="32"/>
  <c r="F18" i="29"/>
  <c r="D134" i="32" s="1"/>
  <c r="F33" i="29"/>
  <c r="P814" i="32" l="1"/>
  <c r="Q814" i="32"/>
  <c r="F42" i="29"/>
  <c r="D176" i="32" s="1"/>
  <c r="P813" i="32"/>
  <c r="C816" i="32"/>
  <c r="F783" i="32"/>
  <c r="R783" i="32"/>
  <c r="R784" i="32" s="1"/>
  <c r="G781" i="32"/>
  <c r="D815" i="32"/>
  <c r="D816" i="32" s="1"/>
  <c r="O815" i="32"/>
  <c r="F43" i="29" l="1"/>
  <c r="G814" i="32"/>
  <c r="G813" i="32"/>
  <c r="O816" i="32"/>
  <c r="F784" i="32"/>
  <c r="G783" i="32"/>
  <c r="G784" i="32" s="1"/>
  <c r="H781" i="32"/>
  <c r="S783" i="32"/>
  <c r="D143" i="32"/>
  <c r="H814" i="32" l="1"/>
  <c r="H813" i="32"/>
  <c r="S784" i="32"/>
  <c r="O15" i="58"/>
  <c r="T783" i="32"/>
  <c r="T784" i="32" s="1"/>
  <c r="I781" i="32"/>
  <c r="H783" i="32"/>
  <c r="D185" i="32"/>
  <c r="P815" i="32"/>
  <c r="S814" i="32" l="1"/>
  <c r="T814" i="32"/>
  <c r="I814" i="32"/>
  <c r="I813" i="32"/>
  <c r="P816" i="32"/>
  <c r="H784" i="32"/>
  <c r="K781" i="32"/>
  <c r="U783" i="32"/>
  <c r="U784" i="32" s="1"/>
  <c r="I783" i="32"/>
  <c r="I784" i="32" s="1"/>
  <c r="J781" i="32"/>
  <c r="J814" i="32" l="1"/>
  <c r="J813" i="32"/>
  <c r="K783" i="32"/>
  <c r="V783" i="32"/>
  <c r="W783" i="32"/>
  <c r="J783" i="32"/>
  <c r="U814" i="32" l="1"/>
  <c r="AA780" i="32"/>
  <c r="J784" i="32"/>
  <c r="L813" i="32"/>
  <c r="L781" i="32"/>
  <c r="K784" i="32"/>
  <c r="W784" i="32"/>
  <c r="V784" i="32"/>
  <c r="K814" i="32" l="1"/>
  <c r="K813" i="32"/>
  <c r="V814" i="32"/>
  <c r="L134" i="32"/>
  <c r="L814" i="32"/>
  <c r="L176" i="32" l="1"/>
  <c r="X813" i="32"/>
  <c r="Y782" i="32"/>
  <c r="L815" i="32"/>
  <c r="L816" i="32" s="1"/>
  <c r="Y781" i="32"/>
  <c r="L783" i="32"/>
  <c r="W814" i="32" l="1"/>
  <c r="X814" i="32"/>
  <c r="X815" i="32" s="1"/>
  <c r="X816" i="32" s="1"/>
  <c r="L784" i="32"/>
  <c r="X784" i="32"/>
  <c r="Y783" i="32"/>
  <c r="E129" i="13" l="1"/>
  <c r="F129" i="13"/>
  <c r="M30" i="46" l="1"/>
  <c r="L30" i="46" l="1"/>
  <c r="D20" i="46"/>
  <c r="D72" i="46"/>
  <c r="N13" i="46"/>
  <c r="C25" i="46"/>
  <c r="C24" i="46"/>
  <c r="N12" i="46" l="1"/>
  <c r="M29" i="46"/>
  <c r="D73" i="46"/>
  <c r="D74" i="46" s="1"/>
  <c r="D21" i="46"/>
  <c r="K29" i="46" l="1"/>
  <c r="C20" i="46"/>
  <c r="C72" i="46"/>
  <c r="C41" i="46"/>
  <c r="C73" i="46"/>
  <c r="C21" i="46"/>
  <c r="C42" i="46"/>
  <c r="L29" i="46"/>
  <c r="K30" i="46"/>
  <c r="N16" i="46"/>
  <c r="N17" i="46"/>
  <c r="C74" i="46" l="1"/>
  <c r="D42" i="46"/>
  <c r="D25" i="46"/>
  <c r="D41" i="46"/>
  <c r="D24" i="46"/>
  <c r="Y103" i="32" l="1"/>
  <c r="E37" i="3" l="1"/>
  <c r="F216" i="52"/>
  <c r="E38" i="60"/>
  <c r="F203" i="60"/>
  <c r="E312" i="51"/>
  <c r="F30" i="60"/>
  <c r="E194" i="3"/>
  <c r="F44" i="51"/>
  <c r="F315" i="51"/>
  <c r="F195" i="60"/>
  <c r="F38" i="60"/>
  <c r="F105" i="60" s="1"/>
  <c r="F44" i="3"/>
  <c r="F111" i="3" s="1"/>
  <c r="F201" i="3"/>
  <c r="F38" i="3"/>
  <c r="F105" i="3" s="1"/>
  <c r="F195" i="3"/>
  <c r="F35" i="3"/>
  <c r="F102" i="3" s="1"/>
  <c r="F192" i="3"/>
  <c r="E44" i="51"/>
  <c r="E315" i="51"/>
  <c r="F302" i="51"/>
  <c r="E187" i="60"/>
  <c r="E30" i="60"/>
  <c r="E222" i="52"/>
  <c r="E214" i="52"/>
  <c r="E195" i="3"/>
  <c r="E38" i="3"/>
  <c r="E35" i="3"/>
  <c r="E192" i="3"/>
  <c r="F173" i="52"/>
  <c r="F309" i="51"/>
  <c r="F38" i="51"/>
  <c r="F105" i="51" s="1"/>
  <c r="E308" i="51"/>
  <c r="E37" i="51"/>
  <c r="F305" i="51"/>
  <c r="F34" i="51"/>
  <c r="F101" i="51" s="1"/>
  <c r="F193" i="60"/>
  <c r="F36" i="60"/>
  <c r="F103" i="60" s="1"/>
  <c r="F222" i="52"/>
  <c r="E201" i="3"/>
  <c r="E44" i="3"/>
  <c r="E173" i="52"/>
  <c r="E309" i="51"/>
  <c r="E38" i="51"/>
  <c r="E305" i="51"/>
  <c r="E34" i="51"/>
  <c r="F31" i="60"/>
  <c r="F31" i="51"/>
  <c r="F98" i="51" s="1"/>
  <c r="F97" i="60" l="1"/>
  <c r="F187" i="60"/>
  <c r="F52" i="60" s="1"/>
  <c r="F73" i="60" s="1"/>
  <c r="F213" i="52"/>
  <c r="E172" i="52"/>
  <c r="F208" i="52"/>
  <c r="E195" i="60"/>
  <c r="E60" i="60" s="1"/>
  <c r="E81" i="60" s="1"/>
  <c r="E111" i="3"/>
  <c r="E102" i="3"/>
  <c r="E97" i="60"/>
  <c r="E105" i="3"/>
  <c r="E104" i="3"/>
  <c r="E105" i="60"/>
  <c r="E111" i="51"/>
  <c r="E105" i="51"/>
  <c r="E287" i="51" s="1"/>
  <c r="E104" i="51"/>
  <c r="E286" i="51" s="1"/>
  <c r="E101" i="51"/>
  <c r="E283" i="51" s="1"/>
  <c r="E41" i="51"/>
  <c r="F188" i="60"/>
  <c r="F217" i="52"/>
  <c r="F166" i="52"/>
  <c r="F214" i="52"/>
  <c r="F221" i="52"/>
  <c r="E169" i="52"/>
  <c r="F169" i="52"/>
  <c r="E212" i="52"/>
  <c r="F53" i="51"/>
  <c r="F74" i="51" s="1"/>
  <c r="F215" i="52"/>
  <c r="F46" i="60"/>
  <c r="F113" i="60" s="1"/>
  <c r="E176" i="52"/>
  <c r="F212" i="52"/>
  <c r="F219" i="52"/>
  <c r="F224" i="52"/>
  <c r="F283" i="51"/>
  <c r="F105" i="52"/>
  <c r="F287" i="51"/>
  <c r="F37" i="3"/>
  <c r="F104" i="3" s="1"/>
  <c r="F194" i="3"/>
  <c r="F202" i="60"/>
  <c r="F45" i="60"/>
  <c r="F112" i="60" s="1"/>
  <c r="E196" i="3"/>
  <c r="E39" i="3"/>
  <c r="E200" i="60"/>
  <c r="E43" i="60"/>
  <c r="F123" i="51"/>
  <c r="F144" i="51" s="1"/>
  <c r="F56" i="51"/>
  <c r="F77" i="51" s="1"/>
  <c r="F187" i="3"/>
  <c r="F30" i="3"/>
  <c r="E60" i="3"/>
  <c r="E81" i="3" s="1"/>
  <c r="E127" i="3"/>
  <c r="E187" i="3"/>
  <c r="E30" i="3"/>
  <c r="E36" i="60"/>
  <c r="E193" i="60"/>
  <c r="E219" i="52"/>
  <c r="E201" i="60"/>
  <c r="E44" i="60"/>
  <c r="E44" i="52" s="1"/>
  <c r="E221" i="52"/>
  <c r="E179" i="52"/>
  <c r="F124" i="3"/>
  <c r="F145" i="3" s="1"/>
  <c r="F57" i="3"/>
  <c r="F78" i="3" s="1"/>
  <c r="F191" i="60"/>
  <c r="F34" i="60"/>
  <c r="F101" i="60" s="1"/>
  <c r="F200" i="60"/>
  <c r="F43" i="60"/>
  <c r="F110" i="60" s="1"/>
  <c r="F196" i="60"/>
  <c r="F39" i="60"/>
  <c r="F106" i="60" s="1"/>
  <c r="F192" i="60"/>
  <c r="F35" i="60"/>
  <c r="F102" i="60" s="1"/>
  <c r="E171" i="52"/>
  <c r="E307" i="51"/>
  <c r="E36" i="51"/>
  <c r="E174" i="52"/>
  <c r="E39" i="51"/>
  <c r="E310" i="51"/>
  <c r="F271" i="51"/>
  <c r="F135" i="60"/>
  <c r="F68" i="60"/>
  <c r="E196" i="60"/>
  <c r="E39" i="60"/>
  <c r="E123" i="51"/>
  <c r="E56" i="51"/>
  <c r="E77" i="51" s="1"/>
  <c r="F43" i="3"/>
  <c r="F110" i="3" s="1"/>
  <c r="F200" i="3"/>
  <c r="E66" i="3"/>
  <c r="E87" i="3" s="1"/>
  <c r="E133" i="3"/>
  <c r="F201" i="60"/>
  <c r="F44" i="60"/>
  <c r="F111" i="60" s="1"/>
  <c r="E203" i="60"/>
  <c r="E46" i="60"/>
  <c r="F261" i="51"/>
  <c r="F127" i="51"/>
  <c r="F148" i="51" s="1"/>
  <c r="F60" i="51"/>
  <c r="F81" i="51" s="1"/>
  <c r="F197" i="3"/>
  <c r="F40" i="3"/>
  <c r="F107" i="3" s="1"/>
  <c r="E181" i="52"/>
  <c r="E46" i="51"/>
  <c r="E317" i="51"/>
  <c r="E57" i="3"/>
  <c r="E78" i="3" s="1"/>
  <c r="E124" i="3"/>
  <c r="F198" i="60"/>
  <c r="F41" i="60"/>
  <c r="F108" i="60" s="1"/>
  <c r="E119" i="60"/>
  <c r="E52" i="60"/>
  <c r="E133" i="51"/>
  <c r="E154" i="51" s="1"/>
  <c r="E66" i="51"/>
  <c r="E87" i="51" s="1"/>
  <c r="F45" i="3"/>
  <c r="F112" i="3" s="1"/>
  <c r="F202" i="3"/>
  <c r="E45" i="3"/>
  <c r="E202" i="3"/>
  <c r="E36" i="3"/>
  <c r="E193" i="3"/>
  <c r="F127" i="60"/>
  <c r="F148" i="60" s="1"/>
  <c r="F60" i="60"/>
  <c r="F81" i="60" s="1"/>
  <c r="E223" i="52"/>
  <c r="E213" i="52"/>
  <c r="E217" i="52"/>
  <c r="E178" i="52"/>
  <c r="E314" i="51"/>
  <c r="E43" i="51"/>
  <c r="F179" i="52"/>
  <c r="E202" i="60"/>
  <c r="E45" i="60"/>
  <c r="E59" i="3"/>
  <c r="E80" i="3" s="1"/>
  <c r="E126" i="3"/>
  <c r="E147" i="3" s="1"/>
  <c r="E192" i="60"/>
  <c r="E35" i="60"/>
  <c r="E41" i="60"/>
  <c r="E198" i="60"/>
  <c r="E261" i="51"/>
  <c r="F171" i="52"/>
  <c r="F307" i="51"/>
  <c r="F36" i="51"/>
  <c r="F103" i="51" s="1"/>
  <c r="F178" i="52"/>
  <c r="F43" i="51"/>
  <c r="F110" i="51" s="1"/>
  <c r="F314" i="51"/>
  <c r="E34" i="3"/>
  <c r="E191" i="3"/>
  <c r="F181" i="52"/>
  <c r="F317" i="51"/>
  <c r="F46" i="51"/>
  <c r="E264" i="51"/>
  <c r="F195" i="52"/>
  <c r="E224" i="52"/>
  <c r="E191" i="60"/>
  <c r="E34" i="60"/>
  <c r="E37" i="60"/>
  <c r="E194" i="60"/>
  <c r="E32" i="51"/>
  <c r="E303" i="51"/>
  <c r="F180" i="52"/>
  <c r="F45" i="51"/>
  <c r="F316" i="51"/>
  <c r="F33" i="3"/>
  <c r="F100" i="3" s="1"/>
  <c r="F190" i="3"/>
  <c r="F60" i="3"/>
  <c r="F81" i="3" s="1"/>
  <c r="F127" i="3"/>
  <c r="F148" i="3" s="1"/>
  <c r="F223" i="52"/>
  <c r="F194" i="60"/>
  <c r="F37" i="60"/>
  <c r="F104" i="60" s="1"/>
  <c r="F111" i="51"/>
  <c r="F293" i="51" s="1"/>
  <c r="F133" i="51"/>
  <c r="F66" i="51"/>
  <c r="F87" i="51" s="1"/>
  <c r="E197" i="3"/>
  <c r="E40" i="3"/>
  <c r="E301" i="51"/>
  <c r="E165" i="52"/>
  <c r="E187" i="51"/>
  <c r="E30" i="51"/>
  <c r="F170" i="52"/>
  <c r="F306" i="51"/>
  <c r="F35" i="51"/>
  <c r="F102" i="51" s="1"/>
  <c r="E38" i="52"/>
  <c r="E265" i="51"/>
  <c r="F176" i="52"/>
  <c r="F41" i="51"/>
  <c r="F108" i="51" s="1"/>
  <c r="F312" i="51"/>
  <c r="F58" i="60"/>
  <c r="F79" i="60" s="1"/>
  <c r="F125" i="60"/>
  <c r="F146" i="60" s="1"/>
  <c r="F165" i="52"/>
  <c r="F301" i="51"/>
  <c r="F30" i="51"/>
  <c r="F38" i="52"/>
  <c r="F16" i="52" s="1"/>
  <c r="F265" i="51"/>
  <c r="E311" i="51"/>
  <c r="E40" i="51"/>
  <c r="E180" i="52"/>
  <c r="E316" i="51"/>
  <c r="E45" i="51"/>
  <c r="F191" i="3"/>
  <c r="F34" i="3"/>
  <c r="F101" i="3" s="1"/>
  <c r="E198" i="3"/>
  <c r="E41" i="3"/>
  <c r="E190" i="3"/>
  <c r="E33" i="3"/>
  <c r="F39" i="3"/>
  <c r="F106" i="3" s="1"/>
  <c r="F196" i="3"/>
  <c r="F172" i="52"/>
  <c r="F308" i="51"/>
  <c r="F37" i="51"/>
  <c r="F104" i="51" s="1"/>
  <c r="E271" i="51"/>
  <c r="F133" i="3"/>
  <c r="F154" i="3" s="1"/>
  <c r="F66" i="3"/>
  <c r="F87" i="3" s="1"/>
  <c r="F203" i="3"/>
  <c r="F46" i="3"/>
  <c r="F113" i="3" s="1"/>
  <c r="E42" i="3"/>
  <c r="E199" i="3"/>
  <c r="F32" i="51"/>
  <c r="F303" i="51"/>
  <c r="E170" i="52"/>
  <c r="E306" i="51"/>
  <c r="E35" i="51"/>
  <c r="F36" i="3"/>
  <c r="F103" i="3" s="1"/>
  <c r="F193" i="3"/>
  <c r="F198" i="3"/>
  <c r="F41" i="3"/>
  <c r="F108" i="3" s="1"/>
  <c r="E46" i="3"/>
  <c r="E203" i="3"/>
  <c r="E200" i="3"/>
  <c r="E43" i="3"/>
  <c r="F174" i="52"/>
  <c r="F310" i="51"/>
  <c r="F39" i="51"/>
  <c r="F280" i="51"/>
  <c r="F98" i="60"/>
  <c r="F258" i="51"/>
  <c r="F188" i="3"/>
  <c r="F31" i="3"/>
  <c r="E154" i="3" l="1"/>
  <c r="F119" i="60"/>
  <c r="F140" i="60" s="1"/>
  <c r="F112" i="51"/>
  <c r="F294" i="51" s="1"/>
  <c r="E712" i="32"/>
  <c r="F97" i="51"/>
  <c r="F279" i="51" s="1"/>
  <c r="F113" i="51"/>
  <c r="F295" i="51" s="1"/>
  <c r="F46" i="52"/>
  <c r="F97" i="3"/>
  <c r="E127" i="60"/>
  <c r="E148" i="60" s="1"/>
  <c r="E105" i="52"/>
  <c r="E148" i="3"/>
  <c r="E144" i="51"/>
  <c r="E145" i="3"/>
  <c r="E102" i="60"/>
  <c r="E106" i="60"/>
  <c r="E113" i="3"/>
  <c r="E112" i="3"/>
  <c r="E103" i="60"/>
  <c r="E100" i="3"/>
  <c r="E106" i="3"/>
  <c r="E110" i="3"/>
  <c r="E109" i="3"/>
  <c r="E108" i="3"/>
  <c r="E104" i="60"/>
  <c r="E104" i="52" s="1"/>
  <c r="E73" i="60"/>
  <c r="E97" i="3"/>
  <c r="E110" i="60"/>
  <c r="E208" i="52"/>
  <c r="E112" i="60"/>
  <c r="E107" i="3"/>
  <c r="E101" i="60"/>
  <c r="E101" i="3"/>
  <c r="E108" i="60"/>
  <c r="E103" i="3"/>
  <c r="E140" i="60"/>
  <c r="E113" i="60"/>
  <c r="E111" i="60"/>
  <c r="E111" i="52" s="1"/>
  <c r="E112" i="51"/>
  <c r="E294" i="51" s="1"/>
  <c r="E293" i="51"/>
  <c r="E110" i="51"/>
  <c r="E292" i="51" s="1"/>
  <c r="E108" i="51"/>
  <c r="E290" i="51" s="1"/>
  <c r="E268" i="51"/>
  <c r="E107" i="51"/>
  <c r="E289" i="51" s="1"/>
  <c r="E106" i="51"/>
  <c r="E288" i="51" s="1"/>
  <c r="E102" i="51"/>
  <c r="E284" i="51" s="1"/>
  <c r="E103" i="51"/>
  <c r="E99" i="51"/>
  <c r="E281" i="51" s="1"/>
  <c r="E97" i="51"/>
  <c r="F89" i="60"/>
  <c r="F101" i="52"/>
  <c r="F191" i="52"/>
  <c r="F53" i="60"/>
  <c r="F74" i="60" s="1"/>
  <c r="F120" i="60"/>
  <c r="F141" i="60" s="1"/>
  <c r="F156" i="60"/>
  <c r="E191" i="52"/>
  <c r="E218" i="52"/>
  <c r="F120" i="51"/>
  <c r="F141" i="51" s="1"/>
  <c r="E198" i="52"/>
  <c r="F209" i="52"/>
  <c r="F188" i="52" s="1"/>
  <c r="E41" i="52"/>
  <c r="E63" i="52" s="1"/>
  <c r="F286" i="51"/>
  <c r="F104" i="52"/>
  <c r="F290" i="51"/>
  <c r="F108" i="52"/>
  <c r="F103" i="52"/>
  <c r="F285" i="51"/>
  <c r="F284" i="51"/>
  <c r="F102" i="52"/>
  <c r="E65" i="3"/>
  <c r="E86" i="3" s="1"/>
  <c r="E132" i="3"/>
  <c r="F130" i="3"/>
  <c r="F151" i="3" s="1"/>
  <c r="F63" i="3"/>
  <c r="F84" i="3" s="1"/>
  <c r="F54" i="51"/>
  <c r="F75" i="51" s="1"/>
  <c r="F121" i="51"/>
  <c r="E64" i="3"/>
  <c r="E85" i="3" s="1"/>
  <c r="E131" i="3"/>
  <c r="F135" i="3"/>
  <c r="F156" i="3" s="1"/>
  <c r="F68" i="3"/>
  <c r="F89" i="3" s="1"/>
  <c r="F194" i="52"/>
  <c r="E272" i="51"/>
  <c r="E45" i="52"/>
  <c r="E67" i="52" s="1"/>
  <c r="F187" i="52"/>
  <c r="F198" i="52"/>
  <c r="E16" i="52"/>
  <c r="F192" i="52"/>
  <c r="E52" i="51"/>
  <c r="E119" i="51"/>
  <c r="E62" i="3"/>
  <c r="E83" i="3" s="1"/>
  <c r="E129" i="3"/>
  <c r="E130" i="51"/>
  <c r="E63" i="51"/>
  <c r="E84" i="51" s="1"/>
  <c r="F272" i="51"/>
  <c r="F45" i="52"/>
  <c r="F67" i="52" s="1"/>
  <c r="E121" i="51"/>
  <c r="E54" i="51"/>
  <c r="E75" i="51" s="1"/>
  <c r="E59" i="60"/>
  <c r="E80" i="60" s="1"/>
  <c r="E126" i="60"/>
  <c r="F68" i="51"/>
  <c r="F89" i="51" s="1"/>
  <c r="F135" i="51"/>
  <c r="F270" i="51"/>
  <c r="F43" i="52"/>
  <c r="F125" i="51"/>
  <c r="F146" i="51" s="1"/>
  <c r="F58" i="51"/>
  <c r="F79" i="51" s="1"/>
  <c r="E124" i="60"/>
  <c r="E57" i="60"/>
  <c r="E78" i="60" s="1"/>
  <c r="F201" i="52"/>
  <c r="E132" i="51"/>
  <c r="E65" i="51"/>
  <c r="E86" i="51" s="1"/>
  <c r="E125" i="3"/>
  <c r="E58" i="3"/>
  <c r="E79" i="3" s="1"/>
  <c r="F62" i="3"/>
  <c r="F83" i="3" s="1"/>
  <c r="F129" i="3"/>
  <c r="F150" i="3" s="1"/>
  <c r="F148" i="52"/>
  <c r="F127" i="52" s="1"/>
  <c r="F132" i="3"/>
  <c r="F153" i="3" s="1"/>
  <c r="F65" i="3"/>
  <c r="F86" i="3" s="1"/>
  <c r="E128" i="51"/>
  <c r="E149" i="51" s="1"/>
  <c r="E61" i="51"/>
  <c r="E82" i="51" s="1"/>
  <c r="E193" i="52"/>
  <c r="F61" i="60"/>
  <c r="F82" i="60" s="1"/>
  <c r="F128" i="60"/>
  <c r="F149" i="60" s="1"/>
  <c r="E125" i="60"/>
  <c r="E58" i="60"/>
  <c r="E79" i="60" s="1"/>
  <c r="F119" i="3"/>
  <c r="F52" i="3"/>
  <c r="F73" i="3" s="1"/>
  <c r="E132" i="60"/>
  <c r="E65" i="60"/>
  <c r="E86" i="60" s="1"/>
  <c r="F111" i="52"/>
  <c r="F196" i="52"/>
  <c r="E192" i="52"/>
  <c r="E215" i="52"/>
  <c r="E194" i="52" s="1"/>
  <c r="C749" i="32"/>
  <c r="E22" i="52"/>
  <c r="F126" i="51"/>
  <c r="F147" i="51" s="1"/>
  <c r="F59" i="51"/>
  <c r="F80" i="51" s="1"/>
  <c r="F61" i="3"/>
  <c r="F82" i="3" s="1"/>
  <c r="F128" i="3"/>
  <c r="F149" i="3" s="1"/>
  <c r="E63" i="3"/>
  <c r="E84" i="3" s="1"/>
  <c r="E130" i="3"/>
  <c r="E267" i="51"/>
  <c r="F52" i="51"/>
  <c r="F73" i="51" s="1"/>
  <c r="F119" i="51"/>
  <c r="F130" i="51"/>
  <c r="F151" i="51" s="1"/>
  <c r="F63" i="51"/>
  <c r="F84" i="51" s="1"/>
  <c r="F57" i="51"/>
  <c r="F78" i="51" s="1"/>
  <c r="F124" i="51"/>
  <c r="F145" i="51" s="1"/>
  <c r="E187" i="52"/>
  <c r="F202" i="52"/>
  <c r="F203" i="52"/>
  <c r="F200" i="52"/>
  <c r="F193" i="52"/>
  <c r="E63" i="60"/>
  <c r="E84" i="60" s="1"/>
  <c r="E130" i="60"/>
  <c r="E67" i="60"/>
  <c r="E88" i="60" s="1"/>
  <c r="E134" i="60"/>
  <c r="E200" i="52"/>
  <c r="E113" i="51"/>
  <c r="E273" i="51"/>
  <c r="E46" i="52"/>
  <c r="E68" i="52" s="1"/>
  <c r="E68" i="60"/>
  <c r="E89" i="60" s="1"/>
  <c r="E135" i="60"/>
  <c r="F133" i="60"/>
  <c r="F154" i="60" s="1"/>
  <c r="F66" i="60"/>
  <c r="F87" i="60" s="1"/>
  <c r="F87" i="52" s="1"/>
  <c r="E61" i="60"/>
  <c r="E82" i="60" s="1"/>
  <c r="E128" i="60"/>
  <c r="E149" i="60" s="1"/>
  <c r="E125" i="51"/>
  <c r="E58" i="51"/>
  <c r="E79" i="51" s="1"/>
  <c r="F56" i="60"/>
  <c r="F77" i="60" s="1"/>
  <c r="F123" i="60"/>
  <c r="F144" i="60" s="1"/>
  <c r="E201" i="52"/>
  <c r="E52" i="3"/>
  <c r="E119" i="3"/>
  <c r="E128" i="3"/>
  <c r="E149" i="3" s="1"/>
  <c r="E61" i="3"/>
  <c r="E82" i="3" s="1"/>
  <c r="F39" i="52"/>
  <c r="F61" i="52" s="1"/>
  <c r="F266" i="51"/>
  <c r="F61" i="51"/>
  <c r="F82" i="51" s="1"/>
  <c r="F128" i="51"/>
  <c r="F58" i="3"/>
  <c r="F79" i="3" s="1"/>
  <c r="F125" i="3"/>
  <c r="F146" i="3" s="1"/>
  <c r="E124" i="51"/>
  <c r="E57" i="51"/>
  <c r="E78" i="51" s="1"/>
  <c r="F99" i="51"/>
  <c r="F259" i="51"/>
  <c r="F37" i="52"/>
  <c r="F264" i="51"/>
  <c r="F56" i="3"/>
  <c r="F77" i="3" s="1"/>
  <c r="F123" i="3"/>
  <c r="F144" i="3" s="1"/>
  <c r="E202" i="52"/>
  <c r="E62" i="51"/>
  <c r="E83" i="51" s="1"/>
  <c r="E129" i="51"/>
  <c r="F30" i="52"/>
  <c r="F257" i="51"/>
  <c r="F35" i="52"/>
  <c r="F57" i="52" s="1"/>
  <c r="F262" i="51"/>
  <c r="F154" i="51"/>
  <c r="F112" i="52"/>
  <c r="F134" i="52" s="1"/>
  <c r="F67" i="51"/>
  <c r="F88" i="51" s="1"/>
  <c r="F134" i="51"/>
  <c r="E259" i="51"/>
  <c r="E123" i="60"/>
  <c r="E56" i="60"/>
  <c r="E77" i="60" s="1"/>
  <c r="F273" i="51"/>
  <c r="F110" i="52"/>
  <c r="F292" i="51"/>
  <c r="F65" i="51"/>
  <c r="F86" i="51" s="1"/>
  <c r="F132" i="51"/>
  <c r="F153" i="51" s="1"/>
  <c r="F36" i="52"/>
  <c r="F263" i="51"/>
  <c r="E270" i="51"/>
  <c r="E43" i="52"/>
  <c r="E68" i="51"/>
  <c r="E89" i="51" s="1"/>
  <c r="E135" i="51"/>
  <c r="F34" i="52"/>
  <c r="F44" i="52"/>
  <c r="E266" i="51"/>
  <c r="E39" i="52"/>
  <c r="E61" i="52" s="1"/>
  <c r="E36" i="52"/>
  <c r="E263" i="51"/>
  <c r="F124" i="60"/>
  <c r="F145" i="60" s="1"/>
  <c r="F57" i="60"/>
  <c r="F78" i="60" s="1"/>
  <c r="E133" i="60"/>
  <c r="E66" i="60"/>
  <c r="E87" i="60" s="1"/>
  <c r="E87" i="52" s="1"/>
  <c r="E66" i="52" s="1"/>
  <c r="F134" i="60"/>
  <c r="F155" i="60" s="1"/>
  <c r="F67" i="60"/>
  <c r="F88" i="60" s="1"/>
  <c r="E216" i="52"/>
  <c r="E195" i="52" s="1"/>
  <c r="F106" i="51"/>
  <c r="E135" i="3"/>
  <c r="E68" i="3"/>
  <c r="E89" i="3" s="1"/>
  <c r="E35" i="52"/>
  <c r="E57" i="52" s="1"/>
  <c r="E262" i="51"/>
  <c r="E55" i="3"/>
  <c r="E76" i="3" s="1"/>
  <c r="E122" i="3"/>
  <c r="E143" i="3" s="1"/>
  <c r="E134" i="51"/>
  <c r="E67" i="51"/>
  <c r="E88" i="51" s="1"/>
  <c r="F268" i="51"/>
  <c r="F41" i="52"/>
  <c r="E257" i="51"/>
  <c r="E30" i="52"/>
  <c r="F126" i="60"/>
  <c r="F147" i="60" s="1"/>
  <c r="F59" i="60"/>
  <c r="F80" i="60" s="1"/>
  <c r="F55" i="3"/>
  <c r="F76" i="3" s="1"/>
  <c r="F122" i="3"/>
  <c r="F143" i="3" s="1"/>
  <c r="E37" i="52"/>
  <c r="E123" i="3"/>
  <c r="E56" i="3"/>
  <c r="E77" i="3" s="1"/>
  <c r="E34" i="52"/>
  <c r="E134" i="3"/>
  <c r="E67" i="3"/>
  <c r="E88" i="3" s="1"/>
  <c r="F134" i="3"/>
  <c r="F155" i="3" s="1"/>
  <c r="F67" i="3"/>
  <c r="F88" i="3" s="1"/>
  <c r="F63" i="60"/>
  <c r="F84" i="60" s="1"/>
  <c r="F130" i="60"/>
  <c r="F151" i="60" s="1"/>
  <c r="E203" i="52"/>
  <c r="F81" i="52"/>
  <c r="F60" i="52" s="1"/>
  <c r="E196" i="52"/>
  <c r="F132" i="60"/>
  <c r="F153" i="60" s="1"/>
  <c r="F65" i="60"/>
  <c r="F86" i="60" s="1"/>
  <c r="F59" i="3"/>
  <c r="F80" i="3" s="1"/>
  <c r="F126" i="3"/>
  <c r="F147" i="3" s="1"/>
  <c r="E711" i="32"/>
  <c r="F98" i="3"/>
  <c r="F53" i="3"/>
  <c r="F74" i="3" s="1"/>
  <c r="F120" i="3"/>
  <c r="F31" i="52"/>
  <c r="F155" i="51" l="1"/>
  <c r="E151" i="60"/>
  <c r="E155" i="60"/>
  <c r="F140" i="51"/>
  <c r="F97" i="52"/>
  <c r="F113" i="52"/>
  <c r="E156" i="60"/>
  <c r="F156" i="51"/>
  <c r="F156" i="52" s="1"/>
  <c r="E705" i="32"/>
  <c r="E279" i="51"/>
  <c r="E709" i="32"/>
  <c r="P749" i="32"/>
  <c r="F66" i="52"/>
  <c r="F140" i="3"/>
  <c r="E151" i="3"/>
  <c r="F73" i="52"/>
  <c r="E142" i="51"/>
  <c r="E106" i="52"/>
  <c r="E128" i="52" s="1"/>
  <c r="F82" i="52"/>
  <c r="E156" i="3"/>
  <c r="E154" i="60"/>
  <c r="E154" i="52" s="1"/>
  <c r="E133" i="52" s="1"/>
  <c r="E146" i="3"/>
  <c r="E151" i="51"/>
  <c r="E145" i="51"/>
  <c r="E147" i="60"/>
  <c r="E150" i="3"/>
  <c r="E144" i="60"/>
  <c r="E101" i="52"/>
  <c r="E146" i="60"/>
  <c r="E103" i="52"/>
  <c r="E144" i="3"/>
  <c r="E144" i="52" s="1"/>
  <c r="E155" i="51"/>
  <c r="E153" i="51"/>
  <c r="E97" i="52"/>
  <c r="E150" i="51"/>
  <c r="E145" i="60"/>
  <c r="E108" i="52"/>
  <c r="E78" i="52"/>
  <c r="E285" i="51"/>
  <c r="E152" i="3"/>
  <c r="E110" i="52"/>
  <c r="E112" i="52"/>
  <c r="E134" i="52" s="1"/>
  <c r="E79" i="52"/>
  <c r="E58" i="52" s="1"/>
  <c r="E153" i="60"/>
  <c r="E140" i="3"/>
  <c r="E153" i="3"/>
  <c r="E155" i="3"/>
  <c r="E73" i="3"/>
  <c r="E146" i="51"/>
  <c r="E102" i="52"/>
  <c r="E140" i="51"/>
  <c r="E73" i="51"/>
  <c r="E77" i="52"/>
  <c r="E56" i="52" s="1"/>
  <c r="E156" i="51"/>
  <c r="F144" i="52"/>
  <c r="F123" i="52" s="1"/>
  <c r="F77" i="52"/>
  <c r="F56" i="52" s="1"/>
  <c r="F154" i="52"/>
  <c r="F133" i="52" s="1"/>
  <c r="C746" i="32"/>
  <c r="F199" i="3"/>
  <c r="F42" i="3"/>
  <c r="E197" i="60"/>
  <c r="E175" i="52"/>
  <c r="E40" i="60"/>
  <c r="F175" i="52"/>
  <c r="F40" i="51"/>
  <c r="F311" i="51"/>
  <c r="E19" i="52"/>
  <c r="F89" i="52"/>
  <c r="F141" i="3"/>
  <c r="F141" i="52" s="1"/>
  <c r="E149" i="52"/>
  <c r="O749" i="32"/>
  <c r="E12" i="52"/>
  <c r="E14" i="52"/>
  <c r="C748" i="32"/>
  <c r="E21" i="52"/>
  <c r="F14" i="52"/>
  <c r="F88" i="52"/>
  <c r="P711" i="32" s="1"/>
  <c r="Q709" i="32"/>
  <c r="F281" i="51"/>
  <c r="F78" i="52"/>
  <c r="F151" i="52"/>
  <c r="F130" i="52" s="1"/>
  <c r="E59" i="51"/>
  <c r="E80" i="51" s="1"/>
  <c r="E80" i="52" s="1"/>
  <c r="E59" i="52" s="1"/>
  <c r="E126" i="51"/>
  <c r="E147" i="51" s="1"/>
  <c r="C711" i="32"/>
  <c r="E23" i="52"/>
  <c r="E86" i="52"/>
  <c r="E65" i="52" s="1"/>
  <c r="E15" i="52"/>
  <c r="E8" i="52"/>
  <c r="C705" i="32"/>
  <c r="F19" i="52"/>
  <c r="D746" i="32"/>
  <c r="E17" i="52"/>
  <c r="C709" i="32"/>
  <c r="E89" i="52"/>
  <c r="F153" i="52"/>
  <c r="F132" i="52" s="1"/>
  <c r="D712" i="32"/>
  <c r="F24" i="52"/>
  <c r="F15" i="52"/>
  <c r="D709" i="32"/>
  <c r="F17" i="52"/>
  <c r="E295" i="51"/>
  <c r="E113" i="52"/>
  <c r="E135" i="52" s="1"/>
  <c r="F80" i="52"/>
  <c r="F59" i="52" s="1"/>
  <c r="E82" i="52"/>
  <c r="F79" i="52"/>
  <c r="F58" i="52" s="1"/>
  <c r="E166" i="52"/>
  <c r="E88" i="52"/>
  <c r="F288" i="51"/>
  <c r="F106" i="52"/>
  <c r="F128" i="52" s="1"/>
  <c r="E60" i="51"/>
  <c r="E81" i="51" s="1"/>
  <c r="E81" i="52" s="1"/>
  <c r="E60" i="52" s="1"/>
  <c r="E127" i="51"/>
  <c r="E148" i="51" s="1"/>
  <c r="E148" i="52" s="1"/>
  <c r="E127" i="52" s="1"/>
  <c r="D705" i="32"/>
  <c r="F8" i="52"/>
  <c r="F149" i="51"/>
  <c r="F149" i="52" s="1"/>
  <c r="F147" i="52"/>
  <c r="F126" i="52" s="1"/>
  <c r="F86" i="52"/>
  <c r="F65" i="52" s="1"/>
  <c r="F146" i="52"/>
  <c r="F125" i="52" s="1"/>
  <c r="D711" i="32"/>
  <c r="F23" i="52"/>
  <c r="E84" i="52"/>
  <c r="F142" i="51"/>
  <c r="E13" i="52"/>
  <c r="D749" i="32"/>
  <c r="F22" i="52"/>
  <c r="F12" i="52"/>
  <c r="F155" i="52"/>
  <c r="F13" i="52"/>
  <c r="E24" i="52"/>
  <c r="C712" i="32"/>
  <c r="F145" i="52"/>
  <c r="F124" i="52" s="1"/>
  <c r="F84" i="52"/>
  <c r="D748" i="32"/>
  <c r="F21" i="52"/>
  <c r="E151" i="52"/>
  <c r="E746" i="32"/>
  <c r="E302" i="51"/>
  <c r="E31" i="51"/>
  <c r="D706" i="32"/>
  <c r="F9" i="52"/>
  <c r="F98" i="52"/>
  <c r="E31" i="60"/>
  <c r="E188" i="60"/>
  <c r="F74" i="52"/>
  <c r="F53" i="52" s="1"/>
  <c r="E147" i="52" l="1"/>
  <c r="E126" i="52" s="1"/>
  <c r="E130" i="52"/>
  <c r="E156" i="52"/>
  <c r="F135" i="52"/>
  <c r="F140" i="52"/>
  <c r="F119" i="52" s="1"/>
  <c r="E123" i="52"/>
  <c r="F120" i="52"/>
  <c r="P712" i="32"/>
  <c r="F68" i="52"/>
  <c r="P746" i="32"/>
  <c r="F63" i="52"/>
  <c r="F52" i="52"/>
  <c r="P705" i="32"/>
  <c r="E145" i="52"/>
  <c r="E124" i="52" s="1"/>
  <c r="E146" i="52"/>
  <c r="E125" i="52" s="1"/>
  <c r="E140" i="52"/>
  <c r="E153" i="52"/>
  <c r="E132" i="52" s="1"/>
  <c r="E155" i="52"/>
  <c r="F109" i="3"/>
  <c r="E73" i="52"/>
  <c r="O746" i="32"/>
  <c r="E98" i="51"/>
  <c r="E280" i="51" s="1"/>
  <c r="F64" i="3"/>
  <c r="F85" i="3" s="1"/>
  <c r="F131" i="3"/>
  <c r="E107" i="60"/>
  <c r="E107" i="52" s="1"/>
  <c r="E40" i="52"/>
  <c r="E197" i="52"/>
  <c r="E62" i="60"/>
  <c r="E83" i="60" s="1"/>
  <c r="E83" i="52" s="1"/>
  <c r="E129" i="60"/>
  <c r="F107" i="51"/>
  <c r="F267" i="51"/>
  <c r="F218" i="52"/>
  <c r="F197" i="60"/>
  <c r="F40" i="60"/>
  <c r="F107" i="60" s="1"/>
  <c r="E31" i="3"/>
  <c r="E188" i="3"/>
  <c r="E120" i="3" s="1"/>
  <c r="P748" i="32"/>
  <c r="O748" i="32"/>
  <c r="E42" i="51"/>
  <c r="E313" i="51"/>
  <c r="E304" i="51"/>
  <c r="E33" i="51"/>
  <c r="Q712" i="32"/>
  <c r="Q746" i="32"/>
  <c r="Q711" i="32"/>
  <c r="P706" i="32"/>
  <c r="E258" i="51"/>
  <c r="E53" i="60"/>
  <c r="E74" i="60" s="1"/>
  <c r="E120" i="60"/>
  <c r="E98" i="60"/>
  <c r="E48" i="51" l="1"/>
  <c r="E52" i="52"/>
  <c r="F705" i="32"/>
  <c r="F197" i="52"/>
  <c r="E62" i="52"/>
  <c r="E31" i="52"/>
  <c r="C706" i="32" s="1"/>
  <c r="E119" i="52"/>
  <c r="O705" i="32"/>
  <c r="F152" i="3"/>
  <c r="E98" i="3"/>
  <c r="O745" i="32"/>
  <c r="E167" i="52"/>
  <c r="E32" i="3"/>
  <c r="E48" i="3" s="1"/>
  <c r="E189" i="3"/>
  <c r="E318" i="51"/>
  <c r="E53" i="3"/>
  <c r="E74" i="3" s="1"/>
  <c r="E748" i="32"/>
  <c r="F40" i="52"/>
  <c r="E150" i="60"/>
  <c r="E150" i="52" s="1"/>
  <c r="E129" i="52" s="1"/>
  <c r="E18" i="52"/>
  <c r="C745" i="32"/>
  <c r="F289" i="51"/>
  <c r="F107" i="52"/>
  <c r="F129" i="51"/>
  <c r="F150" i="51" s="1"/>
  <c r="F62" i="51"/>
  <c r="F83" i="51" s="1"/>
  <c r="F62" i="60"/>
  <c r="F83" i="60" s="1"/>
  <c r="F129" i="60"/>
  <c r="F150" i="60" s="1"/>
  <c r="E199" i="60"/>
  <c r="E42" i="60"/>
  <c r="E100" i="51"/>
  <c r="E260" i="51"/>
  <c r="F42" i="51"/>
  <c r="F313" i="51"/>
  <c r="E269" i="51"/>
  <c r="E33" i="60"/>
  <c r="F33" i="51"/>
  <c r="F304" i="51"/>
  <c r="E168" i="52"/>
  <c r="E109" i="51"/>
  <c r="E177" i="52"/>
  <c r="E141" i="60"/>
  <c r="E209" i="52"/>
  <c r="F168" i="52"/>
  <c r="F109" i="51" l="1"/>
  <c r="F48" i="51"/>
  <c r="D671" i="32" s="1"/>
  <c r="E115" i="51"/>
  <c r="D745" i="32"/>
  <c r="E9" i="52"/>
  <c r="E183" i="52"/>
  <c r="E141" i="3"/>
  <c r="E98" i="52"/>
  <c r="E210" i="52"/>
  <c r="E189" i="52" s="1"/>
  <c r="F184" i="51"/>
  <c r="E109" i="60"/>
  <c r="E109" i="52" s="1"/>
  <c r="C640" i="32" s="1"/>
  <c r="E99" i="3"/>
  <c r="E189" i="60"/>
  <c r="E32" i="60"/>
  <c r="E54" i="3"/>
  <c r="E75" i="3" s="1"/>
  <c r="E91" i="3" s="1"/>
  <c r="E121" i="3"/>
  <c r="F32" i="3"/>
  <c r="F48" i="3" s="1"/>
  <c r="D672" i="32" s="1"/>
  <c r="F18" i="52"/>
  <c r="F83" i="52"/>
  <c r="F62" i="52" s="1"/>
  <c r="F150" i="52"/>
  <c r="F129" i="52" s="1"/>
  <c r="F318" i="51"/>
  <c r="E42" i="52"/>
  <c r="E274" i="51"/>
  <c r="F55" i="51"/>
  <c r="F76" i="51" s="1"/>
  <c r="F122" i="51"/>
  <c r="E220" i="52"/>
  <c r="F100" i="51"/>
  <c r="F115" i="51" s="1"/>
  <c r="F260" i="51"/>
  <c r="E100" i="60"/>
  <c r="F199" i="60"/>
  <c r="F42" i="60"/>
  <c r="F109" i="60" s="1"/>
  <c r="F109" i="52" s="1"/>
  <c r="D640" i="32" s="1"/>
  <c r="E190" i="60"/>
  <c r="F177" i="52"/>
  <c r="E282" i="51"/>
  <c r="F269" i="51"/>
  <c r="E211" i="52"/>
  <c r="E190" i="52" s="1"/>
  <c r="E33" i="52"/>
  <c r="E64" i="60"/>
  <c r="E85" i="60" s="1"/>
  <c r="E131" i="60"/>
  <c r="F33" i="60"/>
  <c r="F33" i="52" s="1"/>
  <c r="E291" i="51"/>
  <c r="E122" i="51"/>
  <c r="E143" i="51" s="1"/>
  <c r="E55" i="51"/>
  <c r="E76" i="51" s="1"/>
  <c r="F291" i="51"/>
  <c r="Q748" i="32"/>
  <c r="E53" i="51"/>
  <c r="E120" i="51"/>
  <c r="E188" i="52"/>
  <c r="E20" i="52" l="1"/>
  <c r="E64" i="52"/>
  <c r="E74" i="51"/>
  <c r="E74" i="52" s="1"/>
  <c r="E53" i="52" s="1"/>
  <c r="E141" i="51"/>
  <c r="E141" i="52" s="1"/>
  <c r="E120" i="52" s="1"/>
  <c r="E48" i="60"/>
  <c r="E226" i="52"/>
  <c r="F189" i="3"/>
  <c r="F121" i="3" s="1"/>
  <c r="E157" i="51"/>
  <c r="F227" i="51"/>
  <c r="E115" i="3"/>
  <c r="E47" i="52"/>
  <c r="F157" i="51"/>
  <c r="F184" i="60"/>
  <c r="E152" i="60"/>
  <c r="E32" i="52"/>
  <c r="E48" i="52" s="1"/>
  <c r="E142" i="3"/>
  <c r="F99" i="3"/>
  <c r="F115" i="3" s="1"/>
  <c r="E54" i="60"/>
  <c r="E75" i="60" s="1"/>
  <c r="E121" i="60"/>
  <c r="C672" i="32"/>
  <c r="F184" i="3"/>
  <c r="E99" i="60"/>
  <c r="E115" i="60" s="1"/>
  <c r="O672" i="32"/>
  <c r="F167" i="52"/>
  <c r="F183" i="52" s="1"/>
  <c r="F189" i="60"/>
  <c r="F32" i="60"/>
  <c r="F48" i="60" s="1"/>
  <c r="D673" i="32" s="1"/>
  <c r="D674" i="32" s="1"/>
  <c r="F210" i="52"/>
  <c r="P745" i="32"/>
  <c r="C639" i="32"/>
  <c r="C710" i="32"/>
  <c r="C747" i="32"/>
  <c r="C750" i="32" s="1"/>
  <c r="E100" i="52"/>
  <c r="F42" i="52"/>
  <c r="D639" i="32" s="1"/>
  <c r="E199" i="52"/>
  <c r="F11" i="52"/>
  <c r="D708" i="32"/>
  <c r="E296" i="51"/>
  <c r="F282" i="51"/>
  <c r="F116" i="51"/>
  <c r="E11" i="52"/>
  <c r="C708" i="32"/>
  <c r="F143" i="51"/>
  <c r="F220" i="52"/>
  <c r="F199" i="52" s="1"/>
  <c r="F190" i="60"/>
  <c r="E131" i="51"/>
  <c r="E152" i="51" s="1"/>
  <c r="E64" i="51"/>
  <c r="E85" i="51" s="1"/>
  <c r="E85" i="52" s="1"/>
  <c r="F131" i="60"/>
  <c r="F152" i="60" s="1"/>
  <c r="F64" i="60"/>
  <c r="F85" i="60" s="1"/>
  <c r="F100" i="60"/>
  <c r="F211" i="52"/>
  <c r="E122" i="60"/>
  <c r="E143" i="60" s="1"/>
  <c r="E55" i="60"/>
  <c r="E76" i="60" s="1"/>
  <c r="C673" i="32"/>
  <c r="F274" i="51"/>
  <c r="D675" i="32" l="1"/>
  <c r="F226" i="52"/>
  <c r="C713" i="32"/>
  <c r="E69" i="52"/>
  <c r="E91" i="51"/>
  <c r="D641" i="32"/>
  <c r="D642" i="32" s="1"/>
  <c r="E158" i="51"/>
  <c r="F99" i="60"/>
  <c r="F115" i="60" s="1"/>
  <c r="E99" i="52"/>
  <c r="E91" i="60"/>
  <c r="O673" i="32" s="1"/>
  <c r="E157" i="60"/>
  <c r="F54" i="3"/>
  <c r="F75" i="3" s="1"/>
  <c r="F91" i="3" s="1"/>
  <c r="F49" i="3"/>
  <c r="E157" i="3"/>
  <c r="E158" i="3" s="1"/>
  <c r="C707" i="32"/>
  <c r="C714" i="32" s="1"/>
  <c r="E25" i="52"/>
  <c r="E75" i="52"/>
  <c r="E10" i="52"/>
  <c r="E114" i="52"/>
  <c r="E152" i="52"/>
  <c r="E131" i="52" s="1"/>
  <c r="F296" i="51"/>
  <c r="F184" i="52"/>
  <c r="C641" i="32"/>
  <c r="C642" i="32" s="1"/>
  <c r="F32" i="52"/>
  <c r="F48" i="52" s="1"/>
  <c r="F142" i="3"/>
  <c r="F121" i="60"/>
  <c r="F142" i="60" s="1"/>
  <c r="F54" i="60"/>
  <c r="F75" i="60" s="1"/>
  <c r="F227" i="3"/>
  <c r="F189" i="52"/>
  <c r="E142" i="60"/>
  <c r="D710" i="32"/>
  <c r="D747" i="32"/>
  <c r="D750" i="32" s="1"/>
  <c r="F20" i="52"/>
  <c r="F49" i="60"/>
  <c r="F190" i="52"/>
  <c r="F122" i="60"/>
  <c r="F143" i="60" s="1"/>
  <c r="F55" i="60"/>
  <c r="F76" i="60" s="1"/>
  <c r="O747" i="32"/>
  <c r="O750" i="32" s="1"/>
  <c r="O710" i="32"/>
  <c r="O639" i="32"/>
  <c r="F100" i="52"/>
  <c r="F64" i="51"/>
  <c r="F85" i="51" s="1"/>
  <c r="F91" i="51" s="1"/>
  <c r="F131" i="51"/>
  <c r="F152" i="51" s="1"/>
  <c r="F152" i="52" s="1"/>
  <c r="F131" i="52" s="1"/>
  <c r="E143" i="52"/>
  <c r="E122" i="52" s="1"/>
  <c r="F227" i="60"/>
  <c r="E76" i="52"/>
  <c r="E55" i="52" s="1"/>
  <c r="O706" i="32"/>
  <c r="F99" i="52" l="1"/>
  <c r="E115" i="52"/>
  <c r="C608" i="32" s="1"/>
  <c r="E136" i="52"/>
  <c r="O707" i="32"/>
  <c r="E54" i="52"/>
  <c r="F91" i="60"/>
  <c r="F157" i="60"/>
  <c r="F158" i="60" s="1"/>
  <c r="O640" i="32"/>
  <c r="O641" i="32" s="1"/>
  <c r="O642" i="32" s="1"/>
  <c r="C132" i="32"/>
  <c r="E26" i="52"/>
  <c r="E157" i="52"/>
  <c r="F157" i="3"/>
  <c r="F158" i="3" s="1"/>
  <c r="F159" i="3" s="1"/>
  <c r="F116" i="3"/>
  <c r="C607" i="32"/>
  <c r="E91" i="52"/>
  <c r="E142" i="52"/>
  <c r="E121" i="52" s="1"/>
  <c r="E158" i="60"/>
  <c r="F26" i="52"/>
  <c r="F75" i="52"/>
  <c r="F158" i="51"/>
  <c r="F159" i="51" s="1"/>
  <c r="F114" i="52"/>
  <c r="F136" i="52" s="1"/>
  <c r="F142" i="52"/>
  <c r="F121" i="52" s="1"/>
  <c r="E229" i="51"/>
  <c r="F10" i="52"/>
  <c r="D707" i="32"/>
  <c r="D714" i="32" s="1"/>
  <c r="F116" i="60"/>
  <c r="P672" i="32"/>
  <c r="F92" i="3"/>
  <c r="O671" i="32"/>
  <c r="F143" i="52"/>
  <c r="F122" i="52" s="1"/>
  <c r="P640" i="32"/>
  <c r="F85" i="52"/>
  <c r="F64" i="52" s="1"/>
  <c r="F227" i="52"/>
  <c r="O708" i="32"/>
  <c r="F76" i="52"/>
  <c r="F55" i="52" s="1"/>
  <c r="O714" i="32" l="1"/>
  <c r="C609" i="32"/>
  <c r="C610" i="32" s="1"/>
  <c r="F115" i="52"/>
  <c r="D608" i="32" s="1"/>
  <c r="O674" i="32"/>
  <c r="D715" i="32"/>
  <c r="P707" i="32"/>
  <c r="F54" i="52"/>
  <c r="F91" i="52"/>
  <c r="F157" i="52"/>
  <c r="D607" i="32"/>
  <c r="D132" i="32"/>
  <c r="D141" i="32" s="1"/>
  <c r="F49" i="52"/>
  <c r="F25" i="52"/>
  <c r="E158" i="52"/>
  <c r="O607" i="32"/>
  <c r="C174" i="32"/>
  <c r="O13" i="58" s="1"/>
  <c r="F159" i="60"/>
  <c r="P708" i="32"/>
  <c r="P671" i="32"/>
  <c r="F229" i="51"/>
  <c r="F92" i="51"/>
  <c r="P673" i="32"/>
  <c r="F92" i="60"/>
  <c r="P747" i="32"/>
  <c r="P750" i="32" s="1"/>
  <c r="P710" i="32"/>
  <c r="P639" i="32"/>
  <c r="F116" i="52" l="1"/>
  <c r="P714" i="32"/>
  <c r="O675" i="32"/>
  <c r="F158" i="52"/>
  <c r="P608" i="32" s="1"/>
  <c r="D609" i="32"/>
  <c r="D610" i="32" s="1"/>
  <c r="O608" i="32"/>
  <c r="O609" i="32" s="1"/>
  <c r="O610" i="32" s="1"/>
  <c r="P641" i="32"/>
  <c r="P642" i="32" s="1"/>
  <c r="E707" i="32"/>
  <c r="P674" i="32"/>
  <c r="P607" i="32"/>
  <c r="D174" i="32"/>
  <c r="F92" i="52"/>
  <c r="E749" i="32" l="1"/>
  <c r="F159" i="52"/>
  <c r="E708" i="32"/>
  <c r="P675" i="32"/>
  <c r="P715" i="32"/>
  <c r="P609" i="32"/>
  <c r="P610" i="32" s="1"/>
  <c r="D183" i="32"/>
  <c r="E745" i="32"/>
  <c r="Q749" i="32"/>
  <c r="E672" i="32"/>
  <c r="E673" i="32"/>
  <c r="E671" i="32" l="1"/>
  <c r="E674" i="32" s="1"/>
  <c r="E706" i="32"/>
  <c r="G49" i="60"/>
  <c r="Q707" i="32"/>
  <c r="Q708" i="32"/>
  <c r="E675" i="32" l="1"/>
  <c r="E639" i="32"/>
  <c r="E710" i="32"/>
  <c r="E714" i="32" s="1"/>
  <c r="Q673" i="32"/>
  <c r="E640" i="32"/>
  <c r="G49" i="3"/>
  <c r="Q706" i="32"/>
  <c r="E747" i="32"/>
  <c r="E641" i="32" l="1"/>
  <c r="E642" i="32" s="1"/>
  <c r="E715" i="32"/>
  <c r="Q672" i="32"/>
  <c r="Q671" i="32"/>
  <c r="E132" i="32"/>
  <c r="E607" i="32"/>
  <c r="E750" i="32"/>
  <c r="Q747" i="32"/>
  <c r="Q745" i="32"/>
  <c r="Q639" i="32"/>
  <c r="Q710" i="32"/>
  <c r="G92" i="51" l="1"/>
  <c r="Q674" i="32"/>
  <c r="Q675" i="32" s="1"/>
  <c r="E608" i="32"/>
  <c r="E609" i="32" s="1"/>
  <c r="E610" i="32" s="1"/>
  <c r="Q705" i="32"/>
  <c r="Q640" i="32"/>
  <c r="Q641" i="32" s="1"/>
  <c r="Q642" i="32" s="1"/>
  <c r="G92" i="3"/>
  <c r="Q750" i="32"/>
  <c r="E141" i="32"/>
  <c r="Q607" i="32" l="1"/>
  <c r="E174" i="32"/>
  <c r="E183" i="32" s="1"/>
  <c r="Q714" i="32"/>
  <c r="Q715" i="32" s="1"/>
  <c r="Q608" i="32"/>
  <c r="Q609" i="32" l="1"/>
  <c r="Q610" i="32" s="1"/>
  <c r="E134" i="32" l="1"/>
  <c r="E815" i="32" l="1"/>
  <c r="E176" i="32" l="1"/>
  <c r="Q813" i="32"/>
  <c r="E816" i="32"/>
  <c r="G43" i="29" l="1"/>
  <c r="Q815" i="32"/>
  <c r="E143" i="32"/>
  <c r="Q816" i="32" l="1"/>
  <c r="E185" i="32" l="1"/>
  <c r="F712" i="32" l="1"/>
  <c r="F707" i="32" l="1"/>
  <c r="F746" i="32" l="1"/>
  <c r="F711" i="32"/>
  <c r="F709" i="32" l="1"/>
  <c r="F639" i="32"/>
  <c r="F745" i="32"/>
  <c r="F749" i="32"/>
  <c r="F748" i="32"/>
  <c r="R709" i="32"/>
  <c r="F708" i="32" l="1"/>
  <c r="F710" i="32"/>
  <c r="F640" i="32"/>
  <c r="F641" i="32" s="1"/>
  <c r="F642" i="32" s="1"/>
  <c r="F747" i="32"/>
  <c r="F750" i="32" s="1"/>
  <c r="F671" i="32"/>
  <c r="G673" i="32"/>
  <c r="F672" i="32"/>
  <c r="F673" i="32"/>
  <c r="F674" i="32" l="1"/>
  <c r="H673" i="32"/>
  <c r="F675" i="32" l="1"/>
  <c r="F706" i="32"/>
  <c r="F714" i="32" s="1"/>
  <c r="H49" i="60"/>
  <c r="I49" i="60"/>
  <c r="H49" i="3"/>
  <c r="I673" i="32"/>
  <c r="J49" i="60" l="1"/>
  <c r="F132" i="32"/>
  <c r="F607" i="32"/>
  <c r="J673" i="32"/>
  <c r="F608" i="32" l="1"/>
  <c r="F609" i="32" s="1"/>
  <c r="F610" i="32" s="1"/>
  <c r="K673" i="32"/>
  <c r="F141" i="32"/>
  <c r="K49" i="60"/>
  <c r="F715" i="32"/>
  <c r="L49" i="60"/>
  <c r="F134" i="32" l="1"/>
  <c r="N49" i="60" l="1"/>
  <c r="F815" i="32"/>
  <c r="F816" i="32" s="1"/>
  <c r="G134" i="32"/>
  <c r="M49" i="60"/>
  <c r="F176" i="32" l="1"/>
  <c r="R813" i="32"/>
  <c r="G815" i="32"/>
  <c r="G816" i="32" s="1"/>
  <c r="H134" i="32"/>
  <c r="H43" i="29" l="1"/>
  <c r="G176" i="32"/>
  <c r="S813" i="32"/>
  <c r="Y813" i="32" s="1"/>
  <c r="R815" i="32"/>
  <c r="R816" i="32" s="1"/>
  <c r="I134" i="32"/>
  <c r="I43" i="29"/>
  <c r="H815" i="32"/>
  <c r="H816" i="32" s="1"/>
  <c r="Y814" i="32"/>
  <c r="H176" i="32" l="1"/>
  <c r="T813" i="32"/>
  <c r="J134" i="32"/>
  <c r="F185" i="32"/>
  <c r="H143" i="32"/>
  <c r="M134" i="32"/>
  <c r="S815" i="32"/>
  <c r="I815" i="32"/>
  <c r="I816" i="32" s="1"/>
  <c r="I176" i="32" l="1"/>
  <c r="U813" i="32"/>
  <c r="J815" i="32"/>
  <c r="J816" i="32" s="1"/>
  <c r="K134" i="32"/>
  <c r="S816" i="32"/>
  <c r="Y815" i="32"/>
  <c r="T815" i="32"/>
  <c r="T816" i="32" s="1"/>
  <c r="J43" i="29"/>
  <c r="J143" i="32"/>
  <c r="K43" i="29" l="1"/>
  <c r="J176" i="32"/>
  <c r="V813" i="32"/>
  <c r="K815" i="32"/>
  <c r="U815" i="32"/>
  <c r="U816" i="32" s="1"/>
  <c r="I143" i="32"/>
  <c r="W813" i="32"/>
  <c r="G185" i="32"/>
  <c r="H185" i="32"/>
  <c r="L43" i="29" l="1"/>
  <c r="K176" i="32"/>
  <c r="K816" i="32"/>
  <c r="F143" i="32"/>
  <c r="G143" i="32"/>
  <c r="V815" i="32"/>
  <c r="V816" i="32" s="1"/>
  <c r="I185" i="32"/>
  <c r="L143" i="32"/>
  <c r="M43" i="29" l="1"/>
  <c r="N43" i="29"/>
  <c r="K143" i="32"/>
  <c r="W815" i="32"/>
  <c r="AA812" i="32" s="1"/>
  <c r="J185" i="32" l="1"/>
  <c r="W816" i="32"/>
  <c r="L185" i="32" l="1"/>
  <c r="M176" i="32"/>
  <c r="K185" i="32"/>
  <c r="R747" i="32" l="1"/>
  <c r="R748" i="32"/>
  <c r="R749" i="32" l="1"/>
  <c r="R711" i="32" l="1"/>
  <c r="R712" i="32"/>
  <c r="R639" i="32" l="1"/>
  <c r="R710" i="32"/>
  <c r="R745" i="32"/>
  <c r="R640" i="32"/>
  <c r="R641" i="32" s="1"/>
  <c r="R746" i="32"/>
  <c r="R750" i="32" l="1"/>
  <c r="R708" i="32"/>
  <c r="R642" i="32"/>
  <c r="R705" i="32"/>
  <c r="R671" i="32"/>
  <c r="R707" i="32" l="1"/>
  <c r="S713" i="32"/>
  <c r="H92" i="51"/>
  <c r="R672" i="32"/>
  <c r="I92" i="60" l="1"/>
  <c r="R673" i="32"/>
  <c r="R674" i="32" s="1"/>
  <c r="S673" i="32"/>
  <c r="Y673" i="32" s="1"/>
  <c r="J92" i="60"/>
  <c r="H92" i="60"/>
  <c r="R706" i="32"/>
  <c r="R714" i="32" s="1"/>
  <c r="R675" i="32" l="1"/>
  <c r="T673" i="32"/>
  <c r="H92" i="3"/>
  <c r="K92" i="60"/>
  <c r="N92" i="60" l="1"/>
  <c r="W673" i="32"/>
  <c r="U673" i="32"/>
  <c r="R608" i="32"/>
  <c r="F174" i="32"/>
  <c r="R607" i="32"/>
  <c r="R609" i="32" l="1"/>
  <c r="R610" i="32" s="1"/>
  <c r="F183" i="32"/>
  <c r="M92" i="60" l="1"/>
  <c r="V673" i="32"/>
  <c r="L92" i="60"/>
  <c r="Y55" i="32" l="1"/>
  <c r="Y29" i="32"/>
  <c r="H709" i="32" l="1"/>
  <c r="G709" i="32"/>
  <c r="G712" i="32"/>
  <c r="G711" i="32"/>
  <c r="I711" i="32" l="1"/>
  <c r="H711" i="32"/>
  <c r="H712" i="32" l="1"/>
  <c r="J709" i="32"/>
  <c r="I709" i="32"/>
  <c r="J711" i="32"/>
  <c r="G705" i="32" l="1"/>
  <c r="I712" i="32"/>
  <c r="K711" i="32"/>
  <c r="J712" i="32" l="1"/>
  <c r="L711" i="32"/>
  <c r="K712" i="32" l="1"/>
  <c r="H705" i="32"/>
  <c r="L712" i="32" l="1"/>
  <c r="I705" i="32" l="1"/>
  <c r="J705" i="32"/>
  <c r="L705" i="32" l="1"/>
  <c r="K705" i="32"/>
  <c r="G707" i="32" l="1"/>
  <c r="K709" i="32" l="1"/>
  <c r="H707" i="32" l="1"/>
  <c r="L709" i="32"/>
  <c r="I707" i="32"/>
  <c r="J707" i="32" l="1"/>
  <c r="K707" i="32"/>
  <c r="L707" i="32" l="1"/>
  <c r="G746" i="32" l="1"/>
  <c r="G708" i="32" l="1"/>
  <c r="G749" i="32"/>
  <c r="J749" i="32"/>
  <c r="I749" i="32"/>
  <c r="H746" i="32"/>
  <c r="H749" i="32"/>
  <c r="G748" i="32" l="1"/>
  <c r="H748" i="32"/>
  <c r="I746" i="32"/>
  <c r="H708" i="32" l="1"/>
  <c r="J746" i="32"/>
  <c r="K749" i="32"/>
  <c r="I748" i="32"/>
  <c r="K746" i="32"/>
  <c r="L749" i="32" l="1"/>
  <c r="I708" i="32"/>
  <c r="J748" i="32"/>
  <c r="K708" i="32" l="1"/>
  <c r="K748" i="32"/>
  <c r="J708" i="32"/>
  <c r="L746" i="32"/>
  <c r="L748" i="32"/>
  <c r="L708" i="32" l="1"/>
  <c r="S748" i="32" l="1"/>
  <c r="T748" i="32" l="1"/>
  <c r="U748" i="32"/>
  <c r="V748" i="32" l="1"/>
  <c r="W748" i="32" l="1"/>
  <c r="X748" i="32"/>
  <c r="Y748" i="32" s="1"/>
  <c r="S749" i="32" l="1"/>
  <c r="T749" i="32" l="1"/>
  <c r="V749" i="32" l="1"/>
  <c r="U749" i="32"/>
  <c r="S712" i="32"/>
  <c r="S705" i="32" l="1"/>
  <c r="S746" i="32"/>
  <c r="T746" i="32" l="1"/>
  <c r="T708" i="32"/>
  <c r="U705" i="32"/>
  <c r="T705" i="32"/>
  <c r="U746" i="32"/>
  <c r="S708" i="32"/>
  <c r="V705" i="32" l="1"/>
  <c r="U708" i="32"/>
  <c r="X749" i="32" l="1"/>
  <c r="Y749" i="32" s="1"/>
  <c r="V746" i="32"/>
  <c r="U707" i="32"/>
  <c r="V708" i="32"/>
  <c r="W749" i="32" l="1"/>
  <c r="T707" i="32"/>
  <c r="W746" i="32"/>
  <c r="X705" i="32"/>
  <c r="V707" i="32" l="1"/>
  <c r="Y705" i="32"/>
  <c r="W705" i="32"/>
  <c r="W708" i="32" l="1"/>
  <c r="X746" i="32"/>
  <c r="Y746" i="32" s="1"/>
  <c r="W707" i="32" l="1"/>
  <c r="X707" i="32"/>
  <c r="X708" i="32"/>
  <c r="Y708" i="32" s="1"/>
  <c r="G706" i="32" l="1"/>
  <c r="H706" i="32" l="1"/>
  <c r="J706" i="32"/>
  <c r="S706" i="32"/>
  <c r="U706" i="32" l="1"/>
  <c r="I706" i="32"/>
  <c r="K706" i="32"/>
  <c r="T706" i="32"/>
  <c r="L706" i="32" l="1"/>
  <c r="W706" i="32" l="1"/>
  <c r="V706" i="32"/>
  <c r="X706" i="32" l="1"/>
  <c r="Y706" i="32" l="1"/>
  <c r="S707" i="32" l="1"/>
  <c r="Y707" i="32" l="1"/>
  <c r="S711" i="32" l="1"/>
  <c r="T711" i="32" l="1"/>
  <c r="U711" i="32" l="1"/>
  <c r="U712" i="32" l="1"/>
  <c r="T712" i="32"/>
  <c r="V712" i="32"/>
  <c r="V711" i="32" l="1"/>
  <c r="W711" i="32" l="1"/>
  <c r="W712" i="32"/>
  <c r="X712" i="32"/>
  <c r="X711" i="32" l="1"/>
  <c r="Y711" i="32" s="1"/>
  <c r="Y712" i="32"/>
  <c r="H747" i="32" l="1"/>
  <c r="G747" i="32"/>
  <c r="I747" i="32" l="1"/>
  <c r="J747" i="32"/>
  <c r="S747" i="32" l="1"/>
  <c r="K747" i="32"/>
  <c r="T747" i="32" l="1"/>
  <c r="U747" i="32" l="1"/>
  <c r="L747" i="32" l="1"/>
  <c r="V747" i="32" l="1"/>
  <c r="W747" i="32" l="1"/>
  <c r="X747" i="32" l="1"/>
  <c r="Y747" i="32" s="1"/>
  <c r="S709" i="32" l="1"/>
  <c r="U709" i="32" l="1"/>
  <c r="T709" i="32"/>
  <c r="V709" i="32"/>
  <c r="W709" i="32" l="1"/>
  <c r="X709" i="32"/>
  <c r="G672" i="32" l="1"/>
  <c r="G671" i="32"/>
  <c r="G674" i="32" l="1"/>
  <c r="G675" i="32" s="1"/>
  <c r="G710" i="32"/>
  <c r="G714" i="32" s="1"/>
  <c r="G639" i="32"/>
  <c r="H672" i="32"/>
  <c r="H671" i="32"/>
  <c r="G745" i="32"/>
  <c r="I49" i="3"/>
  <c r="J49" i="3" l="1"/>
  <c r="H674" i="32"/>
  <c r="H675" i="32" s="1"/>
  <c r="H745" i="32"/>
  <c r="H750" i="32" s="1"/>
  <c r="H639" i="32"/>
  <c r="H710" i="32"/>
  <c r="H714" i="32" s="1"/>
  <c r="G640" i="32"/>
  <c r="G641" i="32" s="1"/>
  <c r="G642" i="32" s="1"/>
  <c r="G750" i="32"/>
  <c r="G715" i="32"/>
  <c r="G132" i="32"/>
  <c r="G607" i="32"/>
  <c r="I671" i="32"/>
  <c r="J672" i="32"/>
  <c r="I672" i="32"/>
  <c r="H715" i="32" l="1"/>
  <c r="I745" i="32"/>
  <c r="I750" i="32" s="1"/>
  <c r="I639" i="32"/>
  <c r="I710" i="32"/>
  <c r="I714" i="32" s="1"/>
  <c r="H640" i="32"/>
  <c r="H641" i="32" s="1"/>
  <c r="H642" i="32" s="1"/>
  <c r="I674" i="32"/>
  <c r="G141" i="32"/>
  <c r="J671" i="32"/>
  <c r="J674" i="32" s="1"/>
  <c r="L49" i="3"/>
  <c r="G608" i="32"/>
  <c r="G609" i="32" s="1"/>
  <c r="G610" i="32" s="1"/>
  <c r="H132" i="32"/>
  <c r="H607" i="32"/>
  <c r="K49" i="3"/>
  <c r="J745" i="32" l="1"/>
  <c r="J750" i="32" s="1"/>
  <c r="J639" i="32"/>
  <c r="J710" i="32"/>
  <c r="J714" i="32" s="1"/>
  <c r="I715" i="32"/>
  <c r="J675" i="32"/>
  <c r="I640" i="32"/>
  <c r="I641" i="32" s="1"/>
  <c r="I642" i="32" s="1"/>
  <c r="I675" i="32"/>
  <c r="S672" i="32"/>
  <c r="H141" i="32"/>
  <c r="K671" i="32"/>
  <c r="S671" i="32"/>
  <c r="H608" i="32"/>
  <c r="H609" i="32" s="1"/>
  <c r="H610" i="32" s="1"/>
  <c r="K672" i="32"/>
  <c r="L672" i="32"/>
  <c r="I132" i="32"/>
  <c r="I607" i="32"/>
  <c r="S639" i="32" l="1"/>
  <c r="K674" i="32"/>
  <c r="K675" i="32" s="1"/>
  <c r="S674" i="32"/>
  <c r="S675" i="32" s="1"/>
  <c r="K710" i="32"/>
  <c r="K714" i="32" s="1"/>
  <c r="K715" i="32" s="1"/>
  <c r="K745" i="32"/>
  <c r="K750" i="32" s="1"/>
  <c r="K639" i="32"/>
  <c r="J715" i="32"/>
  <c r="J640" i="32"/>
  <c r="J641" i="32" s="1"/>
  <c r="J642" i="32" s="1"/>
  <c r="J132" i="32"/>
  <c r="J607" i="32"/>
  <c r="I608" i="32"/>
  <c r="I609" i="32" s="1"/>
  <c r="I610" i="32" s="1"/>
  <c r="N49" i="3"/>
  <c r="M49" i="3"/>
  <c r="I92" i="3"/>
  <c r="I141" i="32"/>
  <c r="S640" i="32"/>
  <c r="L671" i="32"/>
  <c r="L674" i="32" s="1"/>
  <c r="I92" i="51"/>
  <c r="S745" i="32" l="1"/>
  <c r="S750" i="32" s="1"/>
  <c r="S710" i="32"/>
  <c r="S714" i="32" s="1"/>
  <c r="S641" i="32"/>
  <c r="S642" i="32" s="1"/>
  <c r="K640" i="32"/>
  <c r="K641" i="32" s="1"/>
  <c r="K642" i="32" s="1"/>
  <c r="L675" i="32"/>
  <c r="L745" i="32"/>
  <c r="L750" i="32" s="1"/>
  <c r="L639" i="32"/>
  <c r="L710" i="32"/>
  <c r="J608" i="32"/>
  <c r="J609" i="32" s="1"/>
  <c r="J610" i="32" s="1"/>
  <c r="U672" i="32"/>
  <c r="K132" i="32"/>
  <c r="K607" i="32"/>
  <c r="J141" i="32"/>
  <c r="S607" i="32" l="1"/>
  <c r="G174" i="32"/>
  <c r="L640" i="32"/>
  <c r="L641" i="32" s="1"/>
  <c r="L642" i="32" s="1"/>
  <c r="L714" i="32"/>
  <c r="T672" i="32"/>
  <c r="V672" i="32"/>
  <c r="L132" i="32"/>
  <c r="L607" i="32"/>
  <c r="S715" i="32"/>
  <c r="K141" i="32"/>
  <c r="S608" i="32"/>
  <c r="R715" i="32"/>
  <c r="K608" i="32"/>
  <c r="K609" i="32" s="1"/>
  <c r="K610" i="32" s="1"/>
  <c r="G183" i="32" l="1"/>
  <c r="T639" i="32"/>
  <c r="L608" i="32"/>
  <c r="L609" i="32" s="1"/>
  <c r="L610" i="32" s="1"/>
  <c r="T671" i="32"/>
  <c r="M132" i="32"/>
  <c r="L141" i="32"/>
  <c r="L715" i="32"/>
  <c r="L92" i="3"/>
  <c r="S609" i="32"/>
  <c r="S610" i="32" s="1"/>
  <c r="U713" i="32"/>
  <c r="K92" i="3"/>
  <c r="J92" i="3"/>
  <c r="T745" i="32" l="1"/>
  <c r="T750" i="32" s="1"/>
  <c r="T710" i="32"/>
  <c r="H174" i="32"/>
  <c r="W672" i="32"/>
  <c r="T640" i="32"/>
  <c r="T641" i="32" s="1"/>
  <c r="T642" i="32" s="1"/>
  <c r="U671" i="32"/>
  <c r="U674" i="32" s="1"/>
  <c r="T674" i="32"/>
  <c r="U640" i="32"/>
  <c r="U745" i="32"/>
  <c r="U750" i="32" s="1"/>
  <c r="U639" i="32"/>
  <c r="U710" i="32"/>
  <c r="U714" i="32" s="1"/>
  <c r="T608" i="32"/>
  <c r="J92" i="51"/>
  <c r="V639" i="32"/>
  <c r="X672" i="32"/>
  <c r="M92" i="3" l="1"/>
  <c r="T713" i="32"/>
  <c r="T714" i="32" s="1"/>
  <c r="T715" i="32" s="1"/>
  <c r="K92" i="51"/>
  <c r="T607" i="32"/>
  <c r="T609" i="32" s="1"/>
  <c r="T610" i="32" s="1"/>
  <c r="T675" i="32"/>
  <c r="U675" i="32"/>
  <c r="V671" i="32"/>
  <c r="V674" i="32" s="1"/>
  <c r="V675" i="32" s="1"/>
  <c r="V640" i="32"/>
  <c r="V641" i="32" s="1"/>
  <c r="V642" i="32" s="1"/>
  <c r="U641" i="32"/>
  <c r="U642" i="32" s="1"/>
  <c r="V710" i="32"/>
  <c r="V745" i="32"/>
  <c r="V750" i="32" s="1"/>
  <c r="U608" i="32"/>
  <c r="H183" i="32"/>
  <c r="U607" i="32"/>
  <c r="I174" i="32"/>
  <c r="W639" i="32"/>
  <c r="U715" i="32" l="1"/>
  <c r="V713" i="32"/>
  <c r="V714" i="32" s="1"/>
  <c r="V715" i="32" s="1"/>
  <c r="AA639" i="32"/>
  <c r="W671" i="32"/>
  <c r="W674" i="32" s="1"/>
  <c r="W675" i="32" s="1"/>
  <c r="W640" i="32"/>
  <c r="W641" i="32" s="1"/>
  <c r="W642" i="32" s="1"/>
  <c r="W710" i="32"/>
  <c r="W745" i="32"/>
  <c r="W750" i="32" s="1"/>
  <c r="L92" i="51"/>
  <c r="I183" i="32"/>
  <c r="V608" i="32"/>
  <c r="U609" i="32"/>
  <c r="U610" i="32" s="1"/>
  <c r="V607" i="32" l="1"/>
  <c r="V609" i="32" s="1"/>
  <c r="V610" i="32" s="1"/>
  <c r="M92" i="51"/>
  <c r="AA607" i="32"/>
  <c r="Y672" i="32"/>
  <c r="N92" i="3"/>
  <c r="X671" i="32"/>
  <c r="X674" i="32" s="1"/>
  <c r="W608" i="32"/>
  <c r="J174" i="32" l="1"/>
  <c r="X675" i="32"/>
  <c r="AA670" i="32"/>
  <c r="W713" i="32"/>
  <c r="W714" i="32" s="1"/>
  <c r="W715" i="32" s="1"/>
  <c r="X639" i="32"/>
  <c r="J183" i="32" l="1"/>
  <c r="W607" i="32"/>
  <c r="W609" i="32" s="1"/>
  <c r="W610" i="32" s="1"/>
  <c r="K174" i="32"/>
  <c r="X640" i="32"/>
  <c r="X641" i="32" s="1"/>
  <c r="X642" i="32" s="1"/>
  <c r="X710" i="32"/>
  <c r="X745" i="32"/>
  <c r="X750" i="32" s="1"/>
  <c r="N92" i="51"/>
  <c r="X713" i="32" l="1"/>
  <c r="AA706" i="32"/>
  <c r="K183" i="32"/>
  <c r="Y639" i="32"/>
  <c r="Y745" i="32"/>
  <c r="AA745" i="32"/>
  <c r="X608" i="32"/>
  <c r="Y640" i="32"/>
  <c r="Y671" i="32"/>
  <c r="Y710" i="32"/>
  <c r="X607" i="32" l="1"/>
  <c r="Y607" i="32" s="1"/>
  <c r="AA704" i="32"/>
  <c r="AA610" i="32" s="1"/>
  <c r="X714" i="32"/>
  <c r="AA705" i="32" s="1"/>
  <c r="L174" i="32"/>
  <c r="AA671" i="32"/>
  <c r="Y674" i="32"/>
  <c r="Y608" i="32"/>
  <c r="Y641" i="32"/>
  <c r="Y750" i="32"/>
  <c r="AA746" i="32"/>
  <c r="AA638" i="32"/>
  <c r="Y714" i="32" l="1"/>
  <c r="L183" i="32"/>
  <c r="X609" i="32"/>
  <c r="Y609" i="32" s="1"/>
  <c r="X715" i="32"/>
  <c r="M174" i="32"/>
  <c r="AA609" i="32"/>
  <c r="C671" i="32"/>
  <c r="X610" i="32" l="1"/>
  <c r="AA606" i="32"/>
  <c r="C674" i="32"/>
  <c r="H49" i="51"/>
  <c r="F49" i="51"/>
  <c r="G49" i="51"/>
  <c r="I49" i="51"/>
  <c r="L49" i="51"/>
  <c r="K49" i="51"/>
  <c r="J49" i="51"/>
  <c r="M49" i="51"/>
  <c r="N49" i="51"/>
  <c r="C675" i="32" l="1"/>
  <c r="F127" i="13" l="1"/>
  <c r="F126" i="13"/>
  <c r="E126" i="13"/>
  <c r="E124" i="13"/>
  <c r="F128" i="13"/>
  <c r="F130" i="13"/>
  <c r="E130" i="13"/>
  <c r="E84" i="13" l="1"/>
  <c r="E107" i="13" s="1"/>
  <c r="E175" i="13"/>
  <c r="E170" i="13"/>
  <c r="F82" i="13"/>
  <c r="F105" i="13" s="1"/>
  <c r="F173" i="13"/>
  <c r="E169" i="13"/>
  <c r="F171" i="13"/>
  <c r="E172" i="13"/>
  <c r="F169" i="13"/>
  <c r="E83" i="13"/>
  <c r="E106" i="13" s="1"/>
  <c r="E174" i="13"/>
  <c r="E80" i="13"/>
  <c r="E103" i="13" s="1"/>
  <c r="E171" i="13"/>
  <c r="F172" i="13"/>
  <c r="F84" i="13"/>
  <c r="F107" i="13" s="1"/>
  <c r="F175" i="13"/>
  <c r="F170" i="13"/>
  <c r="F124" i="13"/>
  <c r="E123" i="13"/>
  <c r="S10" i="13"/>
  <c r="E33" i="13"/>
  <c r="E79" i="13"/>
  <c r="F42" i="13"/>
  <c r="T19" i="13"/>
  <c r="F39" i="13"/>
  <c r="T16" i="13"/>
  <c r="F123" i="13"/>
  <c r="E42" i="13"/>
  <c r="S19" i="13"/>
  <c r="T10" i="13"/>
  <c r="F33" i="13"/>
  <c r="F79" i="13"/>
  <c r="T17" i="13"/>
  <c r="F40" i="13"/>
  <c r="F86" i="13"/>
  <c r="F109" i="13" s="1"/>
  <c r="E128" i="13"/>
  <c r="F201" i="13"/>
  <c r="F157" i="13" l="1"/>
  <c r="E127" i="13"/>
  <c r="E157" i="13"/>
  <c r="E82" i="13"/>
  <c r="E105" i="13" s="1"/>
  <c r="E173" i="13"/>
  <c r="F168" i="13"/>
  <c r="F202" i="13"/>
  <c r="F83" i="13"/>
  <c r="F106" i="13" s="1"/>
  <c r="F174" i="13"/>
  <c r="F77" i="13"/>
  <c r="T8" i="13"/>
  <c r="F38" i="13"/>
  <c r="T15" i="13"/>
  <c r="S11" i="13"/>
  <c r="E34" i="13"/>
  <c r="E41" i="13"/>
  <c r="S18" i="13"/>
  <c r="S8" i="13"/>
  <c r="E77" i="13"/>
  <c r="E78" i="13"/>
  <c r="S9" i="13"/>
  <c r="F78" i="13"/>
  <c r="T9" i="13"/>
  <c r="E125" i="13"/>
  <c r="O512" i="32" s="1"/>
  <c r="F125" i="13"/>
  <c r="P512" i="32" s="1"/>
  <c r="E38" i="13"/>
  <c r="S15" i="13"/>
  <c r="E541" i="32"/>
  <c r="E39" i="13"/>
  <c r="S16" i="13"/>
  <c r="F41" i="13"/>
  <c r="T18" i="13"/>
  <c r="T11" i="13"/>
  <c r="F34" i="13"/>
  <c r="F80" i="13"/>
  <c r="S17" i="13"/>
  <c r="E40" i="13"/>
  <c r="E86" i="13"/>
  <c r="E109" i="13" s="1"/>
  <c r="F102" i="13"/>
  <c r="E102" i="13"/>
  <c r="F31" i="13"/>
  <c r="E122" i="13"/>
  <c r="D511" i="32" l="1"/>
  <c r="Q511" i="32"/>
  <c r="E136" i="32"/>
  <c r="E511" i="32"/>
  <c r="P511" i="32"/>
  <c r="P513" i="32" s="1"/>
  <c r="C511" i="32"/>
  <c r="F134" i="13"/>
  <c r="F203" i="13"/>
  <c r="F165" i="13"/>
  <c r="E201" i="13"/>
  <c r="F209" i="13" s="1"/>
  <c r="E168" i="13"/>
  <c r="C541" i="32"/>
  <c r="E20" i="13"/>
  <c r="C543" i="32" s="1"/>
  <c r="Q512" i="32"/>
  <c r="E101" i="13"/>
  <c r="F64" i="13"/>
  <c r="F121" i="13"/>
  <c r="F100" i="13" s="1"/>
  <c r="G100" i="13"/>
  <c r="S12" i="13"/>
  <c r="E35" i="13"/>
  <c r="E81" i="13"/>
  <c r="S13" i="13"/>
  <c r="E36" i="13"/>
  <c r="T13" i="13"/>
  <c r="F36" i="13"/>
  <c r="H100" i="13"/>
  <c r="F103" i="13"/>
  <c r="E32" i="13"/>
  <c r="S14" i="13"/>
  <c r="E37" i="13"/>
  <c r="D541" i="32"/>
  <c r="C514" i="32"/>
  <c r="T12" i="13"/>
  <c r="F81" i="13"/>
  <c r="F35" i="13"/>
  <c r="D514" i="32"/>
  <c r="E89" i="13"/>
  <c r="T14" i="13"/>
  <c r="F37" i="13"/>
  <c r="F20" i="13"/>
  <c r="O511" i="32"/>
  <c r="E543" i="32" l="1"/>
  <c r="E479" i="32"/>
  <c r="F89" i="13"/>
  <c r="F97" i="13" s="1"/>
  <c r="D512" i="32"/>
  <c r="D513" i="32" s="1"/>
  <c r="E480" i="32"/>
  <c r="E512" i="32"/>
  <c r="E513" i="32" s="1"/>
  <c r="P514" i="32"/>
  <c r="Q513" i="32"/>
  <c r="Q514" i="32" s="1"/>
  <c r="S20" i="13"/>
  <c r="C479" i="32"/>
  <c r="C136" i="32"/>
  <c r="F135" i="13"/>
  <c r="F114" i="13" s="1"/>
  <c r="F204" i="13"/>
  <c r="F113" i="13"/>
  <c r="P541" i="32"/>
  <c r="F208" i="13"/>
  <c r="O514" i="32"/>
  <c r="E104" i="13"/>
  <c r="C512" i="32"/>
  <c r="C513" i="32" s="1"/>
  <c r="O513" i="32"/>
  <c r="C542" i="32"/>
  <c r="D479" i="32"/>
  <c r="T20" i="13"/>
  <c r="D543" i="32"/>
  <c r="D136" i="32"/>
  <c r="E145" i="32" s="1"/>
  <c r="F104" i="13"/>
  <c r="F122" i="13"/>
  <c r="F101" i="13" s="1"/>
  <c r="F32" i="13"/>
  <c r="E139" i="32"/>
  <c r="O541" i="32"/>
  <c r="E121" i="13"/>
  <c r="E64" i="13"/>
  <c r="E31" i="13"/>
  <c r="F28" i="13"/>
  <c r="C139" i="32"/>
  <c r="C480" i="32"/>
  <c r="E542" i="32"/>
  <c r="E514" i="32"/>
  <c r="F43" i="13"/>
  <c r="P479" i="32"/>
  <c r="D178" i="32"/>
  <c r="P543" i="32"/>
  <c r="C481" i="32" l="1"/>
  <c r="C482" i="32" s="1"/>
  <c r="E481" i="32"/>
  <c r="E482" i="32" s="1"/>
  <c r="D480" i="32"/>
  <c r="F136" i="13"/>
  <c r="E203" i="13"/>
  <c r="E208" i="13" s="1"/>
  <c r="E134" i="13"/>
  <c r="F133" i="13"/>
  <c r="P480" i="32" s="1"/>
  <c r="P481" i="32" s="1"/>
  <c r="P482" i="32" s="1"/>
  <c r="D542" i="32"/>
  <c r="C99" i="32"/>
  <c r="O543" i="32"/>
  <c r="C178" i="32"/>
  <c r="O479" i="32"/>
  <c r="F72" i="13"/>
  <c r="E43" i="13"/>
  <c r="G541" i="32"/>
  <c r="D481" i="32"/>
  <c r="D482" i="32" s="1"/>
  <c r="E133" i="13"/>
  <c r="E100" i="13"/>
  <c r="F541" i="32"/>
  <c r="P542" i="32"/>
  <c r="E99" i="32"/>
  <c r="D139" i="32"/>
  <c r="D145" i="32"/>
  <c r="R541" i="32"/>
  <c r="F511" i="32" l="1"/>
  <c r="R511" i="32"/>
  <c r="F112" i="13"/>
  <c r="Q574" i="32"/>
  <c r="Q575" i="32" s="1"/>
  <c r="E135" i="13"/>
  <c r="E114" i="13" s="1"/>
  <c r="E113" i="13"/>
  <c r="F115" i="13"/>
  <c r="F140" i="13"/>
  <c r="I541" i="32"/>
  <c r="H511" i="32"/>
  <c r="E148" i="32"/>
  <c r="O17" i="58"/>
  <c r="R512" i="32"/>
  <c r="E53" i="32"/>
  <c r="E104" i="32"/>
  <c r="E27" i="32" s="1"/>
  <c r="I100" i="13"/>
  <c r="S541" i="32"/>
  <c r="O542" i="32"/>
  <c r="G511" i="32"/>
  <c r="Q541" i="32"/>
  <c r="D187" i="32"/>
  <c r="D99" i="32"/>
  <c r="D148" i="32"/>
  <c r="O480" i="32"/>
  <c r="O481" i="32" s="1"/>
  <c r="O482" i="32" s="1"/>
  <c r="F141" i="13"/>
  <c r="E112" i="13"/>
  <c r="C53" i="32"/>
  <c r="C104" i="32"/>
  <c r="I511" i="32"/>
  <c r="F512" i="32" l="1"/>
  <c r="F513" i="32" s="1"/>
  <c r="F514" i="32" s="1"/>
  <c r="R513" i="32"/>
  <c r="R514" i="32" s="1"/>
  <c r="T511" i="32"/>
  <c r="P574" i="32"/>
  <c r="P575" i="32" s="1"/>
  <c r="Q576" i="32"/>
  <c r="E140" i="13"/>
  <c r="I512" i="32"/>
  <c r="I513" i="32" s="1"/>
  <c r="C27" i="32"/>
  <c r="G512" i="32"/>
  <c r="G513" i="32" s="1"/>
  <c r="R479" i="32"/>
  <c r="F178" i="32"/>
  <c r="R543" i="32"/>
  <c r="C54" i="32"/>
  <c r="C56" i="32"/>
  <c r="Q479" i="32"/>
  <c r="E178" i="32"/>
  <c r="Q543" i="32"/>
  <c r="F543" i="32"/>
  <c r="F479" i="32"/>
  <c r="F136" i="32"/>
  <c r="H541" i="32"/>
  <c r="E28" i="32"/>
  <c r="E30" i="32"/>
  <c r="D53" i="32"/>
  <c r="D104" i="32"/>
  <c r="D27" i="32" s="1"/>
  <c r="E54" i="32"/>
  <c r="E56" i="32"/>
  <c r="H512" i="32"/>
  <c r="H513" i="32" s="1"/>
  <c r="J511" i="32"/>
  <c r="U511" i="32" l="1"/>
  <c r="S511" i="32"/>
  <c r="T512" i="32"/>
  <c r="T513" i="32" s="1"/>
  <c r="T514" i="32" s="1"/>
  <c r="O574" i="32"/>
  <c r="O575" i="32" s="1"/>
  <c r="P576" i="32"/>
  <c r="J512" i="32"/>
  <c r="J513" i="32" s="1"/>
  <c r="I543" i="32"/>
  <c r="I479" i="32"/>
  <c r="I136" i="32"/>
  <c r="H514" i="32"/>
  <c r="D30" i="32"/>
  <c r="D28" i="32"/>
  <c r="E187" i="32"/>
  <c r="D56" i="32"/>
  <c r="D54" i="32"/>
  <c r="F480" i="32"/>
  <c r="F481" i="32" s="1"/>
  <c r="F482" i="32" s="1"/>
  <c r="J100" i="13"/>
  <c r="T541" i="32"/>
  <c r="I514" i="32"/>
  <c r="R480" i="32"/>
  <c r="R481" i="32" s="1"/>
  <c r="R482" i="32" s="1"/>
  <c r="F139" i="32"/>
  <c r="F145" i="32"/>
  <c r="R542" i="32"/>
  <c r="G514" i="32"/>
  <c r="Q480" i="32"/>
  <c r="Q481" i="32" s="1"/>
  <c r="Q482" i="32" s="1"/>
  <c r="H479" i="32"/>
  <c r="H543" i="32"/>
  <c r="H136" i="32"/>
  <c r="F542" i="32"/>
  <c r="Q542" i="32"/>
  <c r="F187" i="32"/>
  <c r="G479" i="32"/>
  <c r="G543" i="32"/>
  <c r="G136" i="32"/>
  <c r="C30" i="32"/>
  <c r="C28" i="32"/>
  <c r="K511" i="32"/>
  <c r="U512" i="32" l="1"/>
  <c r="U513" i="32" s="1"/>
  <c r="U514" i="32" s="1"/>
  <c r="V511" i="32"/>
  <c r="S512" i="32"/>
  <c r="S513" i="32" s="1"/>
  <c r="S514" i="32" s="1"/>
  <c r="R574" i="32"/>
  <c r="R575" i="32" s="1"/>
  <c r="O576" i="32"/>
  <c r="V541" i="32"/>
  <c r="K512" i="32"/>
  <c r="K513" i="32" s="1"/>
  <c r="G139" i="32"/>
  <c r="G145" i="32"/>
  <c r="H145" i="32"/>
  <c r="H139" i="32"/>
  <c r="T479" i="32"/>
  <c r="H178" i="32"/>
  <c r="T543" i="32"/>
  <c r="G178" i="32"/>
  <c r="S479" i="32"/>
  <c r="S543" i="32"/>
  <c r="I139" i="32"/>
  <c r="I145" i="32"/>
  <c r="G480" i="32"/>
  <c r="G481" i="32" s="1"/>
  <c r="G482" i="32" s="1"/>
  <c r="I480" i="32"/>
  <c r="I481" i="32" s="1"/>
  <c r="I482" i="32" s="1"/>
  <c r="K541" i="32"/>
  <c r="G542" i="32"/>
  <c r="H480" i="32"/>
  <c r="H481" i="32" s="1"/>
  <c r="H482" i="32" s="1"/>
  <c r="H542" i="32"/>
  <c r="F99" i="32"/>
  <c r="F148" i="32"/>
  <c r="J541" i="32"/>
  <c r="I542" i="32"/>
  <c r="L511" i="32"/>
  <c r="W511" i="32" l="1"/>
  <c r="V512" i="32"/>
  <c r="V513" i="32" s="1"/>
  <c r="R576" i="32"/>
  <c r="L541" i="32"/>
  <c r="M100" i="13"/>
  <c r="W541" i="32"/>
  <c r="L512" i="32"/>
  <c r="L513" i="32" s="1"/>
  <c r="S480" i="32"/>
  <c r="S481" i="32" s="1"/>
  <c r="S482" i="32" s="1"/>
  <c r="T480" i="32"/>
  <c r="T481" i="32" s="1"/>
  <c r="T482" i="32" s="1"/>
  <c r="G187" i="32"/>
  <c r="H187" i="32"/>
  <c r="J136" i="32"/>
  <c r="J479" i="32"/>
  <c r="J543" i="32"/>
  <c r="F53" i="32"/>
  <c r="F104" i="32"/>
  <c r="I99" i="32"/>
  <c r="I148" i="32"/>
  <c r="H99" i="32"/>
  <c r="H148" i="32"/>
  <c r="U541" i="32"/>
  <c r="J514" i="32"/>
  <c r="K514" i="32"/>
  <c r="K543" i="32"/>
  <c r="K136" i="32"/>
  <c r="K479" i="32"/>
  <c r="S542" i="32"/>
  <c r="G99" i="32"/>
  <c r="G148" i="32"/>
  <c r="L100" i="13"/>
  <c r="T542" i="32"/>
  <c r="V479" i="32"/>
  <c r="V543" i="32"/>
  <c r="J178" i="32"/>
  <c r="W512" i="32" l="1"/>
  <c r="W513" i="32" s="1"/>
  <c r="W514" i="32" s="1"/>
  <c r="L514" i="32"/>
  <c r="AA511" i="32"/>
  <c r="V514" i="32"/>
  <c r="K100" i="13"/>
  <c r="I53" i="32"/>
  <c r="I104" i="32"/>
  <c r="I27" i="32" s="1"/>
  <c r="F54" i="32"/>
  <c r="F56" i="32"/>
  <c r="K480" i="32"/>
  <c r="K481" i="32" s="1"/>
  <c r="K482" i="32" s="1"/>
  <c r="K145" i="32"/>
  <c r="K139" i="32"/>
  <c r="J139" i="32"/>
  <c r="J145" i="32"/>
  <c r="W479" i="32"/>
  <c r="K178" i="32"/>
  <c r="W543" i="32"/>
  <c r="V542" i="32"/>
  <c r="J480" i="32"/>
  <c r="J481" i="32" s="1"/>
  <c r="J482" i="32" s="1"/>
  <c r="G53" i="32"/>
  <c r="G104" i="32"/>
  <c r="G27" i="32" s="1"/>
  <c r="K542" i="32"/>
  <c r="U479" i="32"/>
  <c r="I178" i="32"/>
  <c r="U543" i="32"/>
  <c r="H53" i="32"/>
  <c r="H104" i="32"/>
  <c r="H27" i="32" s="1"/>
  <c r="V480" i="32"/>
  <c r="V481" i="32" s="1"/>
  <c r="V482" i="32" s="1"/>
  <c r="L543" i="32"/>
  <c r="L136" i="32"/>
  <c r="L479" i="32"/>
  <c r="F27" i="32"/>
  <c r="J542" i="32"/>
  <c r="AA479" i="32" l="1"/>
  <c r="N100" i="13"/>
  <c r="W480" i="32"/>
  <c r="W481" i="32" s="1"/>
  <c r="W482" i="32" s="1"/>
  <c r="I187" i="32"/>
  <c r="I28" i="32"/>
  <c r="I30" i="32"/>
  <c r="F28" i="32"/>
  <c r="F30" i="32"/>
  <c r="L139" i="32"/>
  <c r="L148" i="32" s="1"/>
  <c r="M136" i="32"/>
  <c r="G30" i="32"/>
  <c r="G28" i="32"/>
  <c r="W542" i="32"/>
  <c r="K148" i="32"/>
  <c r="K99" i="32"/>
  <c r="I56" i="32"/>
  <c r="I54" i="32"/>
  <c r="U480" i="32"/>
  <c r="U481" i="32" s="1"/>
  <c r="U482" i="32" s="1"/>
  <c r="H28" i="32"/>
  <c r="H30" i="32"/>
  <c r="G54" i="32"/>
  <c r="G56" i="32"/>
  <c r="L480" i="32"/>
  <c r="L481" i="32" s="1"/>
  <c r="M479" i="32" s="1"/>
  <c r="K187" i="32"/>
  <c r="X511" i="32"/>
  <c r="L542" i="32"/>
  <c r="H54" i="32"/>
  <c r="H56" i="32"/>
  <c r="U542" i="32"/>
  <c r="J148" i="32"/>
  <c r="J99" i="32"/>
  <c r="L145" i="32"/>
  <c r="J187" i="32"/>
  <c r="T574" i="32" l="1"/>
  <c r="T575" i="32" s="1"/>
  <c r="J53" i="32"/>
  <c r="J104" i="32"/>
  <c r="X512" i="32"/>
  <c r="X513" i="32" s="1"/>
  <c r="X541" i="32"/>
  <c r="Y511" i="32"/>
  <c r="K53" i="32"/>
  <c r="K104" i="32"/>
  <c r="K27" i="32" s="1"/>
  <c r="L482" i="32"/>
  <c r="L99" i="32"/>
  <c r="M139" i="32"/>
  <c r="S574" i="32" l="1"/>
  <c r="S575" i="32" s="1"/>
  <c r="T576" i="32"/>
  <c r="K30" i="32"/>
  <c r="K28" i="32"/>
  <c r="Y541" i="32"/>
  <c r="L53" i="32"/>
  <c r="L104" i="32"/>
  <c r="L27" i="32" s="1"/>
  <c r="K56" i="32"/>
  <c r="K54" i="32"/>
  <c r="X543" i="32"/>
  <c r="L178" i="32"/>
  <c r="X479" i="32"/>
  <c r="AA543" i="32"/>
  <c r="J27" i="32"/>
  <c r="J54" i="32"/>
  <c r="J56" i="32"/>
  <c r="V574" i="32" l="1"/>
  <c r="V575" i="32" s="1"/>
  <c r="S576" i="32"/>
  <c r="J28" i="32"/>
  <c r="J30" i="32"/>
  <c r="Y479" i="32"/>
  <c r="Y512" i="32"/>
  <c r="L187" i="32"/>
  <c r="M178" i="32"/>
  <c r="L28" i="32"/>
  <c r="L30" i="32"/>
  <c r="X480" i="32"/>
  <c r="X542" i="32"/>
  <c r="Y543" i="32"/>
  <c r="AA542" i="32"/>
  <c r="L56" i="32"/>
  <c r="L54" i="32"/>
  <c r="V576" i="32" l="1"/>
  <c r="W574" i="32"/>
  <c r="W575" i="32" s="1"/>
  <c r="U574" i="32"/>
  <c r="U575" i="32" s="1"/>
  <c r="X514" i="32"/>
  <c r="Y513" i="32"/>
  <c r="AA510" i="32"/>
  <c r="Y542" i="32"/>
  <c r="AA541" i="32"/>
  <c r="X481" i="32"/>
  <c r="Y480" i="32"/>
  <c r="U576" i="32" l="1"/>
  <c r="W576" i="32"/>
  <c r="Y481" i="32"/>
  <c r="AA478" i="32"/>
  <c r="X482" i="32"/>
  <c r="X574" i="32" l="1"/>
  <c r="AA573" i="32" l="1"/>
  <c r="X575" i="32"/>
  <c r="Y574" i="32"/>
  <c r="X576" i="32" l="1"/>
  <c r="Y575" i="32"/>
  <c r="AA572" i="32"/>
  <c r="D142" i="32" l="1"/>
  <c r="D184" i="32"/>
  <c r="D181" i="32"/>
  <c r="P99" i="32" s="1"/>
  <c r="O14" i="58"/>
  <c r="C181" i="32"/>
  <c r="H142" i="32" l="1"/>
  <c r="E142" i="32"/>
  <c r="D190" i="32"/>
  <c r="O20" i="58"/>
  <c r="O99" i="32"/>
  <c r="P104" i="32"/>
  <c r="P27" i="32" s="1"/>
  <c r="P53" i="32"/>
  <c r="F181" i="32"/>
  <c r="F184" i="32"/>
  <c r="I142" i="32" l="1"/>
  <c r="P30" i="32"/>
  <c r="P28" i="32"/>
  <c r="G184" i="32"/>
  <c r="G181" i="32"/>
  <c r="E184" i="32"/>
  <c r="E181" i="32"/>
  <c r="F190" i="32" s="1"/>
  <c r="F142" i="32"/>
  <c r="G142" i="32"/>
  <c r="R99" i="32"/>
  <c r="O104" i="32"/>
  <c r="O53" i="32"/>
  <c r="P54" i="32"/>
  <c r="P56" i="32"/>
  <c r="R104" i="32" l="1"/>
  <c r="R27" i="32" s="1"/>
  <c r="R53" i="32"/>
  <c r="O27" i="32"/>
  <c r="J142" i="32"/>
  <c r="S99" i="32"/>
  <c r="G190" i="32"/>
  <c r="H184" i="32"/>
  <c r="H181" i="32"/>
  <c r="O56" i="32"/>
  <c r="O54" i="32"/>
  <c r="Q99" i="32"/>
  <c r="E190" i="32"/>
  <c r="I184" i="32" l="1"/>
  <c r="I181" i="32"/>
  <c r="H190" i="32"/>
  <c r="T99" i="32"/>
  <c r="R56" i="32"/>
  <c r="R54" i="32"/>
  <c r="S104" i="32"/>
  <c r="S27" i="32" s="1"/>
  <c r="S53" i="32"/>
  <c r="O28" i="32"/>
  <c r="O30" i="32"/>
  <c r="R30" i="32"/>
  <c r="R28" i="32"/>
  <c r="K142" i="32"/>
  <c r="Q104" i="32"/>
  <c r="Q53" i="32"/>
  <c r="J184" i="32" l="1"/>
  <c r="J181" i="32"/>
  <c r="V99" i="32" s="1"/>
  <c r="Q56" i="32"/>
  <c r="Q54" i="32"/>
  <c r="S54" i="32"/>
  <c r="S56" i="32"/>
  <c r="Q27" i="32"/>
  <c r="S30" i="32"/>
  <c r="S28" i="32"/>
  <c r="L142" i="32"/>
  <c r="M133" i="32"/>
  <c r="T104" i="32"/>
  <c r="T27" i="32" s="1"/>
  <c r="T53" i="32"/>
  <c r="U99" i="32"/>
  <c r="I190" i="32"/>
  <c r="J190" i="32" l="1"/>
  <c r="T28" i="32"/>
  <c r="T30" i="32"/>
  <c r="K184" i="32"/>
  <c r="K181" i="32"/>
  <c r="Q28" i="32"/>
  <c r="Q30" i="32"/>
  <c r="V104" i="32"/>
  <c r="V27" i="32" s="1"/>
  <c r="V53" i="32"/>
  <c r="U53" i="32"/>
  <c r="U104" i="32"/>
  <c r="U27" i="32" s="1"/>
  <c r="T56" i="32"/>
  <c r="T54" i="32"/>
  <c r="M175" i="32" l="1"/>
  <c r="L184" i="32"/>
  <c r="L181" i="32"/>
  <c r="U54" i="32"/>
  <c r="U56" i="32"/>
  <c r="U28" i="32"/>
  <c r="U30" i="32"/>
  <c r="V56" i="32"/>
  <c r="V54" i="32"/>
  <c r="V30" i="32"/>
  <c r="V28" i="32"/>
  <c r="W99" i="32"/>
  <c r="K190" i="32"/>
  <c r="X99" i="32" l="1"/>
  <c r="M181" i="32"/>
  <c r="L190" i="32"/>
  <c r="W104" i="32"/>
  <c r="W53" i="32"/>
  <c r="W56" i="32" l="1"/>
  <c r="W54" i="32"/>
  <c r="W27" i="32"/>
  <c r="X104" i="32"/>
  <c r="X53" i="32"/>
  <c r="Y99" i="32"/>
  <c r="Y53" i="32" l="1"/>
  <c r="X54" i="32"/>
  <c r="Y54" i="32" s="1"/>
  <c r="X56" i="32"/>
  <c r="W28" i="32"/>
  <c r="W30" i="32"/>
  <c r="X27" i="32"/>
  <c r="Y27" i="32" s="1"/>
  <c r="Y104" i="32"/>
  <c r="X30" i="32" l="1"/>
  <c r="X28" i="32"/>
  <c r="Y28" i="32" s="1"/>
</calcChain>
</file>

<file path=xl/comments1.xml><?xml version="1.0" encoding="utf-8"?>
<comments xmlns="http://schemas.openxmlformats.org/spreadsheetml/2006/main">
  <authors>
    <author>John Lively</author>
  </authors>
  <commentList>
    <comment ref="D11" authorId="0">
      <text>
        <r>
          <rPr>
            <sz val="9"/>
            <color indexed="81"/>
            <rFont val="Tahoma"/>
            <family val="2"/>
          </rPr>
          <t>includes 300m 4xSR, 100m MM Duplex, and standard 100m reach products</t>
        </r>
      </text>
    </comment>
    <comment ref="D12" authorId="0">
      <text>
        <r>
          <rPr>
            <b/>
            <sz val="9"/>
            <color indexed="81"/>
            <rFont val="Tahoma"/>
            <family val="2"/>
          </rPr>
          <t xml:space="preserve">PSM4
</t>
        </r>
      </text>
    </comment>
    <comment ref="D18" authorId="0">
      <text>
        <r>
          <rPr>
            <b/>
            <sz val="9"/>
            <color indexed="81"/>
            <rFont val="Tahoma"/>
            <family val="2"/>
          </rPr>
          <t xml:space="preserve">Includes CFP, CFP2, CFP4, QSFP28 SR2 and SR4 products
</t>
        </r>
        <r>
          <rPr>
            <sz val="9"/>
            <color indexed="81"/>
            <rFont val="Tahoma"/>
            <family val="2"/>
          </rPr>
          <t xml:space="preserve">
</t>
        </r>
      </text>
    </comment>
    <comment ref="D19" authorId="0">
      <text>
        <r>
          <rPr>
            <b/>
            <sz val="9"/>
            <color indexed="81"/>
            <rFont val="Tahoma"/>
            <family val="2"/>
          </rPr>
          <t>PSM4 and DR products</t>
        </r>
      </text>
    </comment>
    <comment ref="D20" authorId="0">
      <text>
        <r>
          <rPr>
            <b/>
            <sz val="9"/>
            <color indexed="81"/>
            <rFont val="Tahoma"/>
            <family val="2"/>
          </rPr>
          <t xml:space="preserve">MSAs
</t>
        </r>
      </text>
    </comment>
    <comment ref="D21" authorId="0">
      <text>
        <r>
          <rPr>
            <b/>
            <sz val="9"/>
            <color indexed="81"/>
            <rFont val="Tahoma"/>
            <family val="2"/>
          </rPr>
          <t xml:space="preserve">Includes CFP, CFP2, CFP4, QSFP28 LR4 and MSAs
</t>
        </r>
        <r>
          <rPr>
            <sz val="9"/>
            <color indexed="81"/>
            <rFont val="Tahoma"/>
            <family val="2"/>
          </rPr>
          <t xml:space="preserve">
</t>
        </r>
      </text>
    </comment>
    <comment ref="D33" authorId="0">
      <text>
        <r>
          <rPr>
            <sz val="9"/>
            <color indexed="81"/>
            <rFont val="Tahoma"/>
            <family val="2"/>
          </rPr>
          <t>includes 300m 4xSR, 100m MM Duplex, and standard 100m reach products</t>
        </r>
      </text>
    </comment>
    <comment ref="D34" authorId="0">
      <text>
        <r>
          <rPr>
            <b/>
            <sz val="9"/>
            <color indexed="81"/>
            <rFont val="Tahoma"/>
            <family val="2"/>
          </rPr>
          <t xml:space="preserve">PSM4
</t>
        </r>
      </text>
    </comment>
    <comment ref="D40" authorId="0">
      <text>
        <r>
          <rPr>
            <b/>
            <sz val="9"/>
            <color indexed="81"/>
            <rFont val="Tahoma"/>
            <family val="2"/>
          </rPr>
          <t xml:space="preserve">Includes CFP, CFP2, CFP4, QSFP28 SR2 and SR4 products
</t>
        </r>
        <r>
          <rPr>
            <sz val="9"/>
            <color indexed="81"/>
            <rFont val="Tahoma"/>
            <family val="2"/>
          </rPr>
          <t xml:space="preserve">
</t>
        </r>
      </text>
    </comment>
    <comment ref="D41" authorId="0">
      <text>
        <r>
          <rPr>
            <b/>
            <sz val="9"/>
            <color indexed="81"/>
            <rFont val="Tahoma"/>
            <family val="2"/>
          </rPr>
          <t>PSM4 and DR products</t>
        </r>
      </text>
    </comment>
    <comment ref="D42" authorId="0">
      <text>
        <r>
          <rPr>
            <b/>
            <sz val="9"/>
            <color indexed="81"/>
            <rFont val="Tahoma"/>
            <family val="2"/>
          </rPr>
          <t xml:space="preserve">MSAs
</t>
        </r>
      </text>
    </comment>
    <comment ref="D43" authorId="0">
      <text>
        <r>
          <rPr>
            <b/>
            <sz val="9"/>
            <color indexed="81"/>
            <rFont val="Tahoma"/>
            <family val="2"/>
          </rPr>
          <t xml:space="preserve">Includes CFP, CFP2, CFP4, QSFP28 LR4 and MSAs
</t>
        </r>
        <r>
          <rPr>
            <sz val="9"/>
            <color indexed="81"/>
            <rFont val="Tahoma"/>
            <family val="2"/>
          </rPr>
          <t xml:space="preserve">
</t>
        </r>
      </text>
    </comment>
    <comment ref="D100" authorId="0">
      <text>
        <r>
          <rPr>
            <sz val="9"/>
            <color indexed="81"/>
            <rFont val="Tahoma"/>
            <family val="2"/>
          </rPr>
          <t>includes 300m 4xSR, 100m MM Duplex, and standard 100m reach products</t>
        </r>
      </text>
    </comment>
    <comment ref="D101" authorId="0">
      <text>
        <r>
          <rPr>
            <b/>
            <sz val="9"/>
            <color indexed="81"/>
            <rFont val="Tahoma"/>
            <family val="2"/>
          </rPr>
          <t xml:space="preserve">PSM4
</t>
        </r>
      </text>
    </comment>
    <comment ref="D107" authorId="0">
      <text>
        <r>
          <rPr>
            <b/>
            <sz val="9"/>
            <color indexed="81"/>
            <rFont val="Tahoma"/>
            <family val="2"/>
          </rPr>
          <t xml:space="preserve">Includes CFP, CFP2, CFP4, QSFP28 SR2 and SR4 products
</t>
        </r>
        <r>
          <rPr>
            <sz val="9"/>
            <color indexed="81"/>
            <rFont val="Tahoma"/>
            <family val="2"/>
          </rPr>
          <t xml:space="preserve">
</t>
        </r>
      </text>
    </comment>
    <comment ref="D108" authorId="0">
      <text>
        <r>
          <rPr>
            <b/>
            <sz val="9"/>
            <color indexed="81"/>
            <rFont val="Tahoma"/>
            <family val="2"/>
          </rPr>
          <t>PSM4 and DR products</t>
        </r>
      </text>
    </comment>
    <comment ref="D109" authorId="0">
      <text>
        <r>
          <rPr>
            <b/>
            <sz val="9"/>
            <color indexed="81"/>
            <rFont val="Tahoma"/>
            <family val="2"/>
          </rPr>
          <t xml:space="preserve">MSAs
</t>
        </r>
      </text>
    </comment>
    <comment ref="D110" authorId="0">
      <text>
        <r>
          <rPr>
            <b/>
            <sz val="9"/>
            <color indexed="81"/>
            <rFont val="Tahoma"/>
            <family val="2"/>
          </rPr>
          <t xml:space="preserve">Includes CFP, CFP2, CFP4, QSFP28 LR4 and MSAs
</t>
        </r>
        <r>
          <rPr>
            <sz val="9"/>
            <color indexed="81"/>
            <rFont val="Tahoma"/>
            <family val="2"/>
          </rPr>
          <t xml:space="preserve">
</t>
        </r>
      </text>
    </comment>
    <comment ref="D168" authorId="0">
      <text>
        <r>
          <rPr>
            <sz val="9"/>
            <color indexed="81"/>
            <rFont val="Tahoma"/>
            <family val="2"/>
          </rPr>
          <t>includes 300m 4xSR, 100m MM Duplex, and standard 100m reach products</t>
        </r>
      </text>
    </comment>
    <comment ref="D169" authorId="0">
      <text>
        <r>
          <rPr>
            <b/>
            <sz val="9"/>
            <color indexed="81"/>
            <rFont val="Tahoma"/>
            <family val="2"/>
          </rPr>
          <t xml:space="preserve">PSM4
</t>
        </r>
      </text>
    </comment>
    <comment ref="D175" authorId="0">
      <text>
        <r>
          <rPr>
            <b/>
            <sz val="9"/>
            <color indexed="81"/>
            <rFont val="Tahoma"/>
            <family val="2"/>
          </rPr>
          <t xml:space="preserve">Includes CFP, CFP2, CFP4, QSFP28 SR2 and SR4 products
</t>
        </r>
        <r>
          <rPr>
            <sz val="9"/>
            <color indexed="81"/>
            <rFont val="Tahoma"/>
            <family val="2"/>
          </rPr>
          <t xml:space="preserve">
</t>
        </r>
      </text>
    </comment>
    <comment ref="D176" authorId="0">
      <text>
        <r>
          <rPr>
            <b/>
            <sz val="9"/>
            <color indexed="81"/>
            <rFont val="Tahoma"/>
            <family val="2"/>
          </rPr>
          <t>PSM4 and DR products</t>
        </r>
      </text>
    </comment>
    <comment ref="D177" authorId="0">
      <text>
        <r>
          <rPr>
            <b/>
            <sz val="9"/>
            <color indexed="81"/>
            <rFont val="Tahoma"/>
            <family val="2"/>
          </rPr>
          <t xml:space="preserve">MSAs
</t>
        </r>
      </text>
    </comment>
    <comment ref="D178" authorId="0">
      <text>
        <r>
          <rPr>
            <b/>
            <sz val="9"/>
            <color indexed="81"/>
            <rFont val="Tahoma"/>
            <family val="2"/>
          </rPr>
          <t xml:space="preserve">Includes CFP, CFP2, CFP4, QSFP28 LR4 and MSAs
</t>
        </r>
        <r>
          <rPr>
            <sz val="9"/>
            <color indexed="81"/>
            <rFont val="Tahoma"/>
            <family val="2"/>
          </rPr>
          <t xml:space="preserve">
</t>
        </r>
      </text>
    </comment>
  </commentList>
</comments>
</file>

<file path=xl/comments2.xml><?xml version="1.0" encoding="utf-8"?>
<comments xmlns="http://schemas.openxmlformats.org/spreadsheetml/2006/main">
  <authors>
    <author>John Lively</author>
  </authors>
  <commentList>
    <comment ref="D11" authorId="0">
      <text>
        <r>
          <rPr>
            <sz val="9"/>
            <color indexed="81"/>
            <rFont val="Tahoma"/>
            <family val="2"/>
          </rPr>
          <t>includes 300m 4xSR, 100m MM Duplex, and standard 100m reach products</t>
        </r>
      </text>
    </comment>
    <comment ref="D12" authorId="0">
      <text>
        <r>
          <rPr>
            <b/>
            <sz val="9"/>
            <color indexed="81"/>
            <rFont val="Tahoma"/>
            <family val="2"/>
          </rPr>
          <t xml:space="preserve">PSM4
</t>
        </r>
      </text>
    </comment>
    <comment ref="D18" authorId="0">
      <text>
        <r>
          <rPr>
            <b/>
            <sz val="9"/>
            <color indexed="81"/>
            <rFont val="Tahoma"/>
            <family val="2"/>
          </rPr>
          <t xml:space="preserve">Includes CFP, CFP2, CFP4, QSFP28 SR2 and SR4 products
</t>
        </r>
        <r>
          <rPr>
            <sz val="9"/>
            <color indexed="81"/>
            <rFont val="Tahoma"/>
            <family val="2"/>
          </rPr>
          <t xml:space="preserve">
</t>
        </r>
      </text>
    </comment>
    <comment ref="D19" authorId="0">
      <text>
        <r>
          <rPr>
            <b/>
            <sz val="9"/>
            <color indexed="81"/>
            <rFont val="Tahoma"/>
            <family val="2"/>
          </rPr>
          <t>PSM4 and DR products</t>
        </r>
      </text>
    </comment>
    <comment ref="D20" authorId="0">
      <text>
        <r>
          <rPr>
            <b/>
            <sz val="9"/>
            <color indexed="81"/>
            <rFont val="Tahoma"/>
            <family val="2"/>
          </rPr>
          <t xml:space="preserve">MSAs
</t>
        </r>
      </text>
    </comment>
    <comment ref="D21" authorId="0">
      <text>
        <r>
          <rPr>
            <b/>
            <sz val="9"/>
            <color indexed="81"/>
            <rFont val="Tahoma"/>
            <family val="2"/>
          </rPr>
          <t xml:space="preserve">Includes CFP, CFP2, CFP4, QSFP28 LR4 and MSAs
</t>
        </r>
        <r>
          <rPr>
            <sz val="9"/>
            <color indexed="81"/>
            <rFont val="Tahoma"/>
            <family val="2"/>
          </rPr>
          <t xml:space="preserve">
</t>
        </r>
      </text>
    </comment>
    <comment ref="D33" authorId="0">
      <text>
        <r>
          <rPr>
            <sz val="9"/>
            <color indexed="81"/>
            <rFont val="Tahoma"/>
            <family val="2"/>
          </rPr>
          <t>includes 300m 4xSR, 100m MM Duplex, and standard 100m reach products</t>
        </r>
      </text>
    </comment>
    <comment ref="D34" authorId="0">
      <text>
        <r>
          <rPr>
            <b/>
            <sz val="9"/>
            <color indexed="81"/>
            <rFont val="Tahoma"/>
            <family val="2"/>
          </rPr>
          <t xml:space="preserve">PSM4
</t>
        </r>
      </text>
    </comment>
    <comment ref="D40" authorId="0">
      <text>
        <r>
          <rPr>
            <b/>
            <sz val="9"/>
            <color indexed="81"/>
            <rFont val="Tahoma"/>
            <family val="2"/>
          </rPr>
          <t xml:space="preserve">Includes CFP, CFP2, CFP4, QSFP28 SR2 and SR4 products
</t>
        </r>
        <r>
          <rPr>
            <sz val="9"/>
            <color indexed="81"/>
            <rFont val="Tahoma"/>
            <family val="2"/>
          </rPr>
          <t xml:space="preserve">
</t>
        </r>
      </text>
    </comment>
    <comment ref="D41" authorId="0">
      <text>
        <r>
          <rPr>
            <b/>
            <sz val="9"/>
            <color indexed="81"/>
            <rFont val="Tahoma"/>
            <family val="2"/>
          </rPr>
          <t>PSM4 and DR products</t>
        </r>
      </text>
    </comment>
    <comment ref="D42" authorId="0">
      <text>
        <r>
          <rPr>
            <b/>
            <sz val="9"/>
            <color indexed="81"/>
            <rFont val="Tahoma"/>
            <family val="2"/>
          </rPr>
          <t xml:space="preserve">MSAs
</t>
        </r>
      </text>
    </comment>
    <comment ref="D43" authorId="0">
      <text>
        <r>
          <rPr>
            <b/>
            <sz val="9"/>
            <color indexed="81"/>
            <rFont val="Tahoma"/>
            <family val="2"/>
          </rPr>
          <t xml:space="preserve">Includes CFP, CFP2, CFP4, QSFP28 LR4 and MSAs
</t>
        </r>
        <r>
          <rPr>
            <sz val="9"/>
            <color indexed="81"/>
            <rFont val="Tahoma"/>
            <family val="2"/>
          </rPr>
          <t xml:space="preserve">
</t>
        </r>
      </text>
    </comment>
    <comment ref="D100" authorId="0">
      <text>
        <r>
          <rPr>
            <sz val="9"/>
            <color indexed="81"/>
            <rFont val="Tahoma"/>
            <family val="2"/>
          </rPr>
          <t>includes 300m 4xSR, 100m MM Duplex, and standard 100m reach products</t>
        </r>
      </text>
    </comment>
    <comment ref="D101" authorId="0">
      <text>
        <r>
          <rPr>
            <b/>
            <sz val="9"/>
            <color indexed="81"/>
            <rFont val="Tahoma"/>
            <family val="2"/>
          </rPr>
          <t xml:space="preserve">PSM4
</t>
        </r>
      </text>
    </comment>
    <comment ref="D107" authorId="0">
      <text>
        <r>
          <rPr>
            <b/>
            <sz val="9"/>
            <color indexed="81"/>
            <rFont val="Tahoma"/>
            <family val="2"/>
          </rPr>
          <t xml:space="preserve">Includes CFP, CFP2, CFP4, QSFP28 SR2 and SR4 products
</t>
        </r>
        <r>
          <rPr>
            <sz val="9"/>
            <color indexed="81"/>
            <rFont val="Tahoma"/>
            <family val="2"/>
          </rPr>
          <t xml:space="preserve">
</t>
        </r>
      </text>
    </comment>
    <comment ref="D108" authorId="0">
      <text>
        <r>
          <rPr>
            <b/>
            <sz val="9"/>
            <color indexed="81"/>
            <rFont val="Tahoma"/>
            <family val="2"/>
          </rPr>
          <t>PSM4 and DR products</t>
        </r>
      </text>
    </comment>
    <comment ref="D109" authorId="0">
      <text>
        <r>
          <rPr>
            <b/>
            <sz val="9"/>
            <color indexed="81"/>
            <rFont val="Tahoma"/>
            <family val="2"/>
          </rPr>
          <t xml:space="preserve">MSAs
</t>
        </r>
      </text>
    </comment>
    <comment ref="D110" authorId="0">
      <text>
        <r>
          <rPr>
            <b/>
            <sz val="9"/>
            <color indexed="81"/>
            <rFont val="Tahoma"/>
            <family val="2"/>
          </rPr>
          <t xml:space="preserve">Includes CFP, CFP2, CFP4, QSFP28 LR4 and MSAs
</t>
        </r>
        <r>
          <rPr>
            <sz val="9"/>
            <color indexed="81"/>
            <rFont val="Tahoma"/>
            <family val="2"/>
          </rPr>
          <t xml:space="preserve">
</t>
        </r>
      </text>
    </comment>
    <comment ref="D168" authorId="0">
      <text>
        <r>
          <rPr>
            <sz val="9"/>
            <color indexed="81"/>
            <rFont val="Tahoma"/>
            <family val="2"/>
          </rPr>
          <t>includes 300m 4xSR, 100m MM Duplex, and standard 100m reach products</t>
        </r>
      </text>
    </comment>
    <comment ref="D169" authorId="0">
      <text>
        <r>
          <rPr>
            <b/>
            <sz val="9"/>
            <color indexed="81"/>
            <rFont val="Tahoma"/>
            <family val="2"/>
          </rPr>
          <t xml:space="preserve">PSM4
</t>
        </r>
      </text>
    </comment>
    <comment ref="D175" authorId="0">
      <text>
        <r>
          <rPr>
            <b/>
            <sz val="9"/>
            <color indexed="81"/>
            <rFont val="Tahoma"/>
            <family val="2"/>
          </rPr>
          <t xml:space="preserve">Includes CFP, CFP2, CFP4, QSFP28 SR2 and SR4 products
</t>
        </r>
        <r>
          <rPr>
            <sz val="9"/>
            <color indexed="81"/>
            <rFont val="Tahoma"/>
            <family val="2"/>
          </rPr>
          <t xml:space="preserve">
</t>
        </r>
      </text>
    </comment>
    <comment ref="D176" authorId="0">
      <text>
        <r>
          <rPr>
            <b/>
            <sz val="9"/>
            <color indexed="81"/>
            <rFont val="Tahoma"/>
            <family val="2"/>
          </rPr>
          <t>PSM4 and DR products</t>
        </r>
      </text>
    </comment>
    <comment ref="D177" authorId="0">
      <text>
        <r>
          <rPr>
            <b/>
            <sz val="9"/>
            <color indexed="81"/>
            <rFont val="Tahoma"/>
            <family val="2"/>
          </rPr>
          <t xml:space="preserve">MSAs
</t>
        </r>
      </text>
    </comment>
    <comment ref="D178" authorId="0">
      <text>
        <r>
          <rPr>
            <b/>
            <sz val="9"/>
            <color indexed="81"/>
            <rFont val="Tahoma"/>
            <family val="2"/>
          </rPr>
          <t xml:space="preserve">Includes CFP, CFP2, CFP4, QSFP28 LR4 and MSAs
</t>
        </r>
        <r>
          <rPr>
            <sz val="9"/>
            <color indexed="81"/>
            <rFont val="Tahoma"/>
            <family val="2"/>
          </rPr>
          <t xml:space="preserve">
</t>
        </r>
      </text>
    </comment>
    <comment ref="D260" authorId="0">
      <text>
        <r>
          <rPr>
            <sz val="9"/>
            <color indexed="81"/>
            <rFont val="Tahoma"/>
            <family val="2"/>
          </rPr>
          <t>includes 300m 4xSR, 100m MM Duplex, and standard 100m reach products</t>
        </r>
      </text>
    </comment>
    <comment ref="R260" authorId="0">
      <text>
        <r>
          <rPr>
            <sz val="9"/>
            <color indexed="81"/>
            <rFont val="Tahoma"/>
            <family val="2"/>
          </rPr>
          <t>includes 300m 4xSR, 100m MM Duplex, and standard 100m reach products</t>
        </r>
      </text>
    </comment>
    <comment ref="D261" authorId="0">
      <text>
        <r>
          <rPr>
            <b/>
            <sz val="9"/>
            <color indexed="81"/>
            <rFont val="Tahoma"/>
            <family val="2"/>
          </rPr>
          <t xml:space="preserve">PSM4
</t>
        </r>
      </text>
    </comment>
    <comment ref="R261" authorId="0">
      <text>
        <r>
          <rPr>
            <b/>
            <sz val="9"/>
            <color indexed="81"/>
            <rFont val="Tahoma"/>
            <family val="2"/>
          </rPr>
          <t xml:space="preserve">PSM4
</t>
        </r>
      </text>
    </comment>
    <comment ref="D267" authorId="0">
      <text>
        <r>
          <rPr>
            <b/>
            <sz val="9"/>
            <color indexed="81"/>
            <rFont val="Tahoma"/>
            <family val="2"/>
          </rPr>
          <t xml:space="preserve">Includes CFP, CFP2, CFP4, QSFP28 SR2 and SR4 products
</t>
        </r>
        <r>
          <rPr>
            <sz val="9"/>
            <color indexed="81"/>
            <rFont val="Tahoma"/>
            <family val="2"/>
          </rPr>
          <t xml:space="preserve">
</t>
        </r>
      </text>
    </comment>
    <comment ref="R267" authorId="0">
      <text>
        <r>
          <rPr>
            <b/>
            <sz val="9"/>
            <color indexed="81"/>
            <rFont val="Tahoma"/>
            <family val="2"/>
          </rPr>
          <t xml:space="preserve">Includes CFP, CFP2, CFP4, QSFP28 SR2 and SR4 products
</t>
        </r>
        <r>
          <rPr>
            <sz val="9"/>
            <color indexed="81"/>
            <rFont val="Tahoma"/>
            <family val="2"/>
          </rPr>
          <t xml:space="preserve">
</t>
        </r>
      </text>
    </comment>
    <comment ref="D268" authorId="0">
      <text>
        <r>
          <rPr>
            <b/>
            <sz val="9"/>
            <color indexed="81"/>
            <rFont val="Tahoma"/>
            <family val="2"/>
          </rPr>
          <t>PSM4 and DR products</t>
        </r>
      </text>
    </comment>
    <comment ref="R268" authorId="0">
      <text>
        <r>
          <rPr>
            <b/>
            <sz val="9"/>
            <color indexed="81"/>
            <rFont val="Tahoma"/>
            <family val="2"/>
          </rPr>
          <t>PSM4 and DR products</t>
        </r>
      </text>
    </comment>
    <comment ref="D269" authorId="0">
      <text>
        <r>
          <rPr>
            <b/>
            <sz val="9"/>
            <color indexed="81"/>
            <rFont val="Tahoma"/>
            <family val="2"/>
          </rPr>
          <t xml:space="preserve">MSAs
</t>
        </r>
      </text>
    </comment>
    <comment ref="R269" authorId="0">
      <text>
        <r>
          <rPr>
            <b/>
            <sz val="9"/>
            <color indexed="81"/>
            <rFont val="Tahoma"/>
            <family val="2"/>
          </rPr>
          <t xml:space="preserve">MSAs
</t>
        </r>
      </text>
    </comment>
    <comment ref="D270" authorId="0">
      <text>
        <r>
          <rPr>
            <b/>
            <sz val="9"/>
            <color indexed="81"/>
            <rFont val="Tahoma"/>
            <family val="2"/>
          </rPr>
          <t xml:space="preserve">Includes CFP, CFP2, CFP4, QSFP28 LR4 and MSAs
</t>
        </r>
        <r>
          <rPr>
            <sz val="9"/>
            <color indexed="81"/>
            <rFont val="Tahoma"/>
            <family val="2"/>
          </rPr>
          <t xml:space="preserve">
</t>
        </r>
      </text>
    </comment>
    <comment ref="R270" authorId="0">
      <text>
        <r>
          <rPr>
            <b/>
            <sz val="9"/>
            <color indexed="81"/>
            <rFont val="Tahoma"/>
            <family val="2"/>
          </rPr>
          <t xml:space="preserve">Includes CFP, CFP2, CFP4, QSFP28 LR4 and MSAs
</t>
        </r>
        <r>
          <rPr>
            <sz val="9"/>
            <color indexed="81"/>
            <rFont val="Tahoma"/>
            <family val="2"/>
          </rPr>
          <t xml:space="preserve">
</t>
        </r>
      </text>
    </comment>
    <comment ref="D282" authorId="0">
      <text>
        <r>
          <rPr>
            <sz val="9"/>
            <color indexed="81"/>
            <rFont val="Tahoma"/>
            <family val="2"/>
          </rPr>
          <t>includes 300m 4xSR, 100m MM Duplex, and standard 100m reach products</t>
        </r>
      </text>
    </comment>
    <comment ref="R282" authorId="0">
      <text>
        <r>
          <rPr>
            <sz val="9"/>
            <color indexed="81"/>
            <rFont val="Tahoma"/>
            <family val="2"/>
          </rPr>
          <t>includes 300m 4xSR, 100m MM Duplex, and standard 100m reach products</t>
        </r>
      </text>
    </comment>
    <comment ref="D283" authorId="0">
      <text>
        <r>
          <rPr>
            <b/>
            <sz val="9"/>
            <color indexed="81"/>
            <rFont val="Tahoma"/>
            <family val="2"/>
          </rPr>
          <t xml:space="preserve">PSM4
</t>
        </r>
      </text>
    </comment>
    <comment ref="R283" authorId="0">
      <text>
        <r>
          <rPr>
            <b/>
            <sz val="9"/>
            <color indexed="81"/>
            <rFont val="Tahoma"/>
            <family val="2"/>
          </rPr>
          <t xml:space="preserve">PSM4
</t>
        </r>
      </text>
    </comment>
    <comment ref="D289" authorId="0">
      <text>
        <r>
          <rPr>
            <b/>
            <sz val="9"/>
            <color indexed="81"/>
            <rFont val="Tahoma"/>
            <family val="2"/>
          </rPr>
          <t xml:space="preserve">Includes CFP, CFP2, CFP4, QSFP28 SR2 and SR4 products
</t>
        </r>
        <r>
          <rPr>
            <sz val="9"/>
            <color indexed="81"/>
            <rFont val="Tahoma"/>
            <family val="2"/>
          </rPr>
          <t xml:space="preserve">
</t>
        </r>
      </text>
    </comment>
    <comment ref="R289" authorId="0">
      <text>
        <r>
          <rPr>
            <b/>
            <sz val="9"/>
            <color indexed="81"/>
            <rFont val="Tahoma"/>
            <family val="2"/>
          </rPr>
          <t xml:space="preserve">Includes CFP, CFP2, CFP4, QSFP28 SR2 and SR4 products
</t>
        </r>
        <r>
          <rPr>
            <sz val="9"/>
            <color indexed="81"/>
            <rFont val="Tahoma"/>
            <family val="2"/>
          </rPr>
          <t xml:space="preserve">
</t>
        </r>
      </text>
    </comment>
    <comment ref="D290" authorId="0">
      <text>
        <r>
          <rPr>
            <b/>
            <sz val="9"/>
            <color indexed="81"/>
            <rFont val="Tahoma"/>
            <family val="2"/>
          </rPr>
          <t>PSM4 and DR products</t>
        </r>
      </text>
    </comment>
    <comment ref="R290" authorId="0">
      <text>
        <r>
          <rPr>
            <b/>
            <sz val="9"/>
            <color indexed="81"/>
            <rFont val="Tahoma"/>
            <family val="2"/>
          </rPr>
          <t>PSM4 and DR products</t>
        </r>
      </text>
    </comment>
    <comment ref="D291" authorId="0">
      <text>
        <r>
          <rPr>
            <b/>
            <sz val="9"/>
            <color indexed="81"/>
            <rFont val="Tahoma"/>
            <family val="2"/>
          </rPr>
          <t xml:space="preserve">MSAs
</t>
        </r>
      </text>
    </comment>
    <comment ref="R291" authorId="0">
      <text>
        <r>
          <rPr>
            <b/>
            <sz val="9"/>
            <color indexed="81"/>
            <rFont val="Tahoma"/>
            <family val="2"/>
          </rPr>
          <t xml:space="preserve">MSAs
</t>
        </r>
      </text>
    </comment>
    <comment ref="D292" authorId="0">
      <text>
        <r>
          <rPr>
            <b/>
            <sz val="9"/>
            <color indexed="81"/>
            <rFont val="Tahoma"/>
            <family val="2"/>
          </rPr>
          <t xml:space="preserve">Includes CFP, CFP2, CFP4, QSFP28 LR4 and MSAs
</t>
        </r>
        <r>
          <rPr>
            <sz val="9"/>
            <color indexed="81"/>
            <rFont val="Tahoma"/>
            <family val="2"/>
          </rPr>
          <t xml:space="preserve">
</t>
        </r>
      </text>
    </comment>
    <comment ref="R292" authorId="0">
      <text>
        <r>
          <rPr>
            <b/>
            <sz val="9"/>
            <color indexed="81"/>
            <rFont val="Tahoma"/>
            <family val="2"/>
          </rPr>
          <t xml:space="preserve">Includes CFP, CFP2, CFP4, QSFP28 LR4 and MSAs
</t>
        </r>
        <r>
          <rPr>
            <sz val="9"/>
            <color indexed="81"/>
            <rFont val="Tahoma"/>
            <family val="2"/>
          </rPr>
          <t xml:space="preserve">
</t>
        </r>
      </text>
    </comment>
    <comment ref="D304" authorId="0">
      <text>
        <r>
          <rPr>
            <sz val="9"/>
            <color indexed="81"/>
            <rFont val="Tahoma"/>
            <family val="2"/>
          </rPr>
          <t>includes 300m 4xSR, 100m MM Duplex, and standard 100m reach products</t>
        </r>
      </text>
    </comment>
    <comment ref="R304" authorId="0">
      <text>
        <r>
          <rPr>
            <sz val="9"/>
            <color indexed="81"/>
            <rFont val="Tahoma"/>
            <family val="2"/>
          </rPr>
          <t>includes 300m 4xSR, 100m MM Duplex, and standard 100m reach products</t>
        </r>
      </text>
    </comment>
    <comment ref="D305" authorId="0">
      <text>
        <r>
          <rPr>
            <b/>
            <sz val="9"/>
            <color indexed="81"/>
            <rFont val="Tahoma"/>
            <family val="2"/>
          </rPr>
          <t xml:space="preserve">PSM4
</t>
        </r>
      </text>
    </comment>
    <comment ref="R305" authorId="0">
      <text>
        <r>
          <rPr>
            <b/>
            <sz val="9"/>
            <color indexed="81"/>
            <rFont val="Tahoma"/>
            <family val="2"/>
          </rPr>
          <t xml:space="preserve">PSM4
</t>
        </r>
      </text>
    </comment>
    <comment ref="D311" authorId="0">
      <text>
        <r>
          <rPr>
            <b/>
            <sz val="9"/>
            <color indexed="81"/>
            <rFont val="Tahoma"/>
            <family val="2"/>
          </rPr>
          <t xml:space="preserve">Includes CFP, CFP2, CFP4, QSFP28 SR2 and SR4 products
</t>
        </r>
        <r>
          <rPr>
            <sz val="9"/>
            <color indexed="81"/>
            <rFont val="Tahoma"/>
            <family val="2"/>
          </rPr>
          <t xml:space="preserve">
</t>
        </r>
      </text>
    </comment>
    <comment ref="R311" authorId="0">
      <text>
        <r>
          <rPr>
            <b/>
            <sz val="9"/>
            <color indexed="81"/>
            <rFont val="Tahoma"/>
            <family val="2"/>
          </rPr>
          <t xml:space="preserve">Includes CFP, CFP2, CFP4, QSFP28 SR2 and SR4 products
</t>
        </r>
        <r>
          <rPr>
            <sz val="9"/>
            <color indexed="81"/>
            <rFont val="Tahoma"/>
            <family val="2"/>
          </rPr>
          <t xml:space="preserve">
</t>
        </r>
      </text>
    </comment>
    <comment ref="D312" authorId="0">
      <text>
        <r>
          <rPr>
            <b/>
            <sz val="9"/>
            <color indexed="81"/>
            <rFont val="Tahoma"/>
            <family val="2"/>
          </rPr>
          <t>PSM4 and DR products</t>
        </r>
      </text>
    </comment>
    <comment ref="R312" authorId="0">
      <text>
        <r>
          <rPr>
            <b/>
            <sz val="9"/>
            <color indexed="81"/>
            <rFont val="Tahoma"/>
            <family val="2"/>
          </rPr>
          <t>PSM4 and DR products</t>
        </r>
      </text>
    </comment>
    <comment ref="D313" authorId="0">
      <text>
        <r>
          <rPr>
            <b/>
            <sz val="9"/>
            <color indexed="81"/>
            <rFont val="Tahoma"/>
            <family val="2"/>
          </rPr>
          <t xml:space="preserve">MSAs
</t>
        </r>
      </text>
    </comment>
    <comment ref="R313" authorId="0">
      <text>
        <r>
          <rPr>
            <b/>
            <sz val="9"/>
            <color indexed="81"/>
            <rFont val="Tahoma"/>
            <family val="2"/>
          </rPr>
          <t xml:space="preserve">MSAs
</t>
        </r>
      </text>
    </comment>
    <comment ref="D314" authorId="0">
      <text>
        <r>
          <rPr>
            <b/>
            <sz val="9"/>
            <color indexed="81"/>
            <rFont val="Tahoma"/>
            <family val="2"/>
          </rPr>
          <t xml:space="preserve">Includes CFP, CFP2, CFP4, QSFP28 LR4 and MSAs
</t>
        </r>
        <r>
          <rPr>
            <sz val="9"/>
            <color indexed="81"/>
            <rFont val="Tahoma"/>
            <family val="2"/>
          </rPr>
          <t xml:space="preserve">
</t>
        </r>
      </text>
    </comment>
    <comment ref="R314" authorId="0">
      <text>
        <r>
          <rPr>
            <b/>
            <sz val="9"/>
            <color indexed="81"/>
            <rFont val="Tahoma"/>
            <family val="2"/>
          </rPr>
          <t xml:space="preserve">Includes CFP, CFP2, CFP4, QSFP28 LR4 and MSAs
</t>
        </r>
        <r>
          <rPr>
            <sz val="9"/>
            <color indexed="81"/>
            <rFont val="Tahoma"/>
            <family val="2"/>
          </rPr>
          <t xml:space="preserve">
</t>
        </r>
      </text>
    </comment>
  </commentList>
</comments>
</file>

<file path=xl/comments3.xml><?xml version="1.0" encoding="utf-8"?>
<comments xmlns="http://schemas.openxmlformats.org/spreadsheetml/2006/main">
  <authors>
    <author>John Lively</author>
  </authors>
  <commentList>
    <comment ref="D11" authorId="0">
      <text>
        <r>
          <rPr>
            <sz val="9"/>
            <color indexed="81"/>
            <rFont val="Tahoma"/>
            <family val="2"/>
          </rPr>
          <t>includes 300m 4xSR, 100m MM Duplex, and standard 100m reach products</t>
        </r>
      </text>
    </comment>
    <comment ref="D12" authorId="0">
      <text>
        <r>
          <rPr>
            <b/>
            <sz val="9"/>
            <color indexed="81"/>
            <rFont val="Tahoma"/>
            <family val="2"/>
          </rPr>
          <t xml:space="preserve">PSM4
</t>
        </r>
      </text>
    </comment>
    <comment ref="D18" authorId="0">
      <text>
        <r>
          <rPr>
            <b/>
            <sz val="9"/>
            <color indexed="81"/>
            <rFont val="Tahoma"/>
            <family val="2"/>
          </rPr>
          <t xml:space="preserve">Includes CFP, CFP2, CFP4, QSFP28 SR2 and SR4 products
</t>
        </r>
        <r>
          <rPr>
            <sz val="9"/>
            <color indexed="81"/>
            <rFont val="Tahoma"/>
            <family val="2"/>
          </rPr>
          <t xml:space="preserve">
</t>
        </r>
      </text>
    </comment>
    <comment ref="D19" authorId="0">
      <text>
        <r>
          <rPr>
            <b/>
            <sz val="9"/>
            <color indexed="81"/>
            <rFont val="Tahoma"/>
            <family val="2"/>
          </rPr>
          <t>PSM4 and DR products</t>
        </r>
      </text>
    </comment>
    <comment ref="D20" authorId="0">
      <text>
        <r>
          <rPr>
            <b/>
            <sz val="9"/>
            <color indexed="81"/>
            <rFont val="Tahoma"/>
            <family val="2"/>
          </rPr>
          <t xml:space="preserve">MSAs
</t>
        </r>
      </text>
    </comment>
    <comment ref="D21" authorId="0">
      <text>
        <r>
          <rPr>
            <b/>
            <sz val="9"/>
            <color indexed="81"/>
            <rFont val="Tahoma"/>
            <family val="2"/>
          </rPr>
          <t xml:space="preserve">Includes CFP, CFP2, CFP4, QSFP28 LR4 and MSAs
</t>
        </r>
        <r>
          <rPr>
            <sz val="9"/>
            <color indexed="81"/>
            <rFont val="Tahoma"/>
            <family val="2"/>
          </rPr>
          <t xml:space="preserve">
</t>
        </r>
      </text>
    </comment>
    <comment ref="D33" authorId="0">
      <text>
        <r>
          <rPr>
            <sz val="9"/>
            <color indexed="81"/>
            <rFont val="Tahoma"/>
            <family val="2"/>
          </rPr>
          <t>includes 300m 4xSR, 100m MM Duplex, and standard 100m reach products</t>
        </r>
      </text>
    </comment>
    <comment ref="D34" authorId="0">
      <text>
        <r>
          <rPr>
            <b/>
            <sz val="9"/>
            <color indexed="81"/>
            <rFont val="Tahoma"/>
            <family val="2"/>
          </rPr>
          <t xml:space="preserve">PSM4
</t>
        </r>
      </text>
    </comment>
    <comment ref="D40" authorId="0">
      <text>
        <r>
          <rPr>
            <b/>
            <sz val="9"/>
            <color indexed="81"/>
            <rFont val="Tahoma"/>
            <family val="2"/>
          </rPr>
          <t xml:space="preserve">Includes CFP, CFP2, CFP4, QSFP28 SR2 and SR4 products
</t>
        </r>
        <r>
          <rPr>
            <sz val="9"/>
            <color indexed="81"/>
            <rFont val="Tahoma"/>
            <family val="2"/>
          </rPr>
          <t xml:space="preserve">
</t>
        </r>
      </text>
    </comment>
    <comment ref="D41" authorId="0">
      <text>
        <r>
          <rPr>
            <b/>
            <sz val="9"/>
            <color indexed="81"/>
            <rFont val="Tahoma"/>
            <family val="2"/>
          </rPr>
          <t>PSM4 and DR products</t>
        </r>
      </text>
    </comment>
    <comment ref="D42" authorId="0">
      <text>
        <r>
          <rPr>
            <b/>
            <sz val="9"/>
            <color indexed="81"/>
            <rFont val="Tahoma"/>
            <family val="2"/>
          </rPr>
          <t xml:space="preserve">MSAs
</t>
        </r>
      </text>
    </comment>
    <comment ref="D43" authorId="0">
      <text>
        <r>
          <rPr>
            <b/>
            <sz val="9"/>
            <color indexed="81"/>
            <rFont val="Tahoma"/>
            <family val="2"/>
          </rPr>
          <t xml:space="preserve">Includes CFP, CFP2, CFP4, QSFP28 LR4 and MSAs
</t>
        </r>
        <r>
          <rPr>
            <sz val="9"/>
            <color indexed="81"/>
            <rFont val="Tahoma"/>
            <family val="2"/>
          </rPr>
          <t xml:space="preserve">
</t>
        </r>
      </text>
    </comment>
    <comment ref="D100" authorId="0">
      <text>
        <r>
          <rPr>
            <sz val="9"/>
            <color indexed="81"/>
            <rFont val="Tahoma"/>
            <family val="2"/>
          </rPr>
          <t>includes 300m 4xSR, 100m MM Duplex, and standard 100m reach products</t>
        </r>
      </text>
    </comment>
    <comment ref="D101" authorId="0">
      <text>
        <r>
          <rPr>
            <b/>
            <sz val="9"/>
            <color indexed="81"/>
            <rFont val="Tahoma"/>
            <family val="2"/>
          </rPr>
          <t xml:space="preserve">PSM4
</t>
        </r>
      </text>
    </comment>
    <comment ref="D107" authorId="0">
      <text>
        <r>
          <rPr>
            <b/>
            <sz val="9"/>
            <color indexed="81"/>
            <rFont val="Tahoma"/>
            <family val="2"/>
          </rPr>
          <t xml:space="preserve">Includes CFP, CFP2, CFP4, QSFP28 SR2 and SR4 products
</t>
        </r>
        <r>
          <rPr>
            <sz val="9"/>
            <color indexed="81"/>
            <rFont val="Tahoma"/>
            <family val="2"/>
          </rPr>
          <t xml:space="preserve">
</t>
        </r>
      </text>
    </comment>
    <comment ref="D108" authorId="0">
      <text>
        <r>
          <rPr>
            <b/>
            <sz val="9"/>
            <color indexed="81"/>
            <rFont val="Tahoma"/>
            <family val="2"/>
          </rPr>
          <t>PSM4 and DR products</t>
        </r>
      </text>
    </comment>
    <comment ref="D109" authorId="0">
      <text>
        <r>
          <rPr>
            <b/>
            <sz val="9"/>
            <color indexed="81"/>
            <rFont val="Tahoma"/>
            <family val="2"/>
          </rPr>
          <t xml:space="preserve">MSAs
</t>
        </r>
      </text>
    </comment>
    <comment ref="D110" authorId="0">
      <text>
        <r>
          <rPr>
            <b/>
            <sz val="9"/>
            <color indexed="81"/>
            <rFont val="Tahoma"/>
            <family val="2"/>
          </rPr>
          <t xml:space="preserve">Includes CFP, CFP2, CFP4, QSFP28 LR4 and MSAs
</t>
        </r>
        <r>
          <rPr>
            <sz val="9"/>
            <color indexed="81"/>
            <rFont val="Tahoma"/>
            <family val="2"/>
          </rPr>
          <t xml:space="preserve">
</t>
        </r>
      </text>
    </comment>
    <comment ref="D168" authorId="0">
      <text>
        <r>
          <rPr>
            <sz val="9"/>
            <color indexed="81"/>
            <rFont val="Tahoma"/>
            <family val="2"/>
          </rPr>
          <t>includes 300m 4xSR, 100m MM Duplex, and standard 100m reach products</t>
        </r>
      </text>
    </comment>
    <comment ref="D169" authorId="0">
      <text>
        <r>
          <rPr>
            <b/>
            <sz val="9"/>
            <color indexed="81"/>
            <rFont val="Tahoma"/>
            <family val="2"/>
          </rPr>
          <t xml:space="preserve">PSM4
</t>
        </r>
      </text>
    </comment>
    <comment ref="D175" authorId="0">
      <text>
        <r>
          <rPr>
            <b/>
            <sz val="9"/>
            <color indexed="81"/>
            <rFont val="Tahoma"/>
            <family val="2"/>
          </rPr>
          <t xml:space="preserve">Includes CFP, CFP2, CFP4, QSFP28 SR2 and SR4 products
</t>
        </r>
        <r>
          <rPr>
            <sz val="9"/>
            <color indexed="81"/>
            <rFont val="Tahoma"/>
            <family val="2"/>
          </rPr>
          <t xml:space="preserve">
</t>
        </r>
      </text>
    </comment>
    <comment ref="D176" authorId="0">
      <text>
        <r>
          <rPr>
            <b/>
            <sz val="9"/>
            <color indexed="81"/>
            <rFont val="Tahoma"/>
            <family val="2"/>
          </rPr>
          <t>PSM4 and DR products</t>
        </r>
      </text>
    </comment>
    <comment ref="D177" authorId="0">
      <text>
        <r>
          <rPr>
            <b/>
            <sz val="9"/>
            <color indexed="81"/>
            <rFont val="Tahoma"/>
            <family val="2"/>
          </rPr>
          <t xml:space="preserve">MSAs
</t>
        </r>
      </text>
    </comment>
    <comment ref="D178" authorId="0">
      <text>
        <r>
          <rPr>
            <b/>
            <sz val="9"/>
            <color indexed="81"/>
            <rFont val="Tahoma"/>
            <family val="2"/>
          </rPr>
          <t xml:space="preserve">Includes CFP, CFP2, CFP4, QSFP28 LR4 and MSAs
</t>
        </r>
        <r>
          <rPr>
            <sz val="9"/>
            <color indexed="81"/>
            <rFont val="Tahoma"/>
            <family val="2"/>
          </rPr>
          <t xml:space="preserve">
</t>
        </r>
      </text>
    </comment>
  </commentList>
</comments>
</file>

<file path=xl/comments4.xml><?xml version="1.0" encoding="utf-8"?>
<comments xmlns="http://schemas.openxmlformats.org/spreadsheetml/2006/main">
  <authors>
    <author>John Lively</author>
  </authors>
  <commentList>
    <comment ref="D11" authorId="0">
      <text>
        <r>
          <rPr>
            <sz val="9"/>
            <color indexed="81"/>
            <rFont val="Tahoma"/>
            <family val="2"/>
          </rPr>
          <t>includes 300m 4xSR, 100m MM Duplex, and standard 100m reach products</t>
        </r>
      </text>
    </comment>
    <comment ref="D12" authorId="0">
      <text>
        <r>
          <rPr>
            <b/>
            <sz val="9"/>
            <color indexed="81"/>
            <rFont val="Tahoma"/>
            <family val="2"/>
          </rPr>
          <t xml:space="preserve">PSM4
</t>
        </r>
      </text>
    </comment>
    <comment ref="D18" authorId="0">
      <text>
        <r>
          <rPr>
            <b/>
            <sz val="9"/>
            <color indexed="81"/>
            <rFont val="Tahoma"/>
            <family val="2"/>
          </rPr>
          <t xml:space="preserve">Includes CFP, CFP2, CFP4, QSFP28 SR2 and SR4 products
</t>
        </r>
        <r>
          <rPr>
            <sz val="9"/>
            <color indexed="81"/>
            <rFont val="Tahoma"/>
            <family val="2"/>
          </rPr>
          <t xml:space="preserve">
</t>
        </r>
      </text>
    </comment>
    <comment ref="D19" authorId="0">
      <text>
        <r>
          <rPr>
            <b/>
            <sz val="9"/>
            <color indexed="81"/>
            <rFont val="Tahoma"/>
            <family val="2"/>
          </rPr>
          <t>PSM4 and DR products</t>
        </r>
      </text>
    </comment>
    <comment ref="D20" authorId="0">
      <text>
        <r>
          <rPr>
            <b/>
            <sz val="9"/>
            <color indexed="81"/>
            <rFont val="Tahoma"/>
            <family val="2"/>
          </rPr>
          <t xml:space="preserve">MSAs
</t>
        </r>
      </text>
    </comment>
    <comment ref="D21" authorId="0">
      <text>
        <r>
          <rPr>
            <b/>
            <sz val="9"/>
            <color indexed="81"/>
            <rFont val="Tahoma"/>
            <family val="2"/>
          </rPr>
          <t xml:space="preserve">Includes CFP, CFP2, CFP4, QSFP28 LR4 and MSAs
</t>
        </r>
        <r>
          <rPr>
            <sz val="9"/>
            <color indexed="81"/>
            <rFont val="Tahoma"/>
            <family val="2"/>
          </rPr>
          <t xml:space="preserve">
</t>
        </r>
      </text>
    </comment>
    <comment ref="D33" authorId="0">
      <text>
        <r>
          <rPr>
            <sz val="9"/>
            <color indexed="81"/>
            <rFont val="Tahoma"/>
            <family val="2"/>
          </rPr>
          <t>includes 300m 4xSR, 100m MM Duplex, and standard 100m reach products</t>
        </r>
      </text>
    </comment>
    <comment ref="D34" authorId="0">
      <text>
        <r>
          <rPr>
            <b/>
            <sz val="9"/>
            <color indexed="81"/>
            <rFont val="Tahoma"/>
            <family val="2"/>
          </rPr>
          <t xml:space="preserve">PSM4
</t>
        </r>
      </text>
    </comment>
    <comment ref="D40" authorId="0">
      <text>
        <r>
          <rPr>
            <b/>
            <sz val="9"/>
            <color indexed="81"/>
            <rFont val="Tahoma"/>
            <family val="2"/>
          </rPr>
          <t xml:space="preserve">Includes CFP, CFP2, CFP4, QSFP28 SR2 and SR4 products
</t>
        </r>
        <r>
          <rPr>
            <sz val="9"/>
            <color indexed="81"/>
            <rFont val="Tahoma"/>
            <family val="2"/>
          </rPr>
          <t xml:space="preserve">
</t>
        </r>
      </text>
    </comment>
    <comment ref="D41" authorId="0">
      <text>
        <r>
          <rPr>
            <b/>
            <sz val="9"/>
            <color indexed="81"/>
            <rFont val="Tahoma"/>
            <family val="2"/>
          </rPr>
          <t>PSM4 and DR products</t>
        </r>
      </text>
    </comment>
    <comment ref="D42" authorId="0">
      <text>
        <r>
          <rPr>
            <b/>
            <sz val="9"/>
            <color indexed="81"/>
            <rFont val="Tahoma"/>
            <family val="2"/>
          </rPr>
          <t xml:space="preserve">MSAs
</t>
        </r>
      </text>
    </comment>
    <comment ref="D43" authorId="0">
      <text>
        <r>
          <rPr>
            <b/>
            <sz val="9"/>
            <color indexed="81"/>
            <rFont val="Tahoma"/>
            <family val="2"/>
          </rPr>
          <t xml:space="preserve">Includes CFP, CFP2, CFP4, QSFP28 LR4 and MSAs
</t>
        </r>
        <r>
          <rPr>
            <sz val="9"/>
            <color indexed="81"/>
            <rFont val="Tahoma"/>
            <family val="2"/>
          </rPr>
          <t xml:space="preserve">
</t>
        </r>
      </text>
    </comment>
    <comment ref="D100" authorId="0">
      <text>
        <r>
          <rPr>
            <sz val="9"/>
            <color indexed="81"/>
            <rFont val="Tahoma"/>
            <family val="2"/>
          </rPr>
          <t>includes 300m 4xSR, 100m MM Duplex, and standard 100m reach products</t>
        </r>
      </text>
    </comment>
    <comment ref="D101" authorId="0">
      <text>
        <r>
          <rPr>
            <b/>
            <sz val="9"/>
            <color indexed="81"/>
            <rFont val="Tahoma"/>
            <family val="2"/>
          </rPr>
          <t xml:space="preserve">PSM4
</t>
        </r>
      </text>
    </comment>
    <comment ref="D107" authorId="0">
      <text>
        <r>
          <rPr>
            <b/>
            <sz val="9"/>
            <color indexed="81"/>
            <rFont val="Tahoma"/>
            <family val="2"/>
          </rPr>
          <t xml:space="preserve">Includes CFP, CFP2, CFP4, QSFP28 SR2 and SR4 products
</t>
        </r>
        <r>
          <rPr>
            <sz val="9"/>
            <color indexed="81"/>
            <rFont val="Tahoma"/>
            <family val="2"/>
          </rPr>
          <t xml:space="preserve">
</t>
        </r>
      </text>
    </comment>
    <comment ref="D108" authorId="0">
      <text>
        <r>
          <rPr>
            <b/>
            <sz val="9"/>
            <color indexed="81"/>
            <rFont val="Tahoma"/>
            <family val="2"/>
          </rPr>
          <t>PSM4 and DR products</t>
        </r>
      </text>
    </comment>
    <comment ref="D109" authorId="0">
      <text>
        <r>
          <rPr>
            <b/>
            <sz val="9"/>
            <color indexed="81"/>
            <rFont val="Tahoma"/>
            <family val="2"/>
          </rPr>
          <t xml:space="preserve">MSAs
</t>
        </r>
      </text>
    </comment>
    <comment ref="D110" authorId="0">
      <text>
        <r>
          <rPr>
            <b/>
            <sz val="9"/>
            <color indexed="81"/>
            <rFont val="Tahoma"/>
            <family val="2"/>
          </rPr>
          <t xml:space="preserve">Includes CFP, CFP2, CFP4, QSFP28 LR4 and MSAs
</t>
        </r>
        <r>
          <rPr>
            <sz val="9"/>
            <color indexed="81"/>
            <rFont val="Tahoma"/>
            <family val="2"/>
          </rPr>
          <t xml:space="preserve">
</t>
        </r>
      </text>
    </comment>
    <comment ref="D168" authorId="0">
      <text>
        <r>
          <rPr>
            <sz val="9"/>
            <color indexed="81"/>
            <rFont val="Tahoma"/>
            <family val="2"/>
          </rPr>
          <t>includes 300m 4xSR, 100m MM Duplex, and standard 100m reach products</t>
        </r>
      </text>
    </comment>
    <comment ref="D169" authorId="0">
      <text>
        <r>
          <rPr>
            <b/>
            <sz val="9"/>
            <color indexed="81"/>
            <rFont val="Tahoma"/>
            <family val="2"/>
          </rPr>
          <t xml:space="preserve">PSM4
</t>
        </r>
      </text>
    </comment>
    <comment ref="D175" authorId="0">
      <text>
        <r>
          <rPr>
            <b/>
            <sz val="9"/>
            <color indexed="81"/>
            <rFont val="Tahoma"/>
            <family val="2"/>
          </rPr>
          <t xml:space="preserve">Includes CFP, CFP2, CFP4, QSFP28 SR2 and SR4 products
</t>
        </r>
        <r>
          <rPr>
            <sz val="9"/>
            <color indexed="81"/>
            <rFont val="Tahoma"/>
            <family val="2"/>
          </rPr>
          <t xml:space="preserve">
</t>
        </r>
      </text>
    </comment>
    <comment ref="D176" authorId="0">
      <text>
        <r>
          <rPr>
            <b/>
            <sz val="9"/>
            <color indexed="81"/>
            <rFont val="Tahoma"/>
            <family val="2"/>
          </rPr>
          <t>PSM4 and DR products</t>
        </r>
      </text>
    </comment>
    <comment ref="D177" authorId="0">
      <text>
        <r>
          <rPr>
            <b/>
            <sz val="9"/>
            <color indexed="81"/>
            <rFont val="Tahoma"/>
            <family val="2"/>
          </rPr>
          <t xml:space="preserve">MSAs
</t>
        </r>
      </text>
    </comment>
    <comment ref="D178" authorId="0">
      <text>
        <r>
          <rPr>
            <b/>
            <sz val="9"/>
            <color indexed="81"/>
            <rFont val="Tahoma"/>
            <family val="2"/>
          </rPr>
          <t xml:space="preserve">Includes CFP, CFP2, CFP4, QSFP28 LR4 and MSAs
</t>
        </r>
        <r>
          <rPr>
            <sz val="9"/>
            <color indexed="81"/>
            <rFont val="Tahoma"/>
            <family val="2"/>
          </rPr>
          <t xml:space="preserve">
</t>
        </r>
      </text>
    </comment>
  </commentList>
</comments>
</file>

<file path=xl/comments5.xml><?xml version="1.0" encoding="utf-8"?>
<comments xmlns="http://schemas.openxmlformats.org/spreadsheetml/2006/main">
  <authors>
    <author>JSL</author>
  </authors>
  <commentList>
    <comment ref="I7" authorId="0">
      <text>
        <r>
          <rPr>
            <sz val="9"/>
            <color indexed="81"/>
            <rFont val="Tahoma"/>
            <family val="2"/>
          </rPr>
          <t xml:space="preserve">JSL: Rough estimates by JSL because published forecast only goes through 2019
</t>
        </r>
      </text>
    </comment>
    <comment ref="W7" authorId="0">
      <text>
        <r>
          <rPr>
            <sz val="9"/>
            <color indexed="81"/>
            <rFont val="Tahoma"/>
            <family val="2"/>
          </rPr>
          <t xml:space="preserve">JSL: Rough estimates by JSL because published forecast only goes through 2019
</t>
        </r>
      </text>
    </comment>
    <comment ref="I76" authorId="0">
      <text>
        <r>
          <rPr>
            <sz val="9"/>
            <color indexed="81"/>
            <rFont val="Tahoma"/>
            <family val="2"/>
          </rPr>
          <t xml:space="preserve">JSL: Rough estimates by JSL because published forecast only goes through 2019
</t>
        </r>
      </text>
    </comment>
    <comment ref="I144" authorId="0">
      <text>
        <r>
          <rPr>
            <sz val="9"/>
            <color indexed="81"/>
            <rFont val="Tahoma"/>
            <family val="2"/>
          </rPr>
          <t xml:space="preserve">JSL: Rough estimates by JSL because published forecast only goes through 2019
</t>
        </r>
      </text>
    </comment>
  </commentList>
</comments>
</file>

<file path=xl/comments6.xml><?xml version="1.0" encoding="utf-8"?>
<comments xmlns="http://schemas.openxmlformats.org/spreadsheetml/2006/main">
  <authors>
    <author>John Lively</author>
  </authors>
  <commentList>
    <comment ref="D95" authorId="0">
      <text>
        <r>
          <rPr>
            <sz val="9"/>
            <color rgb="FF000000"/>
            <rFont val="Tahoma"/>
            <family val="2"/>
          </rPr>
          <t xml:space="preserve">downloaded from trading economics Jan 20 2021
</t>
        </r>
      </text>
    </comment>
    <comment ref="E95" authorId="0">
      <text>
        <r>
          <rPr>
            <sz val="9"/>
            <color rgb="FF000000"/>
            <rFont val="Tahoma"/>
            <family val="2"/>
          </rPr>
          <t xml:space="preserve">downloaded from trading economics Jan 20 2021
</t>
        </r>
      </text>
    </comment>
    <comment ref="F95" authorId="0">
      <text>
        <r>
          <rPr>
            <sz val="9"/>
            <color rgb="FF000000"/>
            <rFont val="Tahoma"/>
            <family val="2"/>
          </rPr>
          <t xml:space="preserve">downloaded from trading economics Jan 20 2021
</t>
        </r>
      </text>
    </comment>
    <comment ref="G95" authorId="0">
      <text>
        <r>
          <rPr>
            <sz val="9"/>
            <color rgb="FF000000"/>
            <rFont val="Tahoma"/>
            <family val="2"/>
          </rPr>
          <t xml:space="preserve">downloaded from trading economics Jan 20 2021
</t>
        </r>
      </text>
    </comment>
    <comment ref="H95" authorId="0">
      <text>
        <r>
          <rPr>
            <sz val="9"/>
            <color rgb="FF000000"/>
            <rFont val="Tahoma"/>
            <family val="2"/>
          </rPr>
          <t xml:space="preserve">downloaded from trading economics Jan 20 2021
</t>
        </r>
      </text>
    </comment>
    <comment ref="I95" authorId="0">
      <text>
        <r>
          <rPr>
            <sz val="9"/>
            <color rgb="FF000000"/>
            <rFont val="Tahoma"/>
            <family val="2"/>
          </rPr>
          <t xml:space="preserve">downloaded from trading economics Jan 20 2021
</t>
        </r>
      </text>
    </comment>
    <comment ref="J95" authorId="0">
      <text>
        <r>
          <rPr>
            <sz val="9"/>
            <color rgb="FF000000"/>
            <rFont val="Tahoma"/>
            <family val="2"/>
          </rPr>
          <t xml:space="preserve">downloaded from trading economics Jan 20 2021
</t>
        </r>
      </text>
    </comment>
    <comment ref="K95" authorId="0">
      <text>
        <r>
          <rPr>
            <sz val="9"/>
            <color rgb="FF000000"/>
            <rFont val="Tahoma"/>
            <family val="2"/>
          </rPr>
          <t xml:space="preserve">downloaded from trading economics Jan 20 2021
</t>
        </r>
      </text>
    </comment>
    <comment ref="L95" authorId="0">
      <text>
        <r>
          <rPr>
            <sz val="9"/>
            <color rgb="FF000000"/>
            <rFont val="Tahoma"/>
            <family val="2"/>
          </rPr>
          <t xml:space="preserve">downloaded from trading economics Jan 20 2021
</t>
        </r>
      </text>
    </comment>
    <comment ref="M95" authorId="0">
      <text>
        <r>
          <rPr>
            <sz val="9"/>
            <color rgb="FF000000"/>
            <rFont val="Tahoma"/>
            <family val="2"/>
          </rPr>
          <t xml:space="preserve">downloaded from trading economics Jan 20 2021
</t>
        </r>
      </text>
    </comment>
    <comment ref="N95" authorId="0">
      <text>
        <r>
          <rPr>
            <sz val="9"/>
            <color rgb="FF000000"/>
            <rFont val="Tahoma"/>
            <family val="2"/>
          </rPr>
          <t>Source: https://data.worldbank.org/country/china?view=chart</t>
        </r>
      </text>
    </comment>
  </commentList>
</comments>
</file>

<file path=xl/comments7.xml><?xml version="1.0" encoding="utf-8"?>
<comments xmlns="http://schemas.openxmlformats.org/spreadsheetml/2006/main">
  <authors>
    <author>John Lively</author>
  </authors>
  <commentList>
    <comment ref="M34" authorId="0">
      <text>
        <r>
          <rPr>
            <b/>
            <sz val="9"/>
            <color rgb="FF000000"/>
            <rFont val="Tahoma"/>
            <family val="2"/>
          </rPr>
          <t>John Lively:</t>
        </r>
        <r>
          <rPr>
            <sz val="9"/>
            <color rgb="FF000000"/>
            <rFont val="Tahoma"/>
            <family val="2"/>
          </rPr>
          <t xml:space="preserve">
</t>
        </r>
        <r>
          <rPr>
            <sz val="9"/>
            <color rgb="FF000000"/>
            <rFont val="Tahoma"/>
            <family val="2"/>
          </rPr>
          <t>Acquired by YOFC in April 2020 so revenue is not for full year</t>
        </r>
      </text>
    </comment>
    <comment ref="L45" authorId="0">
      <text>
        <r>
          <rPr>
            <b/>
            <sz val="9"/>
            <color rgb="FF000000"/>
            <rFont val="Tahoma"/>
            <family val="2"/>
          </rPr>
          <t>John Lively:</t>
        </r>
        <r>
          <rPr>
            <sz val="9"/>
            <color rgb="FF000000"/>
            <rFont val="Tahoma"/>
            <family val="2"/>
          </rPr>
          <t xml:space="preserve">
</t>
        </r>
        <r>
          <rPr>
            <sz val="9"/>
            <color rgb="FF000000"/>
            <rFont val="Tahoma"/>
            <family val="2"/>
          </rPr>
          <t xml:space="preserve">Half year figure. Acquired by II-VI in Q3 2019. </t>
        </r>
      </text>
    </comment>
    <comment ref="M45" authorId="0">
      <text>
        <r>
          <rPr>
            <b/>
            <sz val="9"/>
            <color rgb="FF000000"/>
            <rFont val="Tahoma"/>
            <family val="2"/>
          </rPr>
          <t>John Lively:</t>
        </r>
        <r>
          <rPr>
            <sz val="9"/>
            <color rgb="FF000000"/>
            <rFont val="Tahoma"/>
            <family val="2"/>
          </rPr>
          <t xml:space="preserve">
Included as part of II-VI above</t>
        </r>
      </text>
    </comment>
  </commentList>
</comments>
</file>

<file path=xl/sharedStrings.xml><?xml version="1.0" encoding="utf-8"?>
<sst xmlns="http://schemas.openxmlformats.org/spreadsheetml/2006/main" count="2872" uniqueCount="520">
  <si>
    <t>Units</t>
  </si>
  <si>
    <t>Sales ($M)</t>
  </si>
  <si>
    <t>CAGR</t>
  </si>
  <si>
    <t>Market Segment</t>
  </si>
  <si>
    <t xml:space="preserve">Ethernet </t>
  </si>
  <si>
    <t>Fibre Channel</t>
  </si>
  <si>
    <t>CWDM / DWDM</t>
  </si>
  <si>
    <t>Optical Interconnects</t>
  </si>
  <si>
    <t>FTTx</t>
  </si>
  <si>
    <t>TOTAL</t>
  </si>
  <si>
    <t>Data Rate</t>
  </si>
  <si>
    <t>Reach</t>
  </si>
  <si>
    <t>Form Factor</t>
  </si>
  <si>
    <t>Product Group</t>
  </si>
  <si>
    <t>CWDM</t>
  </si>
  <si>
    <t>BPON</t>
  </si>
  <si>
    <t>GPON</t>
  </si>
  <si>
    <t>EPON</t>
  </si>
  <si>
    <t>Point-to-point</t>
  </si>
  <si>
    <t xml:space="preserve">Application </t>
  </si>
  <si>
    <t>All</t>
  </si>
  <si>
    <t>100 m</t>
  </si>
  <si>
    <t>500 m</t>
  </si>
  <si>
    <t>2 km</t>
  </si>
  <si>
    <t>10 km</t>
  </si>
  <si>
    <t>40 km</t>
  </si>
  <si>
    <t>100 Gbps</t>
  </si>
  <si>
    <t>DWDM</t>
  </si>
  <si>
    <t>TOTAL WDM</t>
  </si>
  <si>
    <t>10G PON</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</si>
  <si>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</si>
  <si>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</si>
  <si>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</si>
  <si>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</si>
  <si>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</si>
  <si>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</si>
  <si>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</si>
  <si>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</si>
  <si>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</si>
  <si>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</si>
  <si>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</si>
  <si>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</si>
  <si>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</si>
  <si>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</si>
  <si>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</si>
  <si>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</si>
  <si>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</si>
  <si>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</si>
  <si>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</si>
  <si>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</si>
  <si>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</si>
  <si>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</si>
  <si>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</si>
  <si>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ASP ($)</t>
  </si>
  <si>
    <t>Product</t>
  </si>
  <si>
    <t>QSFP</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</si>
  <si>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</si>
  <si>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</si>
  <si>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</si>
  <si>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up to 4 Gbps</t>
  </si>
  <si>
    <t>all</t>
  </si>
  <si>
    <t>`</t>
  </si>
  <si>
    <t>Estimates</t>
  </si>
  <si>
    <t>HG-Genuine</t>
  </si>
  <si>
    <t>Hisense</t>
  </si>
  <si>
    <t>Oclaro</t>
  </si>
  <si>
    <t>Source Photonics</t>
  </si>
  <si>
    <t>Survey data</t>
  </si>
  <si>
    <t>10 Gbps</t>
  </si>
  <si>
    <t>Wireless</t>
  </si>
  <si>
    <t>Type</t>
  </si>
  <si>
    <t>ONUs</t>
  </si>
  <si>
    <t>OLTs</t>
  </si>
  <si>
    <t>type</t>
  </si>
  <si>
    <t>Forecast Summary</t>
  </si>
  <si>
    <t>40 Gbps</t>
  </si>
  <si>
    <t>CWDM/DWDM</t>
  </si>
  <si>
    <t>FTTx Transceiver Unit Shipments by Type (Historical Data and Forecast)</t>
  </si>
  <si>
    <t>FTTx Transceiver Sales by Type (Historical Data and Forecast)</t>
  </si>
  <si>
    <t>Total</t>
  </si>
  <si>
    <t>Data rate</t>
  </si>
  <si>
    <t>Shipments of ONUs and OLTs (Historical Data and Forecast)</t>
  </si>
  <si>
    <t>Sales of ONUs and OLTs (Historical Data and Forecast)</t>
  </si>
  <si>
    <t>Shipments of optical transceivers used in wireless infrastructure (Historical Data and Forecast)</t>
  </si>
  <si>
    <t>Sales of optical transceivers used in wireless infrastructure (Historical Data and Forecast)</t>
  </si>
  <si>
    <t>Ethernet Transceiver Shipments by Data Rate (Historical Data and Forecast)</t>
  </si>
  <si>
    <t>Ethernet Transceiver Sales by Data Rate (Historical Data and Forecast)</t>
  </si>
  <si>
    <t>Active Optical Cables (AOCs)</t>
  </si>
  <si>
    <t>Applied Optoelectronics</t>
  </si>
  <si>
    <t>Delta</t>
  </si>
  <si>
    <t>NEC</t>
  </si>
  <si>
    <t>Eoptolink</t>
  </si>
  <si>
    <t>Innolight</t>
  </si>
  <si>
    <t>Survey data and estimates</t>
  </si>
  <si>
    <t>Internet Traffic</t>
  </si>
  <si>
    <t>400 Gbps</t>
  </si>
  <si>
    <t>2.5 Gbps</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</si>
  <si>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</si>
  <si>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</si>
  <si>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</si>
  <si>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</si>
  <si>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</si>
  <si>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</si>
  <si>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</si>
  <si>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</si>
  <si>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</si>
  <si>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</si>
  <si>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</si>
  <si>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</si>
  <si>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1x1 up to 1x17 switches operating at 50 and 100 Ghz channel spacing</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</si>
  <si>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</si>
  <si>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</si>
  <si>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</si>
  <si>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</si>
  <si>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</si>
  <si>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</si>
  <si>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Transceivers used in BPON, EPON, GPON, WDM-PON ONTs and OLTs, and in point-to-point FTTX systems.</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</si>
  <si>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</si>
  <si>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</si>
  <si>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</si>
  <si>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</si>
  <si>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CWDM and DWDM Transceivers</t>
  </si>
  <si>
    <t>FTTx Transceivers</t>
  </si>
  <si>
    <t>Ethernet Transceivers</t>
  </si>
  <si>
    <t>1 GbE</t>
  </si>
  <si>
    <t>Annual Growth Rates</t>
  </si>
  <si>
    <t>Transceiver Sales ($M)</t>
  </si>
  <si>
    <t>Units - FTTX</t>
  </si>
  <si>
    <t>Sales ($M) - FTTx</t>
  </si>
  <si>
    <t>Units - Ethernet</t>
  </si>
  <si>
    <t>Sales ($M) - Ethernet</t>
  </si>
  <si>
    <t xml:space="preserve">      </t>
  </si>
  <si>
    <t>Optical Interconnects segment total</t>
  </si>
  <si>
    <t>10 GbE</t>
  </si>
  <si>
    <t>Source: LightCounting traffic analysis</t>
  </si>
  <si>
    <t xml:space="preserve">However, we found this is not a one-to-one correlation. While network traffic typically grows 35-45 % per year, aggregated transceiver capacity grows 20-30%. </t>
  </si>
  <si>
    <t>40 GbE PSM4</t>
  </si>
  <si>
    <t>QSFP+</t>
  </si>
  <si>
    <t xml:space="preserve"> (Excludes modules used in wireless infrastructure)</t>
  </si>
  <si>
    <t>40 GbE</t>
  </si>
  <si>
    <t>100 GbE</t>
  </si>
  <si>
    <t>100 GbE Transceiver Shipments by Reach (Historical Data and Forecast)</t>
  </si>
  <si>
    <t>100 GbE Transceiver Sales by Reach (Historical Data and Forecast)</t>
  </si>
  <si>
    <t>Units - 100 GbE (all reaches)</t>
  </si>
  <si>
    <t>Sales ($M) - 100 GbE (all Reaches)</t>
  </si>
  <si>
    <t xml:space="preserve">40 GbE </t>
  </si>
  <si>
    <t>40 GbE (FR)</t>
  </si>
  <si>
    <t>40 GbE (LR4 subspec)</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</si>
  <si>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</si>
  <si>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</si>
  <si>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</si>
  <si>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Superxone</t>
  </si>
  <si>
    <t>400 GbE</t>
  </si>
  <si>
    <t>25 GbE</t>
  </si>
  <si>
    <t>SFP28</t>
  </si>
  <si>
    <t>Total ports</t>
  </si>
  <si>
    <t>50 GbE</t>
  </si>
  <si>
    <t>200 GbE</t>
  </si>
  <si>
    <t>Wavelengths</t>
  </si>
  <si>
    <t>200 Gbps</t>
  </si>
  <si>
    <t>1-10Gbps discontinued products</t>
  </si>
  <si>
    <t>100-300 m</t>
  </si>
  <si>
    <t>QSFP28</t>
  </si>
  <si>
    <t>10-20 km</t>
  </si>
  <si>
    <t>Acacia</t>
  </si>
  <si>
    <t>Accelink</t>
  </si>
  <si>
    <t>Coadna</t>
  </si>
  <si>
    <t>ColorChip</t>
  </si>
  <si>
    <t>Fujikura</t>
  </si>
  <si>
    <t>Survey Data</t>
  </si>
  <si>
    <t>Furukawa</t>
  </si>
  <si>
    <t>Intel</t>
  </si>
  <si>
    <t>GigaLight</t>
  </si>
  <si>
    <t>Kaiam</t>
  </si>
  <si>
    <t>Lumentum</t>
  </si>
  <si>
    <t>Luxtera</t>
  </si>
  <si>
    <t>Oplink</t>
  </si>
  <si>
    <t>Samtec</t>
  </si>
  <si>
    <t>100Gbps</t>
  </si>
  <si>
    <t>400 Gbps &amp; above</t>
  </si>
  <si>
    <t>≥25 Gbps</t>
  </si>
  <si>
    <t>LightCounting Optical Components Market Forecast for China</t>
  </si>
  <si>
    <t>Revenue</t>
  </si>
  <si>
    <t>Top 3 China</t>
  </si>
  <si>
    <t>Top 3 US</t>
  </si>
  <si>
    <t>ratio</t>
  </si>
  <si>
    <t>Capex</t>
  </si>
  <si>
    <t>Capex to Revenue ratio</t>
  </si>
  <si>
    <t>Ratio of Revenue of Top 12 CSPs in Europe, Japan and US to Top 3 CSPs in China</t>
  </si>
  <si>
    <t>Capex to Revenue ratio for Top 3 CSPs in China</t>
  </si>
  <si>
    <t>Capex to Revenue ratio for Top 12 in Europe, Japan and US</t>
  </si>
  <si>
    <t>Ratio of GDP per Capita (average for Europe, Japan and US)/China</t>
  </si>
  <si>
    <t>Spending</t>
  </si>
  <si>
    <t>Three new companies (JD.com, NetEase, VIPshop)</t>
  </si>
  <si>
    <t>% of total</t>
  </si>
  <si>
    <t xml:space="preserve">Spending </t>
  </si>
  <si>
    <t>US</t>
  </si>
  <si>
    <t>Ratio of GDP per Capita US/China</t>
  </si>
  <si>
    <t>Top 3 Cloud company revenue</t>
  </si>
  <si>
    <t>China</t>
  </si>
  <si>
    <t>Ratio of Top 3 Cloud company revenues US/China</t>
  </si>
  <si>
    <t>Japan</t>
  </si>
  <si>
    <t>(Developed nations vs. China)</t>
  </si>
  <si>
    <t>Population (mn)</t>
  </si>
  <si>
    <t>average (europe/Japan/US)</t>
  </si>
  <si>
    <t>GDP per capita (CPC, PPP $mn)*</t>
  </si>
  <si>
    <t>Same analysis as above, only using PPP instead of exchange rates to compare GDPs</t>
  </si>
  <si>
    <t>This table is calculated from the two above</t>
  </si>
  <si>
    <t>ASPs are calculated from the Revenues and Units above and below.</t>
  </si>
  <si>
    <t>Copied from the ICP tab</t>
  </si>
  <si>
    <t xml:space="preserve">1-10 Gbps </t>
  </si>
  <si>
    <t>Optical interconnects</t>
  </si>
  <si>
    <t>Revenue Normailzed by GDP per Capita</t>
  </si>
  <si>
    <t>China Mobile</t>
  </si>
  <si>
    <t>China Telecom</t>
  </si>
  <si>
    <t>China Unicom</t>
  </si>
  <si>
    <t>Capex adjusted for price parity</t>
  </si>
  <si>
    <t>PPP/GDP China</t>
  </si>
  <si>
    <t>PPP/GDP Europe, Japan, US</t>
  </si>
  <si>
    <t>Sales ($M) - Total China consumption of optical components</t>
  </si>
  <si>
    <t>Units - Total China consumption of optical components</t>
  </si>
  <si>
    <t>Transceivers</t>
  </si>
  <si>
    <t>WSS allocation</t>
  </si>
  <si>
    <t>Units - China consumption of optical components vs. Global demand</t>
  </si>
  <si>
    <t>Rest of World</t>
  </si>
  <si>
    <t>Sales ($M) - Total China consumption of optical components vs. Global demand</t>
  </si>
  <si>
    <t>World</t>
  </si>
  <si>
    <t>Normalized Revenue</t>
  </si>
  <si>
    <t>Spending adjusted by PPP</t>
  </si>
  <si>
    <t>Rest of World-Telecom</t>
  </si>
  <si>
    <t>Global-Telecom</t>
  </si>
  <si>
    <t>China-Telecom</t>
  </si>
  <si>
    <t>this table is calculated as the difference between Global (below) and China (above)</t>
  </si>
  <si>
    <t>this table is calculated as the Global segment total (below) times the factors in the table at right</t>
  </si>
  <si>
    <t>China-Cloud segment</t>
  </si>
  <si>
    <t>Rest of World-Cloud segment</t>
  </si>
  <si>
    <t>Global-Cloud segment</t>
  </si>
  <si>
    <t>China split assumptions - Cloud segment</t>
  </si>
  <si>
    <t>Ethernet total-Rest of World</t>
  </si>
  <si>
    <t>Ethernet total-Global</t>
  </si>
  <si>
    <t>Ethernet total-China</t>
  </si>
  <si>
    <t>ONUs &amp; OLTs</t>
  </si>
  <si>
    <t>WDM Global</t>
  </si>
  <si>
    <t>WDM Rest of World</t>
  </si>
  <si>
    <t xml:space="preserve">This table is calculated as the difference between the Global and the China tables, above and below. </t>
  </si>
  <si>
    <t>This table is for display only; manually changing these numbers will not change tables to the left</t>
  </si>
  <si>
    <t>Percentages - China/World</t>
  </si>
  <si>
    <t>FTTX - Global</t>
  </si>
  <si>
    <t>FTTX - Rest of World</t>
  </si>
  <si>
    <t>FTTx - China</t>
  </si>
  <si>
    <t>This table is calculated from the units and revenue tables above and below</t>
  </si>
  <si>
    <t>WDM - China</t>
  </si>
  <si>
    <t>Units - FTTx total</t>
  </si>
  <si>
    <t>Global</t>
  </si>
  <si>
    <t>Sales ($M) - FTTx total</t>
  </si>
  <si>
    <t>Sales of wireless transceivers (Historical Data and Forecast)</t>
  </si>
  <si>
    <t>Shipments of Ethernet transceivers (Historical Data and Forecast)</t>
  </si>
  <si>
    <t>Sales of Ethernet transceivers (Historical Data and Forecast)</t>
  </si>
  <si>
    <t>Sales ($M) - Ethernet transceivers, all speeds and reaches</t>
  </si>
  <si>
    <t>Units - Ethernet transceivers, all speeds and reaches</t>
  </si>
  <si>
    <t>AOCs/EOMs - China only</t>
  </si>
  <si>
    <t>AOCs/EOMs - Rest of World</t>
  </si>
  <si>
    <t>AOCs/EOMs - Global</t>
  </si>
  <si>
    <t>Percentages - China/Global</t>
  </si>
  <si>
    <t>Units - AOCs total</t>
  </si>
  <si>
    <t>Sales ($M) - AOCs total</t>
  </si>
  <si>
    <t>Shipments of AOCs (Historical Data and Forecast)</t>
  </si>
  <si>
    <t>Sales of AOCs (Historical Data and Forecast)</t>
  </si>
  <si>
    <t>Shipments of EOMs (Historical Data and Forecast)</t>
  </si>
  <si>
    <t>Sales of EOMs (Historical Data and Forecast)</t>
  </si>
  <si>
    <t>Units - EOMs total</t>
  </si>
  <si>
    <t>Sales ($M) - EOMs total</t>
  </si>
  <si>
    <t>Sales of High-speed Ethernet transceivers (Historical Data and Forecast)</t>
  </si>
  <si>
    <t>% China</t>
  </si>
  <si>
    <t>this table is calculated as the sum of the Cloud and Ethernet numbers</t>
  </si>
  <si>
    <t>Shipments of WDM transceivers (Historical Data and Forecast)</t>
  </si>
  <si>
    <t>Sales of WDM ≥ 100 Gbps transceivers (Historical Data and Forecast)</t>
  </si>
  <si>
    <t>Sales ($M) - WDM ≥ 100 Gbps transceivers</t>
  </si>
  <si>
    <t>Units - WDM ≥ 100 Gbps transceivers</t>
  </si>
  <si>
    <r>
      <t xml:space="preserve">Shipments of WDM </t>
    </r>
    <r>
      <rPr>
        <b/>
        <sz val="12"/>
        <color theme="1"/>
        <rFont val="Calibri"/>
        <family val="2"/>
      </rPr>
      <t>≥</t>
    </r>
    <r>
      <rPr>
        <b/>
        <sz val="12"/>
        <color theme="1"/>
        <rFont val="Arial"/>
        <family val="2"/>
      </rPr>
      <t xml:space="preserve"> 100 Gbps transceivers (Historical Data and Forecast)</t>
    </r>
  </si>
  <si>
    <t>Shipments of WDM ports (Historical Data and Forecast)</t>
  </si>
  <si>
    <t>Units - WDM - all ports</t>
  </si>
  <si>
    <r>
      <t xml:space="preserve">Shipments of WDM </t>
    </r>
    <r>
      <rPr>
        <b/>
        <sz val="12"/>
        <color theme="1"/>
        <rFont val="Calibri"/>
        <family val="2"/>
      </rPr>
      <t>≥</t>
    </r>
    <r>
      <rPr>
        <b/>
        <sz val="12"/>
        <color theme="1"/>
        <rFont val="Arial"/>
        <family val="2"/>
      </rPr>
      <t xml:space="preserve"> 100 Gbps ports (Historical Data and Forecast)</t>
    </r>
  </si>
  <si>
    <t>Units - WDM ≥ 100 Gbps ports</t>
  </si>
  <si>
    <t>Sales of WDM transceivers (Historical Data and Forecast)</t>
  </si>
  <si>
    <t>Sales ($M) - WDM - all transceivers</t>
  </si>
  <si>
    <t>Units - WDM - all transceivers</t>
  </si>
  <si>
    <t>CWDM and DWDM Ports</t>
  </si>
  <si>
    <t>Sales ($M) - Ethernet transceivers,  ≥ 100 GbE</t>
  </si>
  <si>
    <t xml:space="preserve">Units - Ethernet transceivers, ≥ 100 GbE </t>
  </si>
  <si>
    <t>Shipments of High-Speed Ethernet transceivers (Historical Data and Forecast)</t>
  </si>
  <si>
    <t>OC-48 (2.5 G)</t>
  </si>
  <si>
    <t>OC-192 (10G)</t>
  </si>
  <si>
    <t>OC-768 (40G)</t>
  </si>
  <si>
    <t>WDM ports - China</t>
  </si>
  <si>
    <t>WDM ports - Rest of World</t>
  </si>
  <si>
    <t>WDM ports - Global</t>
  </si>
  <si>
    <t>DWDM ports by speed - 10G through 400G - China market only</t>
  </si>
  <si>
    <t>Units - DWDM ports by speed - China market only</t>
  </si>
  <si>
    <t>Huawei</t>
  </si>
  <si>
    <t>ZTE</t>
  </si>
  <si>
    <t>H3C</t>
  </si>
  <si>
    <t>Inspur</t>
  </si>
  <si>
    <t>Lenovo</t>
  </si>
  <si>
    <t>Cisco</t>
  </si>
  <si>
    <t>HPE</t>
  </si>
  <si>
    <t>Arista</t>
  </si>
  <si>
    <t>Fiberhome</t>
  </si>
  <si>
    <t>Revenues ($ mn)</t>
  </si>
  <si>
    <t>Bandwidth growth sanity check</t>
  </si>
  <si>
    <t>Annual Bandwidth Deployed - China</t>
  </si>
  <si>
    <t>Cumulative Bandwidth Deployed - China</t>
  </si>
  <si>
    <t>Growth rate</t>
  </si>
  <si>
    <t>Annual Bandwidth Deployed - ROW</t>
  </si>
  <si>
    <t>Annual Bandwidth Deployed - Global</t>
  </si>
  <si>
    <t>ROW</t>
  </si>
  <si>
    <t>China as $ of global</t>
  </si>
  <si>
    <t>Transceivers used in CWDM and DWDM systems, with speeds ranging from 1 to 400 Gbps and reaches of 40 and 80 km.  WSS, EDFAs, DCMS, and modulators are also used in DWDM systems; these are forecast separately.</t>
  </si>
  <si>
    <t>Estimated</t>
  </si>
  <si>
    <t>CSP Revenue and Spending</t>
  </si>
  <si>
    <t>ICP Revenue and Spending</t>
  </si>
  <si>
    <t>Network equipment makers</t>
  </si>
  <si>
    <t>Gigalight</t>
  </si>
  <si>
    <t>HG Genuine</t>
  </si>
  <si>
    <t>Hi-Optel</t>
  </si>
  <si>
    <t>Hi-Sense</t>
  </si>
  <si>
    <t>O-Net</t>
  </si>
  <si>
    <t>Xiamen San-U Optronics</t>
  </si>
  <si>
    <r>
      <t xml:space="preserve">Cisco </t>
    </r>
    <r>
      <rPr>
        <vertAlign val="superscript"/>
        <sz val="10"/>
        <color theme="1"/>
        <rFont val="Arial"/>
        <family val="2"/>
      </rPr>
      <t>1</t>
    </r>
  </si>
  <si>
    <r>
      <t xml:space="preserve">Lenovo </t>
    </r>
    <r>
      <rPr>
        <vertAlign val="superscript"/>
        <sz val="10"/>
        <color theme="1"/>
        <rFont val="Arial"/>
        <family val="2"/>
      </rPr>
      <t>1</t>
    </r>
  </si>
  <si>
    <r>
      <rPr>
        <vertAlign val="superscript"/>
        <sz val="10"/>
        <color theme="1"/>
        <rFont val="Arial"/>
        <family val="2"/>
      </rPr>
      <t>1</t>
    </r>
    <r>
      <rPr>
        <sz val="10"/>
        <color theme="1"/>
        <rFont val="Arial"/>
        <family val="2"/>
      </rPr>
      <t xml:space="preserve"> Datacenter Hardware segment only</t>
    </r>
  </si>
  <si>
    <t>Optical Component makers</t>
  </si>
  <si>
    <t>1.8</t>
  </si>
  <si>
    <t>FTTx subscriptions in China and the rest of the world</t>
  </si>
  <si>
    <t>Growth rates of network traffic</t>
  </si>
  <si>
    <t>Growth rates in DWDM network bandwidth</t>
  </si>
  <si>
    <t xml:space="preserve">Chapter 1 - Figure </t>
  </si>
  <si>
    <t>FTTx subscribers</t>
  </si>
  <si>
    <t>Charts from the report, not found elsewhere in this spreadsheet</t>
  </si>
  <si>
    <t>DWDM traffic growth rates</t>
  </si>
  <si>
    <t>Mobile and total internet traffic</t>
  </si>
  <si>
    <t>Nokia/ALU</t>
  </si>
  <si>
    <t>Ericsson</t>
  </si>
  <si>
    <t>Huawei Networks</t>
  </si>
  <si>
    <t>Huawei Total</t>
  </si>
  <si>
    <t>Global mobile traffic</t>
  </si>
  <si>
    <t>Internet traffic (total)</t>
  </si>
  <si>
    <t>Transceivers used in mobile fronthaul networks</t>
  </si>
  <si>
    <t>Mobile fronthaul transceivers</t>
  </si>
  <si>
    <t>Europe (EU) (28 countries)</t>
  </si>
  <si>
    <t>GDP per capita ($) *</t>
  </si>
  <si>
    <t>* Gross domestic product (GDP), Per head, current prices, current exchange rates</t>
  </si>
  <si>
    <t>European Union (28 countries)</t>
  </si>
  <si>
    <t>China split assumptions -- Telecom segment</t>
  </si>
  <si>
    <t>Wireless fronthaul</t>
  </si>
  <si>
    <t>Units consumed in China</t>
  </si>
  <si>
    <t>ASP ($) of units consumed in China</t>
  </si>
  <si>
    <t>Units - Rest of World</t>
  </si>
  <si>
    <t>Sales ($M) - Rest of World</t>
  </si>
  <si>
    <t>ASP ($) - Rest of World</t>
  </si>
  <si>
    <t>Global Units</t>
  </si>
  <si>
    <t>Global ASPs ($)</t>
  </si>
  <si>
    <t>Global Revenues ($M)</t>
  </si>
  <si>
    <t>NG-PON2</t>
  </si>
  <si>
    <t>Nx25G PON</t>
  </si>
  <si>
    <t>NG PON2/Nx25G PON</t>
  </si>
  <si>
    <t>Shipments (Historical Data and Forecast)</t>
  </si>
  <si>
    <t>Units - Wireless 25G, 50G, 100G only</t>
  </si>
  <si>
    <t>Total Units - Fronthaul</t>
  </si>
  <si>
    <t>Sales ($M) - Total Fronthaul</t>
  </si>
  <si>
    <t>Shipments (Historical Data and Forecast) - 25, 50, 100G only</t>
  </si>
  <si>
    <t>Sales ($M) (Historical Data and Forecast) - 25, 50, 100G only</t>
  </si>
  <si>
    <r>
      <rPr>
        <sz val="7"/>
        <rFont val="Calibri"/>
        <family val="2"/>
      </rPr>
      <t>&lt;</t>
    </r>
    <r>
      <rPr>
        <sz val="7"/>
        <rFont val="Arial"/>
        <family val="2"/>
      </rPr>
      <t>25</t>
    </r>
    <r>
      <rPr>
        <sz val="10"/>
        <rFont val="Arial"/>
        <family val="2"/>
      </rPr>
      <t xml:space="preserve"> Gbps</t>
    </r>
  </si>
  <si>
    <t>Units - Wireless fronthaul</t>
  </si>
  <si>
    <t>Sales ($M) - Wireless fronthaul</t>
  </si>
  <si>
    <t>Spending vs. Revenue</t>
  </si>
  <si>
    <t>Figure 1.6</t>
  </si>
  <si>
    <t>Capex adjusted for Purchasing Power Parity</t>
  </si>
  <si>
    <t>Sales ($M) - Wireless 25G, 50G, 100G only</t>
  </si>
  <si>
    <t>Ratio GDP per Capita (avg for Europe, Japan and US)/China</t>
  </si>
  <si>
    <t>Cumulative Bandwidth Deployed - ROW</t>
  </si>
  <si>
    <t>Cumulative Bandwidth Deployed - Global</t>
  </si>
  <si>
    <t>All CWDM</t>
  </si>
  <si>
    <t>Telecom - excluding China</t>
  </si>
  <si>
    <t>Telecom - China only</t>
  </si>
  <si>
    <t>Huawei revenues (data in table above)</t>
  </si>
  <si>
    <t>ZTE revenues (data in table above)</t>
  </si>
  <si>
    <t>Fiberhome revenues (data in table above)</t>
  </si>
  <si>
    <t>Top 3 in China</t>
  </si>
  <si>
    <t>Top 12 in Europe, Japan and US</t>
  </si>
  <si>
    <t>Top 3 in US</t>
  </si>
  <si>
    <t>Dell</t>
  </si>
  <si>
    <t>Dell (servers and storage)</t>
  </si>
  <si>
    <t>Inspur Revenues</t>
  </si>
  <si>
    <t>H3C Revenues</t>
  </si>
  <si>
    <t>Lenovo DC hardware only</t>
  </si>
  <si>
    <t>Total Revenues of Top Three System Vendors, 2003–2019</t>
  </si>
  <si>
    <t>Transceiver Shipments (Units) -- China only</t>
  </si>
  <si>
    <t>From the FTTx Forecast model_master_2020_v1 spreadsheet, 'Forecast detail' tab.</t>
  </si>
  <si>
    <t>Sales ($M) - 10G only</t>
  </si>
  <si>
    <t>Units - FTTx 10G only</t>
  </si>
  <si>
    <t>China market only</t>
  </si>
  <si>
    <t>Copied from CSP tab, row 76</t>
  </si>
  <si>
    <t>(millions)</t>
  </si>
  <si>
    <t>Optical components</t>
  </si>
  <si>
    <t>Acacia Communications</t>
  </si>
  <si>
    <t>Applied Opto-electronics</t>
  </si>
  <si>
    <t>Oclaro (includes Opnext)</t>
  </si>
  <si>
    <t>China mobile data traffic</t>
  </si>
  <si>
    <t>Chapter 1 - Figure</t>
  </si>
  <si>
    <t>in billions USD</t>
  </si>
  <si>
    <t>y-o-y growth rates</t>
  </si>
  <si>
    <t>Fronthaul</t>
  </si>
  <si>
    <t>Backhaul</t>
  </si>
  <si>
    <t xml:space="preserve">Calculated as the difference between the Global and the China tables, above and below. </t>
  </si>
  <si>
    <t>Sales ($M) of units used in China</t>
  </si>
  <si>
    <t>Wireless backhaul</t>
  </si>
  <si>
    <t>China-Enterprise</t>
  </si>
  <si>
    <t>China split assumptions -- Enterprise segment</t>
  </si>
  <si>
    <t>Rest of World-Enterprise</t>
  </si>
  <si>
    <t>Global-Enterprise</t>
  </si>
  <si>
    <t>this table is calculated as the sum of the Cloud, Telecom, and Enterprise numbers</t>
  </si>
  <si>
    <t>Units - Ethernet transceivers, China by segment</t>
  </si>
  <si>
    <t>Sales ($M) - Ethernet transceivers, China by segment</t>
  </si>
  <si>
    <t>Total Ethernet - China</t>
  </si>
  <si>
    <t>China segments</t>
  </si>
  <si>
    <t>Cloud</t>
  </si>
  <si>
    <t>Telecom</t>
  </si>
  <si>
    <t>Enterprise</t>
  </si>
  <si>
    <t>WDM ports, China - percent of global consumption</t>
  </si>
  <si>
    <t>100G</t>
  </si>
  <si>
    <t>200G</t>
  </si>
  <si>
    <t xml:space="preserve">400G </t>
  </si>
  <si>
    <t>Total FH</t>
  </si>
  <si>
    <t>Total BH</t>
  </si>
  <si>
    <t>Sales of wireless backhaul transceivers (Historical Data and Forecast)</t>
  </si>
  <si>
    <t>Total Units - Backhaul</t>
  </si>
  <si>
    <t>Sales ($M) - Total Backhaul</t>
  </si>
  <si>
    <r>
      <t xml:space="preserve">Coherent Receivers, </t>
    </r>
    <r>
      <rPr>
        <sz val="10"/>
        <rFont val="Calibri"/>
        <family val="2"/>
      </rPr>
      <t>≥</t>
    </r>
    <r>
      <rPr>
        <sz val="5"/>
        <rFont val="Arial"/>
        <family val="2"/>
      </rPr>
      <t>100G</t>
    </r>
  </si>
  <si>
    <t>Modulators, ≥100G</t>
  </si>
  <si>
    <t>ASPs</t>
  </si>
  <si>
    <t>Total ports, China</t>
  </si>
  <si>
    <t>Total Mod/Rcvrs</t>
  </si>
  <si>
    <t>Total China ports</t>
  </si>
  <si>
    <t>Non-Chinese Suppliers</t>
  </si>
  <si>
    <t>Chinese Suppliers</t>
  </si>
  <si>
    <t>II-VI Photonic Solutions</t>
  </si>
  <si>
    <t>Mod/Rx</t>
  </si>
  <si>
    <t>Modulator/Coherent Receiver &amp; Tunable laser calculations</t>
  </si>
  <si>
    <t>Percentage of ports for moduators &amp; receivers, tunable lasers</t>
  </si>
  <si>
    <t>Unit shipments</t>
  </si>
  <si>
    <t>Optical transceiver shipments</t>
  </si>
  <si>
    <t>Optical transceiver revenues ($ mn)</t>
  </si>
  <si>
    <r>
      <t xml:space="preserve">Modulators, </t>
    </r>
    <r>
      <rPr>
        <sz val="10"/>
        <color theme="1"/>
        <rFont val="Calibri"/>
        <family val="2"/>
      </rPr>
      <t>≥</t>
    </r>
    <r>
      <rPr>
        <sz val="10"/>
        <color theme="1"/>
        <rFont val="Arial"/>
        <family val="2"/>
      </rPr>
      <t>100G</t>
    </r>
  </si>
  <si>
    <t>Coherent receivers, ≥100G</t>
  </si>
  <si>
    <t>calculated from two tables above</t>
  </si>
  <si>
    <t>Revenues of Chinese suppliers of optical component and modules</t>
  </si>
  <si>
    <t>Sunstar</t>
  </si>
  <si>
    <t>Year-over-year change</t>
  </si>
  <si>
    <t>A mix of FibreChannel and Ethernet grey optics devices, as well as some CWDM/DWDM optics, at speeds of 1-100 Gbps.</t>
  </si>
  <si>
    <t>802.3 compliant transceivers operatoring at speeds from 1 to 400 Gbps, and reaches from 100 m to 80 km.</t>
  </si>
  <si>
    <t>Executive Summary - Figure E-1: Optical transceivers deployed in China by market segment.</t>
  </si>
  <si>
    <t xml:space="preserve">Chapter 5 - Figure 5.1 </t>
  </si>
  <si>
    <t>Chapter 4 - Figure 4.1</t>
  </si>
  <si>
    <t xml:space="preserve">This report presents historical data from 2016 to 1H20 and a market forecast through 2025 for optical components deployed in China.  Ethernet, CWDM, DWDM, FTTx, wireless, and FibreChannel transceivers, and optical interconnects are included.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</si>
  <si>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Survey data (historical)</t>
  </si>
  <si>
    <t>Estimates (historical)</t>
  </si>
  <si>
    <t>Avago/FOIT/Broadcom</t>
  </si>
  <si>
    <t>2020-2025</t>
  </si>
  <si>
    <t>1 G</t>
  </si>
  <si>
    <t>10 G</t>
  </si>
  <si>
    <t>25 G</t>
  </si>
  <si>
    <t>40 G</t>
  </si>
  <si>
    <t>40 G PSM4</t>
  </si>
  <si>
    <t xml:space="preserve">40 G </t>
  </si>
  <si>
    <t>50 G</t>
  </si>
  <si>
    <t>100 G</t>
  </si>
  <si>
    <t>200 G</t>
  </si>
  <si>
    <t>400 G</t>
  </si>
  <si>
    <t>10G</t>
  </si>
  <si>
    <t>800 G</t>
  </si>
  <si>
    <t>401 G</t>
  </si>
  <si>
    <t>this table is calculated as the Global segment total (below) times the factors in the table above</t>
  </si>
  <si>
    <t>AOC-EOM Optical Interconnects</t>
  </si>
  <si>
    <t>25G</t>
  </si>
  <si>
    <t>400G</t>
  </si>
  <si>
    <t>800G</t>
  </si>
  <si>
    <t>1,3,6,12 Gbps</t>
  </si>
  <si>
    <t>grey</t>
  </si>
  <si>
    <t>25 Gbps</t>
  </si>
  <si>
    <t>≤ 0.5 km</t>
  </si>
  <si>
    <t>grey MMF</t>
  </si>
  <si>
    <t>300 m</t>
  </si>
  <si>
    <t>grey SMF</t>
  </si>
  <si>
    <t>50 Gbps</t>
  </si>
  <si>
    <t>QSFP29</t>
  </si>
  <si>
    <t>All reaches</t>
  </si>
  <si>
    <t>FTTX - RoW</t>
  </si>
  <si>
    <t>EOM</t>
  </si>
  <si>
    <t>Total AOCs</t>
  </si>
  <si>
    <t>AOCs</t>
  </si>
  <si>
    <t>$ billions</t>
  </si>
  <si>
    <t xml:space="preserve">  </t>
  </si>
  <si>
    <t>40G</t>
  </si>
  <si>
    <t>2020E</t>
  </si>
  <si>
    <t>*Gross domestic product (expenditure approach), per head, current prices, current PPPs, 2017 constant dollars</t>
  </si>
  <si>
    <t/>
  </si>
  <si>
    <t>SFP, QSFP</t>
  </si>
  <si>
    <t xml:space="preserve">≥400G </t>
  </si>
  <si>
    <t>QSFP-DD, OSFP</t>
  </si>
  <si>
    <t>All Other</t>
  </si>
  <si>
    <t>Mini-SAS HD, CXP, QSFP</t>
  </si>
  <si>
    <t>10, 20 km</t>
  </si>
  <si>
    <t>duplex</t>
  </si>
  <si>
    <t>Bi-Di</t>
  </si>
  <si>
    <t>1GbE</t>
  </si>
  <si>
    <t>SFP</t>
  </si>
  <si>
    <t>SFP+</t>
  </si>
  <si>
    <t xml:space="preserve">   </t>
  </si>
  <si>
    <t>January 25, 2021 - sample only - for illustrative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</si>
</sst>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0.0"/>
    <numFmt numFmtId="170" formatCode="\$#,##0"/>
    <numFmt numFmtId="171" formatCode="0.00000"/>
    <numFmt numFmtId="172" formatCode="&quot;$&quot;#,##0"/>
    <numFmt numFmtId="173" formatCode="_(&quot;$&quot;* #,##0.000_);_(&quot;$&quot;* \(#,##0.000\);_(&quot;$&quot;* &quot;-&quot;??_);_(@_)"/>
  </numFmts>
  <fonts count="57" x14ac:knownFonts="1">
    <font>
      <sz val="10"/>
      <color theme="1"/>
      <name val="Arial"/>
      <family val="2"/>
    </font>
    <font>
      <sz val="10"/>
      <color theme="1"/>
      <name val="Calibri"/>
      <family val="2"/>
    </font>
    <font>
      <sz val="10"/>
      <color theme="1"/>
      <name val="Calibri"/>
      <family val="2"/>
    </font>
    <font>
      <sz val="11"/>
      <color theme="1"/>
      <name val="Calibri"/>
      <family val="2"/>
      <scheme val="minor"/>
    </font>
    <font>
      <sz val="10"/>
      <color theme="1"/>
      <name val="Calibri"/>
      <family val="2"/>
      <scheme val="minor"/>
    </font>
    <font>
      <sz val="10"/>
      <color indexed="8"/>
      <name val="Arial"/>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2"/>
      <color theme="1"/>
      <name val="Times New Roman"/>
      <family val="1"/>
    </font>
    <font>
      <sz val="9"/>
      <color theme="1"/>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sz val="12"/>
      <color rgb="FFFF0000"/>
      <name val="Arial"/>
      <family val="2"/>
    </font>
    <font>
      <b/>
      <sz val="11"/>
      <color theme="1"/>
      <name val="Arial"/>
      <family val="2"/>
    </font>
    <font>
      <b/>
      <sz val="11"/>
      <color theme="1"/>
      <name val="Calibri"/>
      <family val="2"/>
      <scheme val="minor"/>
    </font>
    <font>
      <sz val="12"/>
      <color theme="3"/>
      <name val="Arial"/>
      <family val="2"/>
    </font>
    <font>
      <u/>
      <sz val="10"/>
      <color theme="10"/>
      <name val="Arial"/>
      <family val="2"/>
    </font>
    <font>
      <sz val="7"/>
      <name val="Arial"/>
      <family val="2"/>
    </font>
    <font>
      <sz val="12"/>
      <name val="Calibri"/>
      <family val="2"/>
      <scheme val="minor"/>
    </font>
    <font>
      <b/>
      <sz val="12"/>
      <color theme="1"/>
      <name val="Calibri"/>
      <family val="2"/>
    </font>
    <font>
      <vertAlign val="superscript"/>
      <sz val="10"/>
      <color theme="1"/>
      <name val="Arial"/>
      <family val="2"/>
    </font>
    <font>
      <sz val="9"/>
      <name val="Arial"/>
      <family val="2"/>
    </font>
    <font>
      <b/>
      <sz val="11"/>
      <color theme="4"/>
      <name val="Arial"/>
      <family val="2"/>
    </font>
    <font>
      <sz val="11"/>
      <color theme="1"/>
      <name val="Arial"/>
      <family val="2"/>
    </font>
    <font>
      <sz val="7"/>
      <name val="Calibri"/>
      <family val="2"/>
    </font>
    <font>
      <sz val="9"/>
      <color rgb="FF000000"/>
      <name val="Tahoma"/>
      <family val="2"/>
    </font>
    <font>
      <i/>
      <sz val="10"/>
      <color theme="1"/>
      <name val="Calibri"/>
      <family val="2"/>
    </font>
    <font>
      <b/>
      <sz val="10"/>
      <name val="Calibri"/>
      <family val="2"/>
      <scheme val="minor"/>
    </font>
    <font>
      <sz val="10"/>
      <color rgb="FF1F497D"/>
      <name val="Calibri"/>
      <family val="2"/>
      <scheme val="minor"/>
    </font>
    <font>
      <sz val="10"/>
      <name val="Calibri"/>
      <family val="2"/>
    </font>
    <font>
      <sz val="5"/>
      <name val="Arial"/>
      <family val="2"/>
    </font>
    <font>
      <b/>
      <sz val="9"/>
      <color rgb="FF000000"/>
      <name val="Tahoma"/>
      <family val="2"/>
    </font>
    <font>
      <i/>
      <sz val="10"/>
      <color theme="1"/>
      <name val="Arial"/>
      <family val="2"/>
    </font>
    <font>
      <sz val="9"/>
      <color theme="1"/>
      <name val="Calibri"/>
      <family val="2"/>
      <scheme val="minor"/>
    </font>
    <font>
      <b/>
      <sz val="10"/>
      <color theme="4"/>
      <name val="Arial"/>
      <family val="2"/>
    </font>
    <font>
      <sz val="10"/>
      <color theme="4"/>
      <name val="Arial"/>
      <family val="2"/>
    </font>
    <font>
      <sz val="11"/>
      <color theme="3"/>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FF"/>
        <bgColor rgb="FFCCFFFF"/>
      </patternFill>
    </fill>
    <fill>
      <patternFill patternType="solid">
        <fgColor theme="9" tint="0.59999389629810485"/>
        <bgColor indexed="64"/>
      </patternFill>
    </fill>
    <fill>
      <patternFill patternType="solid">
        <fgColor theme="0" tint="-0.14999847407452621"/>
        <bgColor rgb="FFEBF1DE"/>
      </patternFill>
    </fill>
    <fill>
      <patternFill patternType="solid">
        <fgColor theme="8"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thin">
        <color auto="1"/>
      </right>
      <top style="medium">
        <color indexed="64"/>
      </top>
      <bottom/>
      <diagonal/>
    </border>
  </borders>
  <cellStyleXfs count="278">
    <xf numFmtId="0" fontId="0"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36"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xf numFmtId="0" fontId="3" fillId="0" borderId="0"/>
    <xf numFmtId="0" fontId="3" fillId="0" borderId="0"/>
    <xf numFmtId="9" fontId="10" fillId="0" borderId="0" applyFon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2" fillId="0" borderId="0"/>
  </cellStyleXfs>
  <cellXfs count="842">
    <xf numFmtId="0" fontId="0" fillId="0" borderId="0" xfId="0"/>
    <xf numFmtId="0" fontId="0" fillId="4" borderId="1" xfId="0" applyFill="1" applyBorder="1" applyAlignment="1">
      <alignment horizontal="center"/>
    </xf>
    <xf numFmtId="164" fontId="0" fillId="0" borderId="0" xfId="0" applyNumberFormat="1"/>
    <xf numFmtId="0" fontId="0" fillId="0" borderId="0" xfId="0"/>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xf>
    <xf numFmtId="9" fontId="10" fillId="0" borderId="0" xfId="9" applyNumberFormat="1" applyFont="1"/>
    <xf numFmtId="0" fontId="0" fillId="0" borderId="0" xfId="0" applyAlignment="1">
      <alignment horizontal="center"/>
    </xf>
    <xf numFmtId="164" fontId="10" fillId="0" borderId="3" xfId="1" applyNumberFormat="1" applyFont="1" applyBorder="1"/>
    <xf numFmtId="0" fontId="6"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7" fillId="5" borderId="0" xfId="0" applyFont="1" applyFill="1" applyProtection="1">
      <protection locked="0"/>
    </xf>
    <xf numFmtId="0" fontId="0" fillId="0" borderId="0" xfId="0" applyBorder="1"/>
    <xf numFmtId="0" fontId="0" fillId="0" borderId="0" xfId="0"/>
    <xf numFmtId="0" fontId="6" fillId="0" borderId="0" xfId="0" applyFont="1"/>
    <xf numFmtId="0" fontId="6" fillId="0" borderId="1" xfId="0" applyFont="1" applyBorder="1"/>
    <xf numFmtId="0" fontId="6" fillId="0" borderId="0" xfId="0" applyFont="1" applyFill="1" applyBorder="1"/>
    <xf numFmtId="9" fontId="6" fillId="0" borderId="0" xfId="9" applyFont="1" applyFill="1" applyBorder="1"/>
    <xf numFmtId="9" fontId="6" fillId="0" borderId="0" xfId="9" applyNumberFormat="1" applyFont="1" applyFill="1" applyBorder="1" applyAlignment="1">
      <alignment horizontal="center"/>
    </xf>
    <xf numFmtId="0" fontId="6" fillId="4" borderId="1" xfId="0" applyFont="1" applyFill="1" applyBorder="1"/>
    <xf numFmtId="165" fontId="6" fillId="0" borderId="2" xfId="5" applyNumberFormat="1" applyFont="1" applyBorder="1"/>
    <xf numFmtId="0" fontId="6" fillId="0" borderId="3" xfId="0" applyFont="1" applyBorder="1"/>
    <xf numFmtId="164" fontId="6" fillId="0" borderId="3" xfId="1" applyNumberFormat="1" applyFont="1" applyBorder="1"/>
    <xf numFmtId="165" fontId="6" fillId="0" borderId="3" xfId="5" applyNumberFormat="1" applyFont="1" applyBorder="1"/>
    <xf numFmtId="0" fontId="6" fillId="0" borderId="4" xfId="0" applyFont="1" applyBorder="1"/>
    <xf numFmtId="164" fontId="6" fillId="0" borderId="4" xfId="1" applyNumberFormat="1" applyFont="1" applyBorder="1"/>
    <xf numFmtId="164" fontId="6" fillId="0" borderId="1" xfId="1" applyNumberFormat="1" applyFont="1" applyBorder="1"/>
    <xf numFmtId="9" fontId="6" fillId="0" borderId="0" xfId="9" applyNumberFormat="1" applyFont="1"/>
    <xf numFmtId="0" fontId="6" fillId="0" borderId="0" xfId="0" applyFont="1" applyBorder="1"/>
    <xf numFmtId="164" fontId="6" fillId="0" borderId="0" xfId="1" applyNumberFormat="1" applyFont="1" applyBorder="1"/>
    <xf numFmtId="167" fontId="6" fillId="0" borderId="0" xfId="5" applyNumberFormat="1" applyFont="1" applyBorder="1"/>
    <xf numFmtId="0" fontId="6" fillId="0" borderId="9" xfId="0" applyFont="1" applyBorder="1"/>
    <xf numFmtId="0" fontId="6" fillId="0" borderId="5" xfId="0" applyFont="1" applyBorder="1"/>
    <xf numFmtId="0" fontId="6" fillId="0" borderId="6" xfId="0" applyFont="1" applyBorder="1"/>
    <xf numFmtId="0" fontId="0" fillId="5" borderId="0" xfId="0" applyFill="1"/>
    <xf numFmtId="0" fontId="12" fillId="5" borderId="0" xfId="0" applyFont="1" applyFill="1"/>
    <xf numFmtId="0" fontId="0" fillId="4" borderId="10" xfId="0" applyFill="1" applyBorder="1" applyAlignment="1">
      <alignment horizontal="center"/>
    </xf>
    <xf numFmtId="9" fontId="10" fillId="0" borderId="0" xfId="9" applyFont="1" applyBorder="1"/>
    <xf numFmtId="0" fontId="0" fillId="4" borderId="6" xfId="0" applyFill="1" applyBorder="1" applyAlignment="1">
      <alignment horizontal="center" vertical="center"/>
    </xf>
    <xf numFmtId="0" fontId="0" fillId="6" borderId="0" xfId="0" applyFill="1"/>
    <xf numFmtId="0" fontId="0" fillId="0" borderId="0" xfId="0" applyFont="1" applyFill="1" applyBorder="1" applyAlignment="1">
      <alignment horizontal="center"/>
    </xf>
    <xf numFmtId="0" fontId="0" fillId="0" borderId="0" xfId="0" applyFill="1"/>
    <xf numFmtId="0" fontId="0" fillId="0" borderId="1" xfId="0" applyBorder="1" applyAlignment="1">
      <alignment horizontal="center" vertical="center"/>
    </xf>
    <xf numFmtId="0" fontId="0" fillId="0" borderId="0" xfId="0" applyFont="1"/>
    <xf numFmtId="9" fontId="10" fillId="0" borderId="0" xfId="9" applyFont="1" applyFill="1" applyBorder="1"/>
    <xf numFmtId="165" fontId="10" fillId="0" borderId="2" xfId="5" applyNumberFormat="1" applyFont="1" applyBorder="1"/>
    <xf numFmtId="0" fontId="0" fillId="0" borderId="0" xfId="0" applyFill="1" applyBorder="1" applyAlignment="1">
      <alignment horizontal="center" vertical="center"/>
    </xf>
    <xf numFmtId="167" fontId="6" fillId="0" borderId="0" xfId="5" applyNumberFormat="1" applyFont="1" applyFill="1" applyBorder="1"/>
    <xf numFmtId="9" fontId="6" fillId="0" borderId="0" xfId="9" applyFont="1" applyBorder="1"/>
    <xf numFmtId="0" fontId="0" fillId="5" borderId="0" xfId="0" applyFont="1" applyFill="1"/>
    <xf numFmtId="0" fontId="0" fillId="5" borderId="0" xfId="0" applyFont="1" applyFill="1" applyProtection="1">
      <protection locked="0"/>
    </xf>
    <xf numFmtId="0" fontId="12" fillId="5" borderId="0" xfId="0" applyFont="1" applyFill="1" applyProtection="1">
      <protection locked="0"/>
    </xf>
    <xf numFmtId="164" fontId="10" fillId="0" borderId="9" xfId="1" applyNumberFormat="1" applyFont="1" applyBorder="1"/>
    <xf numFmtId="0" fontId="0" fillId="0" borderId="0" xfId="0" applyFill="1" applyBorder="1"/>
    <xf numFmtId="0" fontId="5" fillId="2" borderId="7" xfId="8" applyFill="1" applyBorder="1" applyAlignment="1">
      <alignment horizontal="center" vertical="center"/>
    </xf>
    <xf numFmtId="0" fontId="14" fillId="0" borderId="0" xfId="0" applyFont="1"/>
    <xf numFmtId="9" fontId="0" fillId="0" borderId="0" xfId="9" applyFont="1"/>
    <xf numFmtId="0" fontId="0" fillId="0" borderId="0" xfId="0" applyFill="1" applyBorder="1" applyAlignment="1">
      <alignment horizontal="center"/>
    </xf>
    <xf numFmtId="164" fontId="6" fillId="0" borderId="0" xfId="1" applyNumberFormat="1" applyFont="1" applyFill="1" applyBorder="1"/>
    <xf numFmtId="165" fontId="10" fillId="0" borderId="0" xfId="5" applyNumberFormat="1" applyFont="1" applyFill="1" applyBorder="1"/>
    <xf numFmtId="17" fontId="6" fillId="0" borderId="0" xfId="0" applyNumberFormat="1" applyFont="1"/>
    <xf numFmtId="164" fontId="0" fillId="0" borderId="0" xfId="1" applyNumberFormat="1" applyFont="1"/>
    <xf numFmtId="165" fontId="6" fillId="0" borderId="0" xfId="5" applyNumberFormat="1" applyFont="1" applyFill="1" applyBorder="1"/>
    <xf numFmtId="164" fontId="0" fillId="0" borderId="1" xfId="0" applyNumberFormat="1" applyBorder="1"/>
    <xf numFmtId="165" fontId="0" fillId="0" borderId="0" xfId="0" applyNumberFormat="1"/>
    <xf numFmtId="164" fontId="0" fillId="0" borderId="9" xfId="1" applyNumberFormat="1" applyFont="1" applyBorder="1"/>
    <xf numFmtId="165" fontId="0" fillId="0" borderId="3" xfId="5" applyNumberFormat="1" applyFont="1" applyBorder="1"/>
    <xf numFmtId="165" fontId="0" fillId="0" borderId="4" xfId="5" applyNumberFormat="1" applyFont="1" applyBorder="1"/>
    <xf numFmtId="0" fontId="0" fillId="0" borderId="0" xfId="0" applyBorder="1" applyAlignment="1">
      <alignment horizontal="center"/>
    </xf>
    <xf numFmtId="164" fontId="0" fillId="0" borderId="4" xfId="1" applyNumberFormat="1" applyFont="1" applyBorder="1"/>
    <xf numFmtId="164" fontId="0" fillId="0" borderId="6" xfId="1" applyNumberFormat="1" applyFont="1" applyBorder="1" applyAlignment="1">
      <alignment horizontal="center"/>
    </xf>
    <xf numFmtId="164" fontId="0" fillId="0" borderId="5" xfId="1" applyNumberFormat="1" applyFont="1" applyBorder="1" applyAlignment="1">
      <alignment horizontal="center"/>
    </xf>
    <xf numFmtId="164" fontId="0" fillId="0" borderId="3" xfId="1" applyNumberFormat="1" applyFont="1" applyBorder="1"/>
    <xf numFmtId="0" fontId="16" fillId="0" borderId="0" xfId="0" applyFont="1"/>
    <xf numFmtId="0" fontId="6" fillId="4" borderId="1" xfId="0" applyFont="1" applyFill="1" applyBorder="1" applyAlignment="1">
      <alignment horizontal="center"/>
    </xf>
    <xf numFmtId="0" fontId="6" fillId="6" borderId="0" xfId="0" applyFont="1" applyFill="1" applyBorder="1"/>
    <xf numFmtId="164" fontId="6" fillId="6" borderId="0" xfId="1" applyNumberFormat="1" applyFont="1" applyFill="1" applyBorder="1"/>
    <xf numFmtId="9" fontId="6" fillId="6" borderId="0" xfId="9" applyFont="1" applyFill="1" applyBorder="1"/>
    <xf numFmtId="9" fontId="10" fillId="6" borderId="0" xfId="9" applyFont="1" applyFill="1" applyBorder="1"/>
    <xf numFmtId="9" fontId="6" fillId="6" borderId="0" xfId="9" applyNumberFormat="1" applyFont="1" applyFill="1" applyBorder="1" applyAlignment="1">
      <alignment horizontal="center"/>
    </xf>
    <xf numFmtId="0" fontId="16" fillId="6" borderId="0" xfId="0" applyFont="1" applyFill="1"/>
    <xf numFmtId="0" fontId="17" fillId="0" borderId="0" xfId="0" applyFont="1"/>
    <xf numFmtId="0" fontId="18" fillId="0" borderId="0" xfId="0" applyFont="1"/>
    <xf numFmtId="0" fontId="6" fillId="6" borderId="0" xfId="0" applyFont="1" applyFill="1"/>
    <xf numFmtId="0" fontId="14" fillId="0" borderId="0" xfId="0" applyFont="1" applyFill="1" applyBorder="1"/>
    <xf numFmtId="167" fontId="6" fillId="6" borderId="0" xfId="5" applyNumberFormat="1" applyFont="1" applyFill="1" applyBorder="1"/>
    <xf numFmtId="0" fontId="16" fillId="6" borderId="0" xfId="0" applyFont="1" applyFill="1" applyBorder="1"/>
    <xf numFmtId="164" fontId="0" fillId="6" borderId="0" xfId="0" applyNumberFormat="1" applyFill="1" applyBorder="1"/>
    <xf numFmtId="0" fontId="6" fillId="6" borderId="0" xfId="0" applyFont="1" applyFill="1" applyBorder="1" applyAlignment="1">
      <alignment horizontal="center"/>
    </xf>
    <xf numFmtId="0" fontId="0" fillId="6" borderId="0" xfId="0" applyFill="1" applyBorder="1"/>
    <xf numFmtId="0" fontId="17" fillId="0" borderId="0" xfId="0" applyFont="1" applyFill="1" applyBorder="1"/>
    <xf numFmtId="0" fontId="18" fillId="0" borderId="0" xfId="0" applyFont="1" applyBorder="1"/>
    <xf numFmtId="0" fontId="10" fillId="4" borderId="1" xfId="9" applyNumberFormat="1"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0" fillId="0" borderId="0" xfId="0" applyFont="1" applyFill="1" applyBorder="1"/>
    <xf numFmtId="164" fontId="0" fillId="0" borderId="0" xfId="1" applyNumberFormat="1" applyFont="1" applyFill="1" applyBorder="1"/>
    <xf numFmtId="37" fontId="0" fillId="0" borderId="0" xfId="5" applyNumberFormat="1" applyFont="1" applyFill="1" applyBorder="1"/>
    <xf numFmtId="0" fontId="6" fillId="4" borderId="1" xfId="9" applyNumberFormat="1" applyFont="1" applyFill="1" applyBorder="1" applyAlignment="1" applyProtection="1">
      <alignment horizontal="center" vertical="center" wrapText="1"/>
      <protection locked="0"/>
    </xf>
    <xf numFmtId="165" fontId="15" fillId="0" borderId="0" xfId="5" applyNumberFormat="1" applyFont="1" applyFill="1" applyBorder="1"/>
    <xf numFmtId="0" fontId="0" fillId="4" borderId="1" xfId="0" applyFill="1" applyBorder="1" applyAlignment="1">
      <alignment horizontal="center" vertical="center"/>
    </xf>
    <xf numFmtId="0" fontId="0" fillId="4" borderId="1" xfId="0" applyFill="1" applyBorder="1" applyAlignment="1">
      <alignment horizontal="center" vertical="center"/>
    </xf>
    <xf numFmtId="165" fontId="0" fillId="0" borderId="0" xfId="5" applyNumberFormat="1" applyFont="1" applyFill="1" applyBorder="1"/>
    <xf numFmtId="0" fontId="5" fillId="0" borderId="0" xfId="8" applyFill="1" applyBorder="1" applyAlignment="1">
      <alignment horizontal="center" vertical="center"/>
    </xf>
    <xf numFmtId="164" fontId="0" fillId="0" borderId="0" xfId="0" applyNumberFormat="1" applyFill="1" applyBorder="1"/>
    <xf numFmtId="0" fontId="19" fillId="0" borderId="0" xfId="0" applyFont="1"/>
    <xf numFmtId="0" fontId="0" fillId="6" borderId="0" xfId="0" applyFill="1" applyAlignment="1">
      <alignment horizontal="center"/>
    </xf>
    <xf numFmtId="0" fontId="6" fillId="0" borderId="1" xfId="0" applyFont="1" applyFill="1" applyBorder="1"/>
    <xf numFmtId="0" fontId="0" fillId="0" borderId="0" xfId="0" applyFill="1" applyProtection="1">
      <protection locked="0"/>
    </xf>
    <xf numFmtId="0" fontId="0" fillId="5" borderId="0" xfId="0"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0" fillId="0" borderId="0" xfId="0"/>
    <xf numFmtId="164" fontId="10" fillId="0" borderId="0" xfId="1" applyNumberFormat="1" applyFont="1" applyFill="1" applyBorder="1"/>
    <xf numFmtId="164" fontId="0" fillId="0" borderId="0" xfId="0" applyNumberFormat="1" applyFill="1" applyBorder="1" applyAlignment="1">
      <alignment horizontal="center" vertical="center"/>
    </xf>
    <xf numFmtId="0" fontId="0" fillId="4" borderId="1" xfId="0" applyFill="1" applyBorder="1" applyAlignment="1">
      <alignment horizontal="center" vertical="center"/>
    </xf>
    <xf numFmtId="0" fontId="16" fillId="5" borderId="0" xfId="0" applyFont="1" applyFill="1"/>
    <xf numFmtId="0" fontId="16" fillId="5" borderId="0" xfId="0" applyFont="1" applyFill="1" applyProtection="1">
      <protection locked="0"/>
    </xf>
    <xf numFmtId="0" fontId="0" fillId="4" borderId="13" xfId="0" applyFill="1" applyBorder="1" applyAlignment="1">
      <alignment horizontal="center" vertical="center"/>
    </xf>
    <xf numFmtId="0" fontId="0" fillId="4" borderId="13" xfId="0" applyFill="1" applyBorder="1" applyAlignment="1">
      <alignment horizontal="center"/>
    </xf>
    <xf numFmtId="0" fontId="0" fillId="4" borderId="18" xfId="0" applyFill="1" applyBorder="1" applyAlignment="1">
      <alignment horizontal="center"/>
    </xf>
    <xf numFmtId="165" fontId="0" fillId="0" borderId="16" xfId="5" applyNumberFormat="1" applyFont="1" applyBorder="1"/>
    <xf numFmtId="165" fontId="0" fillId="0" borderId="13" xfId="5" applyNumberFormat="1" applyFont="1" applyBorder="1"/>
    <xf numFmtId="164" fontId="0" fillId="0" borderId="13" xfId="1" applyNumberFormat="1" applyFont="1" applyBorder="1"/>
    <xf numFmtId="164" fontId="0" fillId="0" borderId="16" xfId="1" applyNumberFormat="1" applyFont="1" applyBorder="1"/>
    <xf numFmtId="0" fontId="0" fillId="4" borderId="16" xfId="0" applyFill="1" applyBorder="1" applyAlignment="1">
      <alignment horizontal="center"/>
    </xf>
    <xf numFmtId="164" fontId="10" fillId="0" borderId="13" xfId="1" applyNumberFormat="1" applyFont="1" applyBorder="1"/>
    <xf numFmtId="164" fontId="0" fillId="0" borderId="13" xfId="0" applyNumberFormat="1" applyBorder="1"/>
    <xf numFmtId="164" fontId="6" fillId="0" borderId="13" xfId="1" applyNumberFormat="1" applyFont="1" applyBorder="1"/>
    <xf numFmtId="0" fontId="0" fillId="0" borderId="0" xfId="0"/>
    <xf numFmtId="0" fontId="0" fillId="0" borderId="13" xfId="0" applyBorder="1" applyAlignment="1">
      <alignment horizontal="center" vertical="center"/>
    </xf>
    <xf numFmtId="0" fontId="0" fillId="0" borderId="0" xfId="0"/>
    <xf numFmtId="0" fontId="0" fillId="4" borderId="14" xfId="0" applyFill="1" applyBorder="1" applyAlignment="1">
      <alignment horizontal="center"/>
    </xf>
    <xf numFmtId="9" fontId="0" fillId="0" borderId="13" xfId="9" applyFont="1" applyBorder="1"/>
    <xf numFmtId="164" fontId="6" fillId="0" borderId="16" xfId="1" applyNumberFormat="1" applyFont="1" applyBorder="1"/>
    <xf numFmtId="43" fontId="20" fillId="0" borderId="0" xfId="1" applyNumberFormat="1" applyFont="1" applyFill="1" applyBorder="1"/>
    <xf numFmtId="0" fontId="0" fillId="4" borderId="19" xfId="0" applyFill="1" applyBorder="1" applyAlignment="1">
      <alignment horizontal="center"/>
    </xf>
    <xf numFmtId="0" fontId="6" fillId="4" borderId="16" xfId="0" applyFont="1" applyFill="1" applyBorder="1" applyAlignment="1">
      <alignment horizontal="center"/>
    </xf>
    <xf numFmtId="165" fontId="6" fillId="0" borderId="13" xfId="5" applyNumberFormat="1" applyFont="1" applyBorder="1"/>
    <xf numFmtId="0" fontId="5" fillId="2" borderId="1" xfId="8" applyFill="1" applyBorder="1" applyAlignment="1">
      <alignment horizontal="center" vertical="center"/>
    </xf>
    <xf numFmtId="0" fontId="0" fillId="0" borderId="0" xfId="0"/>
    <xf numFmtId="9" fontId="0" fillId="0" borderId="3" xfId="9" applyFont="1" applyBorder="1"/>
    <xf numFmtId="164" fontId="6" fillId="0" borderId="13" xfId="1" applyNumberFormat="1" applyFont="1" applyFill="1" applyBorder="1"/>
    <xf numFmtId="164" fontId="10" fillId="0" borderId="16" xfId="1" applyNumberFormat="1" applyFont="1" applyBorder="1"/>
    <xf numFmtId="164" fontId="13" fillId="0" borderId="0" xfId="1" applyNumberFormat="1" applyFont="1" applyFill="1"/>
    <xf numFmtId="1" fontId="6" fillId="0" borderId="0" xfId="0" applyNumberFormat="1" applyFont="1" applyFill="1"/>
    <xf numFmtId="1" fontId="13" fillId="0" borderId="0" xfId="0" applyNumberFormat="1" applyFont="1" applyFill="1"/>
    <xf numFmtId="0" fontId="6" fillId="4" borderId="17" xfId="0" applyFont="1" applyFill="1" applyBorder="1"/>
    <xf numFmtId="0" fontId="6" fillId="0" borderId="0" xfId="0" applyFont="1" applyAlignment="1">
      <alignment horizontal="center"/>
    </xf>
    <xf numFmtId="9" fontId="6" fillId="0" borderId="16" xfId="9" applyFont="1" applyFill="1" applyBorder="1" applyAlignment="1">
      <alignment horizontal="center"/>
    </xf>
    <xf numFmtId="9" fontId="6" fillId="0" borderId="3" xfId="9" applyFont="1" applyFill="1" applyBorder="1" applyAlignment="1">
      <alignment horizontal="center"/>
    </xf>
    <xf numFmtId="9" fontId="6" fillId="0" borderId="4" xfId="9" applyFont="1" applyFill="1" applyBorder="1" applyAlignment="1">
      <alignment horizontal="center"/>
    </xf>
    <xf numFmtId="0" fontId="6" fillId="6" borderId="0" xfId="0" applyFont="1" applyFill="1" applyAlignment="1">
      <alignment horizontal="center"/>
    </xf>
    <xf numFmtId="165" fontId="6" fillId="0" borderId="0" xfId="5" applyNumberFormat="1" applyFont="1" applyBorder="1" applyAlignment="1">
      <alignment horizontal="center"/>
    </xf>
    <xf numFmtId="165" fontId="0" fillId="0" borderId="0" xfId="0" applyNumberFormat="1" applyAlignment="1">
      <alignment horizontal="center"/>
    </xf>
    <xf numFmtId="9" fontId="6" fillId="0" borderId="13" xfId="9" applyFont="1" applyFill="1" applyBorder="1" applyAlignment="1">
      <alignment horizontal="center"/>
    </xf>
    <xf numFmtId="0" fontId="0" fillId="0" borderId="0" xfId="0"/>
    <xf numFmtId="0" fontId="6" fillId="0" borderId="13" xfId="0" applyFont="1" applyBorder="1" applyAlignment="1">
      <alignment horizontal="center" vertical="center"/>
    </xf>
    <xf numFmtId="164" fontId="6" fillId="0" borderId="16" xfId="1" applyNumberFormat="1" applyFont="1" applyFill="1" applyBorder="1"/>
    <xf numFmtId="0" fontId="0" fillId="0" borderId="0" xfId="0" applyAlignment="1"/>
    <xf numFmtId="0" fontId="0" fillId="0" borderId="0" xfId="0" applyAlignment="1">
      <alignment wrapText="1"/>
    </xf>
    <xf numFmtId="0" fontId="6" fillId="0" borderId="0" xfId="0" applyFont="1" applyFill="1" applyBorder="1" applyAlignment="1">
      <alignment horizontal="center"/>
    </xf>
    <xf numFmtId="0" fontId="0" fillId="0" borderId="1" xfId="0" applyBorder="1" applyAlignment="1">
      <alignment horizontal="center" vertical="center"/>
    </xf>
    <xf numFmtId="0" fontId="0" fillId="5" borderId="13" xfId="0" applyFill="1" applyBorder="1" applyAlignment="1">
      <alignment horizontal="center" vertical="center"/>
    </xf>
    <xf numFmtId="0" fontId="0" fillId="5" borderId="16" xfId="0" applyFill="1" applyBorder="1" applyAlignment="1">
      <alignment horizontal="center" vertical="center"/>
    </xf>
    <xf numFmtId="0" fontId="0" fillId="0" borderId="16"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0" fillId="5" borderId="0" xfId="0" applyFill="1" applyAlignment="1">
      <alignment wrapText="1"/>
    </xf>
    <xf numFmtId="0" fontId="0" fillId="0" borderId="0" xfId="0" applyAlignment="1">
      <alignment wrapText="1"/>
    </xf>
    <xf numFmtId="0" fontId="6" fillId="0" borderId="0" xfId="0" applyFont="1" applyFill="1" applyBorder="1" applyAlignment="1">
      <alignment horizontal="center"/>
    </xf>
    <xf numFmtId="0" fontId="4" fillId="0" borderId="0" xfId="118"/>
    <xf numFmtId="0" fontId="23" fillId="0" borderId="0" xfId="118" applyFont="1"/>
    <xf numFmtId="0" fontId="24" fillId="0" borderId="13" xfId="118" applyFont="1" applyBorder="1" applyAlignment="1">
      <alignment wrapText="1"/>
    </xf>
    <xf numFmtId="0" fontId="24" fillId="0" borderId="17" xfId="118" applyFont="1" applyBorder="1"/>
    <xf numFmtId="0" fontId="4" fillId="0" borderId="18" xfId="118" applyBorder="1"/>
    <xf numFmtId="0" fontId="4" fillId="0" borderId="19" xfId="118" applyBorder="1"/>
    <xf numFmtId="0" fontId="24" fillId="0" borderId="18" xfId="118" applyFont="1" applyBorder="1"/>
    <xf numFmtId="0" fontId="24" fillId="0" borderId="17" xfId="118" applyFont="1" applyBorder="1" applyAlignment="1">
      <alignment wrapText="1"/>
    </xf>
    <xf numFmtId="0" fontId="23" fillId="0" borderId="0" xfId="118" applyFont="1" applyAlignment="1">
      <alignment wrapText="1"/>
    </xf>
    <xf numFmtId="0" fontId="13" fillId="0" borderId="0" xfId="0" applyFont="1"/>
    <xf numFmtId="0" fontId="6" fillId="4" borderId="13" xfId="0" applyFont="1" applyFill="1" applyBorder="1"/>
    <xf numFmtId="0" fontId="6" fillId="4" borderId="13" xfId="0" applyFont="1" applyFill="1" applyBorder="1" applyAlignment="1">
      <alignment horizontal="center"/>
    </xf>
    <xf numFmtId="0" fontId="6" fillId="0" borderId="13" xfId="0" applyFont="1" applyBorder="1"/>
    <xf numFmtId="165" fontId="6" fillId="0" borderId="16" xfId="5" applyNumberFormat="1" applyFont="1" applyBorder="1"/>
    <xf numFmtId="0" fontId="6" fillId="0" borderId="17" xfId="0" applyFont="1" applyBorder="1"/>
    <xf numFmtId="0" fontId="6" fillId="0" borderId="16" xfId="0" applyFont="1" applyBorder="1"/>
    <xf numFmtId="165" fontId="0" fillId="0" borderId="18" xfId="5" applyNumberFormat="1" applyFont="1" applyBorder="1"/>
    <xf numFmtId="164" fontId="0" fillId="0" borderId="17" xfId="1" applyNumberFormat="1" applyFont="1" applyBorder="1"/>
    <xf numFmtId="164" fontId="10" fillId="0" borderId="17" xfId="1" applyNumberFormat="1" applyFont="1" applyBorder="1"/>
    <xf numFmtId="164" fontId="6" fillId="0" borderId="17" xfId="1" applyNumberFormat="1" applyFont="1" applyFill="1" applyBorder="1"/>
    <xf numFmtId="0" fontId="6" fillId="0" borderId="17" xfId="0" applyFont="1" applyBorder="1" applyAlignment="1"/>
    <xf numFmtId="0" fontId="0"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3" xfId="0"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0" xfId="0" applyFill="1" applyBorder="1" applyAlignment="1">
      <alignment horizontal="center" vertical="center" wrapText="1"/>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0" fillId="4" borderId="1" xfId="0" applyFont="1" applyFill="1" applyBorder="1" applyAlignment="1">
      <alignment horizontal="center" wrapText="1"/>
    </xf>
    <xf numFmtId="0" fontId="26" fillId="5" borderId="0" xfId="0" applyFont="1" applyFill="1" applyProtection="1">
      <protection locked="0"/>
    </xf>
    <xf numFmtId="0" fontId="26" fillId="5" borderId="0" xfId="0" applyFont="1" applyFill="1"/>
    <xf numFmtId="17" fontId="27" fillId="5" borderId="0" xfId="0" applyNumberFormat="1" applyFont="1" applyFill="1"/>
    <xf numFmtId="168" fontId="28" fillId="0" borderId="0" xfId="0" applyNumberFormat="1" applyFont="1"/>
    <xf numFmtId="17" fontId="27" fillId="0" borderId="0" xfId="0" applyNumberFormat="1" applyFont="1"/>
    <xf numFmtId="0" fontId="16" fillId="0" borderId="0" xfId="0" applyFont="1" applyAlignment="1">
      <alignment horizontal="left" vertical="center"/>
    </xf>
    <xf numFmtId="0" fontId="29" fillId="0" borderId="0" xfId="0" applyFont="1"/>
    <xf numFmtId="0" fontId="29" fillId="0" borderId="0" xfId="0" applyFont="1" applyAlignment="1">
      <alignment horizontal="left" vertical="center"/>
    </xf>
    <xf numFmtId="0" fontId="12" fillId="0" borderId="0" xfId="0" applyFont="1" applyFill="1" applyBorder="1"/>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xf>
    <xf numFmtId="0" fontId="0" fillId="0" borderId="4" xfId="0" applyBorder="1" applyAlignment="1">
      <alignment vertical="center"/>
    </xf>
    <xf numFmtId="0" fontId="0" fillId="0" borderId="17" xfId="0" applyBorder="1" applyAlignment="1">
      <alignment vertical="center"/>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16" xfId="0" applyFill="1" applyBorder="1" applyAlignment="1">
      <alignment horizontal="center" wrapText="1"/>
    </xf>
    <xf numFmtId="0" fontId="0" fillId="4" borderId="13" xfId="0" applyFill="1" applyBorder="1" applyAlignment="1">
      <alignment horizontal="center" wrapText="1"/>
    </xf>
    <xf numFmtId="0" fontId="0" fillId="4" borderId="13" xfId="0" applyFont="1" applyFill="1" applyBorder="1" applyAlignment="1">
      <alignment horizontal="center"/>
    </xf>
    <xf numFmtId="165" fontId="0" fillId="0" borderId="13" xfId="5" applyNumberFormat="1" applyFont="1" applyBorder="1" applyAlignment="1">
      <alignment horizontal="center"/>
    </xf>
    <xf numFmtId="164" fontId="0" fillId="0" borderId="13" xfId="1" applyNumberFormat="1" applyFont="1" applyBorder="1" applyAlignment="1">
      <alignment horizontal="center"/>
    </xf>
    <xf numFmtId="165" fontId="6" fillId="0" borderId="1" xfId="5" applyNumberFormat="1" applyFont="1" applyBorder="1"/>
    <xf numFmtId="165" fontId="13" fillId="0" borderId="0" xfId="5" applyNumberFormat="1" applyFont="1" applyBorder="1"/>
    <xf numFmtId="165" fontId="10" fillId="0" borderId="13" xfId="5" applyNumberFormat="1" applyFont="1" applyBorder="1"/>
    <xf numFmtId="164" fontId="6" fillId="5" borderId="1" xfId="0" applyNumberFormat="1" applyFont="1" applyFill="1" applyBorder="1" applyAlignment="1">
      <alignment horizontal="center" vertical="center"/>
    </xf>
    <xf numFmtId="0" fontId="6" fillId="5" borderId="0" xfId="0" applyFont="1" applyFill="1" applyAlignment="1">
      <alignment vertical="center" wrapText="1"/>
    </xf>
    <xf numFmtId="17" fontId="30" fillId="5" borderId="0" xfId="0" quotePrefix="1" applyNumberFormat="1" applyFont="1" applyFill="1" applyAlignment="1">
      <alignment horizontal="left"/>
    </xf>
    <xf numFmtId="0" fontId="6" fillId="0" borderId="6" xfId="0" applyFont="1" applyBorder="1" applyAlignment="1">
      <alignment wrapText="1"/>
    </xf>
    <xf numFmtId="0" fontId="6" fillId="0" borderId="5" xfId="0" applyFont="1" applyBorder="1" applyAlignment="1">
      <alignment wrapText="1"/>
    </xf>
    <xf numFmtId="164" fontId="10" fillId="0" borderId="4" xfId="1" applyNumberFormat="1" applyFont="1" applyBorder="1"/>
    <xf numFmtId="0" fontId="6" fillId="4" borderId="13" xfId="0" applyFont="1" applyFill="1" applyBorder="1" applyAlignment="1">
      <alignment horizontal="left"/>
    </xf>
    <xf numFmtId="164" fontId="13" fillId="0" borderId="0" xfId="1" applyNumberFormat="1" applyFont="1" applyBorder="1"/>
    <xf numFmtId="9" fontId="0" fillId="0" borderId="17" xfId="9" applyFont="1" applyBorder="1"/>
    <xf numFmtId="0" fontId="0" fillId="0" borderId="19" xfId="0" applyBorder="1" applyAlignment="1">
      <alignment horizont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164" fontId="0" fillId="0" borderId="16" xfId="1" applyNumberFormat="1" applyFont="1" applyBorder="1" applyAlignment="1">
      <alignment horizontal="center"/>
    </xf>
    <xf numFmtId="0" fontId="0" fillId="5" borderId="17" xfId="0" applyFill="1" applyBorder="1" applyAlignment="1"/>
    <xf numFmtId="165" fontId="0" fillId="0" borderId="13" xfId="9" applyNumberFormat="1" applyFont="1" applyBorder="1"/>
    <xf numFmtId="0" fontId="0" fillId="5" borderId="9" xfId="0" applyFill="1" applyBorder="1" applyAlignment="1">
      <alignment horizontal="left" vertical="center"/>
    </xf>
    <xf numFmtId="0" fontId="0" fillId="5" borderId="6" xfId="0" applyFill="1" applyBorder="1" applyAlignment="1">
      <alignment horizontal="left" vertical="center"/>
    </xf>
    <xf numFmtId="0" fontId="0" fillId="5" borderId="5" xfId="0" applyFill="1" applyBorder="1" applyAlignment="1">
      <alignment horizontal="left" vertical="center"/>
    </xf>
    <xf numFmtId="0" fontId="0" fillId="0" borderId="16" xfId="0" applyFill="1" applyBorder="1" applyAlignment="1">
      <alignment horizontal="center" vertical="center" wrapText="1"/>
    </xf>
    <xf numFmtId="166" fontId="0" fillId="0" borderId="0" xfId="9" applyNumberFormat="1" applyFont="1"/>
    <xf numFmtId="0" fontId="6" fillId="0" borderId="13" xfId="0" applyFont="1" applyFill="1" applyBorder="1" applyAlignment="1">
      <alignment horizontal="center" vertical="center"/>
    </xf>
    <xf numFmtId="0" fontId="6" fillId="5" borderId="13" xfId="0" applyFont="1" applyFill="1" applyBorder="1" applyAlignment="1">
      <alignment horizontal="center" vertical="center" wrapText="1"/>
    </xf>
    <xf numFmtId="165" fontId="6" fillId="5" borderId="16" xfId="5" applyNumberFormat="1" applyFont="1" applyFill="1" applyBorder="1" applyAlignment="1">
      <alignment horizontal="center" vertical="center"/>
    </xf>
    <xf numFmtId="165" fontId="6" fillId="5" borderId="13" xfId="5" applyNumberFormat="1" applyFont="1" applyFill="1" applyBorder="1" applyAlignment="1">
      <alignment horizontal="center" vertical="center"/>
    </xf>
    <xf numFmtId="0" fontId="6" fillId="5" borderId="17" xfId="0" applyFont="1" applyFill="1" applyBorder="1" applyAlignment="1">
      <alignment horizontal="center" vertical="center" wrapText="1"/>
    </xf>
    <xf numFmtId="0" fontId="0" fillId="0" borderId="13" xfId="0" applyBorder="1"/>
    <xf numFmtId="0" fontId="0" fillId="4" borderId="16" xfId="0" applyFill="1" applyBorder="1" applyAlignment="1">
      <alignment horizontal="center" vertical="center"/>
    </xf>
    <xf numFmtId="0" fontId="0" fillId="0" borderId="0" xfId="0" applyAlignment="1">
      <alignment horizontal="right"/>
    </xf>
    <xf numFmtId="9" fontId="0" fillId="0" borderId="0" xfId="9" applyFont="1" applyBorder="1"/>
    <xf numFmtId="0" fontId="0" fillId="0" borderId="13" xfId="0" applyFill="1" applyBorder="1" applyAlignment="1">
      <alignment horizontal="center" vertical="center"/>
    </xf>
    <xf numFmtId="2" fontId="0" fillId="0" borderId="0" xfId="0" applyNumberFormat="1"/>
    <xf numFmtId="0" fontId="0" fillId="0" borderId="0" xfId="0" applyBorder="1" applyAlignment="1">
      <alignment horizontal="right"/>
    </xf>
    <xf numFmtId="167" fontId="13" fillId="0" borderId="0" xfId="5" applyNumberFormat="1" applyFont="1" applyFill="1" applyBorder="1"/>
    <xf numFmtId="164" fontId="13" fillId="0" borderId="0" xfId="1" applyNumberFormat="1" applyFont="1" applyFill="1" applyBorder="1"/>
    <xf numFmtId="0" fontId="0" fillId="0" borderId="16" xfId="0" applyFont="1" applyFill="1" applyBorder="1" applyAlignment="1">
      <alignment horizontal="center" vertical="center"/>
    </xf>
    <xf numFmtId="0" fontId="6" fillId="0" borderId="13" xfId="0" applyFont="1" applyFill="1" applyBorder="1" applyAlignment="1">
      <alignment horizontal="center" vertical="center" wrapText="1"/>
    </xf>
    <xf numFmtId="0" fontId="0" fillId="5" borderId="16" xfId="0" applyFill="1" applyBorder="1" applyAlignment="1">
      <alignment horizontal="center" vertical="center"/>
    </xf>
    <xf numFmtId="165" fontId="6" fillId="0" borderId="1" xfId="5" applyNumberFormat="1" applyFont="1" applyFill="1" applyBorder="1"/>
    <xf numFmtId="0" fontId="12" fillId="0" borderId="0" xfId="0" applyFont="1"/>
    <xf numFmtId="164" fontId="6" fillId="0" borderId="19"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0" fontId="27" fillId="0" borderId="0" xfId="0" applyFont="1"/>
    <xf numFmtId="164" fontId="13" fillId="0" borderId="0" xfId="0" applyNumberFormat="1" applyFont="1"/>
    <xf numFmtId="0" fontId="6" fillId="0" borderId="0" xfId="0" applyFont="1" applyAlignment="1">
      <alignment horizontal="left" vertical="center"/>
    </xf>
    <xf numFmtId="0" fontId="0" fillId="5" borderId="16" xfId="0" applyFill="1" applyBorder="1" applyAlignment="1">
      <alignment horizontal="center" vertical="center"/>
    </xf>
    <xf numFmtId="0" fontId="0" fillId="0" borderId="16" xfId="0" applyFill="1" applyBorder="1" applyAlignment="1">
      <alignment horizontal="center" vertical="center" wrapText="1"/>
    </xf>
    <xf numFmtId="165" fontId="13" fillId="0" borderId="0" xfId="0" applyNumberFormat="1" applyFont="1"/>
    <xf numFmtId="0" fontId="4" fillId="0" borderId="13" xfId="118" applyFont="1" applyBorder="1" applyAlignment="1">
      <alignment horizontal="center"/>
    </xf>
    <xf numFmtId="164" fontId="13" fillId="0" borderId="0" xfId="0" applyNumberFormat="1" applyFont="1" applyAlignment="1">
      <alignment horizontal="center" vertical="center"/>
    </xf>
    <xf numFmtId="0" fontId="0" fillId="0" borderId="0" xfId="0" applyAlignment="1">
      <alignment wrapText="1"/>
    </xf>
    <xf numFmtId="0" fontId="6" fillId="0" borderId="0" xfId="0" applyFont="1" applyFill="1" applyBorder="1" applyAlignment="1">
      <alignment horizontal="center"/>
    </xf>
    <xf numFmtId="0" fontId="0" fillId="0" borderId="16" xfId="0" applyFill="1" applyBorder="1" applyAlignment="1">
      <alignment horizontal="center" vertical="center" wrapText="1"/>
    </xf>
    <xf numFmtId="0" fontId="0" fillId="0" borderId="4" xfId="0" applyFill="1" applyBorder="1" applyAlignment="1">
      <alignment horizontal="center" vertical="center" wrapText="1"/>
    </xf>
    <xf numFmtId="0" fontId="0" fillId="5" borderId="16" xfId="0" applyFill="1" applyBorder="1" applyAlignment="1">
      <alignment horizontal="center" vertical="center"/>
    </xf>
    <xf numFmtId="0" fontId="6" fillId="0" borderId="3" xfId="0" applyFont="1" applyFill="1" applyBorder="1" applyAlignment="1">
      <alignment horizontal="center" vertical="center" wrapText="1"/>
    </xf>
    <xf numFmtId="165" fontId="6" fillId="5" borderId="13" xfId="5" applyNumberFormat="1" applyFont="1" applyFill="1" applyBorder="1" applyAlignment="1">
      <alignment horizontal="right" vertical="center"/>
    </xf>
    <xf numFmtId="0" fontId="0" fillId="0" borderId="8" xfId="0" applyBorder="1" applyAlignment="1">
      <alignment horizontal="right"/>
    </xf>
    <xf numFmtId="165" fontId="6" fillId="0" borderId="3" xfId="5" applyNumberFormat="1" applyFont="1" applyFill="1" applyBorder="1"/>
    <xf numFmtId="0" fontId="0" fillId="5" borderId="16" xfId="0" applyFill="1" applyBorder="1" applyAlignment="1">
      <alignment horizontal="center" vertical="center"/>
    </xf>
    <xf numFmtId="165" fontId="6" fillId="0" borderId="6" xfId="5" applyNumberFormat="1" applyFont="1" applyFill="1" applyBorder="1" applyAlignment="1">
      <alignment horizontal="center" vertical="center"/>
    </xf>
    <xf numFmtId="165" fontId="6" fillId="0" borderId="17" xfId="5" applyNumberFormat="1" applyFont="1" applyFill="1" applyBorder="1" applyAlignment="1">
      <alignment horizontal="center" vertical="center"/>
    </xf>
    <xf numFmtId="165" fontId="6" fillId="0" borderId="13" xfId="5" applyNumberFormat="1" applyFont="1" applyFill="1" applyBorder="1" applyAlignment="1">
      <alignment horizontal="center" vertical="center"/>
    </xf>
    <xf numFmtId="165" fontId="6" fillId="0" borderId="16" xfId="5"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6" xfId="0" applyBorder="1" applyAlignment="1">
      <alignment horizontal="center" vertical="center"/>
    </xf>
    <xf numFmtId="0" fontId="0" fillId="0" borderId="4" xfId="0" applyBorder="1" applyAlignment="1">
      <alignment horizontal="center" vertical="center"/>
    </xf>
    <xf numFmtId="0" fontId="0" fillId="5" borderId="4" xfId="0" applyFill="1" applyBorder="1" applyAlignment="1">
      <alignment horizontal="center" vertical="center"/>
    </xf>
    <xf numFmtId="0" fontId="0" fillId="0" borderId="1" xfId="0" applyBorder="1" applyAlignment="1">
      <alignment horizontal="center" vertical="center"/>
    </xf>
    <xf numFmtId="165" fontId="32" fillId="0" borderId="0" xfId="0" applyNumberFormat="1" applyFont="1" applyFill="1" applyBorder="1" applyAlignment="1">
      <alignment horizontal="center"/>
    </xf>
    <xf numFmtId="165" fontId="32" fillId="0" borderId="0" xfId="5" applyNumberFormat="1" applyFont="1" applyFill="1" applyBorder="1" applyAlignment="1">
      <alignment horizontal="center"/>
    </xf>
    <xf numFmtId="0" fontId="32" fillId="0" borderId="0" xfId="0" applyFont="1"/>
    <xf numFmtId="0" fontId="27" fillId="0" borderId="0" xfId="0" applyFont="1" applyFill="1" applyBorder="1" applyAlignment="1">
      <alignment horizontal="center"/>
    </xf>
    <xf numFmtId="0" fontId="27" fillId="6" borderId="0" xfId="0" applyFont="1" applyFill="1"/>
    <xf numFmtId="0" fontId="27" fillId="0" borderId="0" xfId="0" applyFont="1" applyFill="1" applyBorder="1"/>
    <xf numFmtId="43" fontId="28" fillId="0" borderId="0" xfId="1" applyNumberFormat="1" applyFont="1" applyFill="1" applyBorder="1"/>
    <xf numFmtId="0" fontId="27" fillId="6" borderId="0" xfId="0" applyFont="1" applyFill="1" applyBorder="1"/>
    <xf numFmtId="164" fontId="28" fillId="0" borderId="0" xfId="1" applyNumberFormat="1" applyFont="1" applyFill="1" applyBorder="1"/>
    <xf numFmtId="0" fontId="0" fillId="0" borderId="13"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left" vertical="center"/>
    </xf>
    <xf numFmtId="165" fontId="6" fillId="0" borderId="2" xfId="5" applyNumberFormat="1" applyFont="1" applyFill="1" applyBorder="1"/>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6" xfId="0" quotePrefix="1" applyFill="1" applyBorder="1" applyAlignment="1">
      <alignment horizontal="center" vertical="center"/>
    </xf>
    <xf numFmtId="0" fontId="0" fillId="0" borderId="4" xfId="0" applyBorder="1"/>
    <xf numFmtId="0" fontId="4" fillId="0" borderId="0" xfId="118" quotePrefix="1"/>
    <xf numFmtId="0" fontId="4" fillId="0" borderId="0" xfId="0" applyFont="1"/>
    <xf numFmtId="0" fontId="35" fillId="0" borderId="0" xfId="0" applyFont="1"/>
    <xf numFmtId="0" fontId="0" fillId="0" borderId="0" xfId="0" applyAlignment="1">
      <alignment wrapText="1"/>
    </xf>
    <xf numFmtId="0" fontId="6" fillId="0" borderId="0" xfId="0" applyFont="1" applyFill="1" applyBorder="1" applyAlignment="1">
      <alignment horizontal="center"/>
    </xf>
    <xf numFmtId="165" fontId="10" fillId="0" borderId="3" xfId="5" applyNumberFormat="1" applyFont="1" applyFill="1" applyBorder="1"/>
    <xf numFmtId="165" fontId="6" fillId="0" borderId="13" xfId="5" applyNumberFormat="1" applyFont="1" applyFill="1" applyBorder="1"/>
    <xf numFmtId="0" fontId="0" fillId="0" borderId="16" xfId="0" applyFill="1" applyBorder="1" applyAlignment="1">
      <alignment horizontal="center" vertical="center"/>
    </xf>
    <xf numFmtId="0" fontId="0" fillId="3" borderId="13" xfId="0" applyFont="1" applyFill="1" applyBorder="1" applyAlignment="1">
      <alignment horizontal="center"/>
    </xf>
    <xf numFmtId="9" fontId="0" fillId="3" borderId="13" xfId="0" applyNumberFormat="1" applyFont="1" applyFill="1" applyBorder="1" applyAlignment="1">
      <alignment horizontal="center"/>
    </xf>
    <xf numFmtId="0" fontId="0" fillId="3" borderId="13" xfId="0" applyFont="1" applyFill="1" applyBorder="1" applyAlignment="1">
      <alignment horizontal="left"/>
    </xf>
    <xf numFmtId="1" fontId="0" fillId="0" borderId="13" xfId="0" applyNumberFormat="1" applyFont="1" applyFill="1" applyBorder="1" applyAlignment="1">
      <alignment horizontal="left"/>
    </xf>
    <xf numFmtId="1" fontId="6" fillId="0" borderId="13" xfId="0" applyNumberFormat="1" applyFont="1" applyFill="1" applyBorder="1" applyAlignment="1">
      <alignment horizontal="left"/>
    </xf>
    <xf numFmtId="0" fontId="6" fillId="3" borderId="13" xfId="0" applyFont="1" applyFill="1" applyBorder="1" applyAlignment="1">
      <alignment horizontal="left"/>
    </xf>
    <xf numFmtId="0" fontId="0" fillId="0" borderId="13" xfId="0" applyFont="1" applyFill="1" applyBorder="1"/>
    <xf numFmtId="0" fontId="6" fillId="0" borderId="13" xfId="0" applyFont="1" applyFill="1" applyBorder="1"/>
    <xf numFmtId="0" fontId="22" fillId="0" borderId="4" xfId="0" applyFont="1" applyBorder="1"/>
    <xf numFmtId="0" fontId="22" fillId="0" borderId="13" xfId="0" applyFont="1" applyBorder="1"/>
    <xf numFmtId="0" fontId="34" fillId="0" borderId="0" xfId="0" applyFont="1"/>
    <xf numFmtId="0" fontId="6" fillId="5" borderId="17" xfId="0" quotePrefix="1" applyFont="1" applyFill="1" applyBorder="1" applyAlignment="1">
      <alignment horizontal="center" vertical="center" wrapText="1"/>
    </xf>
    <xf numFmtId="0" fontId="0" fillId="0" borderId="0" xfId="0" applyAlignment="1">
      <alignment wrapText="1"/>
    </xf>
    <xf numFmtId="0" fontId="6" fillId="0" borderId="0" xfId="0" applyFont="1" applyFill="1" applyBorder="1" applyAlignment="1">
      <alignment horizontal="center"/>
    </xf>
    <xf numFmtId="164" fontId="6" fillId="5" borderId="13" xfId="0" applyNumberFormat="1" applyFont="1" applyFill="1" applyBorder="1" applyAlignment="1">
      <alignment horizontal="center" vertical="center"/>
    </xf>
    <xf numFmtId="9" fontId="13" fillId="0" borderId="0" xfId="9" applyNumberFormat="1" applyFont="1"/>
    <xf numFmtId="0" fontId="0" fillId="11" borderId="13" xfId="0" applyFill="1" applyBorder="1" applyAlignment="1">
      <alignment horizontal="center"/>
    </xf>
    <xf numFmtId="5" fontId="0" fillId="0" borderId="0" xfId="0" applyNumberFormat="1"/>
    <xf numFmtId="170" fontId="0" fillId="0" borderId="0" xfId="0" applyNumberFormat="1"/>
    <xf numFmtId="43" fontId="0" fillId="0" borderId="0" xfId="1" applyFont="1"/>
    <xf numFmtId="9" fontId="10" fillId="0" borderId="0" xfId="9"/>
    <xf numFmtId="9" fontId="0" fillId="0" borderId="0" xfId="0" applyNumberFormat="1"/>
    <xf numFmtId="169" fontId="0" fillId="0" borderId="0" xfId="0" applyNumberFormat="1"/>
    <xf numFmtId="0" fontId="0" fillId="0" borderId="8" xfId="0" applyBorder="1" applyAlignment="1">
      <alignment horizontal="center"/>
    </xf>
    <xf numFmtId="0" fontId="0" fillId="0" borderId="16" xfId="0" applyFill="1" applyBorder="1" applyAlignment="1">
      <alignment horizontal="center" vertical="center" wrapText="1"/>
    </xf>
    <xf numFmtId="0" fontId="0" fillId="5" borderId="16" xfId="0" applyFill="1" applyBorder="1" applyAlignment="1">
      <alignment horizontal="center" vertical="center"/>
    </xf>
    <xf numFmtId="0" fontId="0" fillId="0" borderId="13" xfId="0" applyBorder="1" applyAlignment="1">
      <alignment horizontal="center" vertical="center"/>
    </xf>
    <xf numFmtId="0" fontId="23" fillId="0" borderId="0" xfId="0" applyFont="1" applyFill="1" applyBorder="1" applyAlignment="1">
      <alignment horizontal="right"/>
    </xf>
    <xf numFmtId="0" fontId="0" fillId="9" borderId="13" xfId="0" applyFill="1" applyBorder="1"/>
    <xf numFmtId="0" fontId="0" fillId="0" borderId="0" xfId="0" quotePrefix="1"/>
    <xf numFmtId="0" fontId="12" fillId="0" borderId="0" xfId="0" applyFont="1" applyAlignment="1">
      <alignment horizontal="right"/>
    </xf>
    <xf numFmtId="0" fontId="12" fillId="0" borderId="8" xfId="0" applyFont="1" applyBorder="1" applyAlignment="1">
      <alignment horizontal="right"/>
    </xf>
    <xf numFmtId="0" fontId="0" fillId="0" borderId="18" xfId="0" applyBorder="1" applyAlignment="1">
      <alignment horizontal="right"/>
    </xf>
    <xf numFmtId="165" fontId="0" fillId="0" borderId="18" xfId="120" applyNumberFormat="1" applyFont="1" applyBorder="1"/>
    <xf numFmtId="0" fontId="0" fillId="0" borderId="18" xfId="0" applyBorder="1" applyAlignment="1">
      <alignment horizontal="center"/>
    </xf>
    <xf numFmtId="0" fontId="12" fillId="0" borderId="0" xfId="0" applyFont="1" applyBorder="1" applyAlignment="1">
      <alignment horizontal="right"/>
    </xf>
    <xf numFmtId="0" fontId="0" fillId="0" borderId="14" xfId="0" applyBorder="1" applyAlignment="1">
      <alignment horizontal="right"/>
    </xf>
    <xf numFmtId="0" fontId="12" fillId="0" borderId="19" xfId="0" applyFont="1" applyBorder="1" applyAlignment="1">
      <alignment horizontal="right"/>
    </xf>
    <xf numFmtId="0" fontId="33" fillId="0" borderId="0" xfId="0" applyFont="1"/>
    <xf numFmtId="0" fontId="25" fillId="0" borderId="0" xfId="0" applyFont="1"/>
    <xf numFmtId="0" fontId="25" fillId="0" borderId="0" xfId="118" quotePrefix="1" applyFont="1"/>
    <xf numFmtId="0" fontId="0" fillId="5" borderId="13" xfId="0" applyFill="1" applyBorder="1" applyAlignment="1">
      <alignment horizontal="center" vertical="center" wrapText="1"/>
    </xf>
    <xf numFmtId="164" fontId="6" fillId="5" borderId="6"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5" borderId="16" xfId="0" applyNumberFormat="1" applyFont="1" applyFill="1" applyBorder="1" applyAlignment="1">
      <alignment horizontal="center" vertical="center"/>
    </xf>
    <xf numFmtId="0" fontId="6" fillId="0" borderId="9" xfId="0" applyFont="1" applyBorder="1" applyAlignment="1">
      <alignment wrapText="1"/>
    </xf>
    <xf numFmtId="164" fontId="6" fillId="0" borderId="5" xfId="1" applyNumberFormat="1" applyFont="1" applyFill="1" applyBorder="1"/>
    <xf numFmtId="165" fontId="6" fillId="0" borderId="17" xfId="5" applyNumberFormat="1" applyFont="1" applyBorder="1"/>
    <xf numFmtId="164" fontId="6" fillId="0" borderId="17" xfId="1" applyNumberFormat="1" applyFont="1" applyBorder="1"/>
    <xf numFmtId="164" fontId="6" fillId="0" borderId="3" xfId="1" applyNumberFormat="1" applyFont="1" applyFill="1" applyBorder="1"/>
    <xf numFmtId="7" fontId="0" fillId="0" borderId="0" xfId="0" applyNumberFormat="1"/>
    <xf numFmtId="171" fontId="0" fillId="0" borderId="0" xfId="0" applyNumberFormat="1" applyFill="1"/>
    <xf numFmtId="164" fontId="6" fillId="0" borderId="13" xfId="0" applyNumberFormat="1" applyFont="1" applyFill="1" applyBorder="1"/>
    <xf numFmtId="0" fontId="0" fillId="0" borderId="0" xfId="0" applyAlignment="1">
      <alignment wrapText="1"/>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6"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5" borderId="16" xfId="0" applyFill="1" applyBorder="1" applyAlignment="1">
      <alignment horizontal="center" vertical="center"/>
    </xf>
    <xf numFmtId="167" fontId="0" fillId="0" borderId="0" xfId="5" applyNumberFormat="1" applyFont="1"/>
    <xf numFmtId="0" fontId="0" fillId="0" borderId="0" xfId="0" applyAlignment="1">
      <alignment wrapText="1"/>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6"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5" borderId="16" xfId="0"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3" xfId="0" applyBorder="1" applyAlignment="1">
      <alignment horizontal="center" vertical="center"/>
    </xf>
    <xf numFmtId="164" fontId="6" fillId="5" borderId="6" xfId="1" applyNumberFormat="1" applyFont="1" applyFill="1" applyBorder="1" applyAlignment="1">
      <alignment horizontal="center" vertical="center"/>
    </xf>
    <xf numFmtId="164" fontId="6" fillId="5" borderId="16" xfId="1" applyNumberFormat="1" applyFont="1" applyFill="1" applyBorder="1" applyAlignment="1">
      <alignment horizontal="center" vertical="center"/>
    </xf>
    <xf numFmtId="9" fontId="31" fillId="8" borderId="6" xfId="9" applyFont="1" applyFill="1" applyBorder="1" applyAlignment="1">
      <alignment horizontal="center" vertical="center"/>
    </xf>
    <xf numFmtId="9" fontId="31" fillId="8" borderId="16" xfId="9" applyFont="1" applyFill="1" applyBorder="1" applyAlignment="1">
      <alignment horizontal="center" vertical="center"/>
    </xf>
    <xf numFmtId="9" fontId="31" fillId="8" borderId="1" xfId="9" applyFont="1" applyFill="1" applyBorder="1" applyAlignment="1">
      <alignment horizontal="center" vertical="center"/>
    </xf>
    <xf numFmtId="9" fontId="31" fillId="8" borderId="13" xfId="9" applyFont="1" applyFill="1" applyBorder="1" applyAlignment="1">
      <alignment horizontal="center" vertical="center"/>
    </xf>
    <xf numFmtId="9" fontId="31" fillId="8" borderId="2" xfId="9" applyFont="1" applyFill="1" applyBorder="1" applyAlignment="1">
      <alignment horizontal="center" vertical="center"/>
    </xf>
    <xf numFmtId="165" fontId="6" fillId="0" borderId="13" xfId="5" applyNumberFormat="1" applyFont="1" applyFill="1" applyBorder="1" applyAlignment="1">
      <alignment horizontal="right" vertical="center"/>
    </xf>
    <xf numFmtId="164" fontId="6" fillId="5" borderId="13" xfId="1" applyNumberFormat="1" applyFont="1" applyFill="1" applyBorder="1" applyAlignment="1">
      <alignment horizontal="center" vertical="center"/>
    </xf>
    <xf numFmtId="0" fontId="0" fillId="0" borderId="0" xfId="0" applyAlignment="1">
      <alignment wrapText="1"/>
    </xf>
    <xf numFmtId="0" fontId="6" fillId="0" borderId="0" xfId="0" applyFont="1" applyFill="1" applyBorder="1" applyAlignment="1">
      <alignment horizont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6" xfId="0" applyFill="1" applyBorder="1" applyAlignment="1">
      <alignment horizontal="center" vertical="center"/>
    </xf>
    <xf numFmtId="0" fontId="0" fillId="5" borderId="4" xfId="0"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6" fillId="0" borderId="0" xfId="0" applyFont="1" applyFill="1" applyBorder="1" applyAlignment="1">
      <alignment horizontal="center"/>
    </xf>
    <xf numFmtId="0" fontId="0" fillId="0" borderId="1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6" xfId="0" applyFill="1" applyBorder="1" applyAlignment="1">
      <alignment horizontal="center" vertical="center"/>
    </xf>
    <xf numFmtId="0" fontId="0" fillId="0" borderId="1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5" borderId="16" xfId="0" applyFill="1" applyBorder="1" applyAlignment="1">
      <alignment horizontal="center" vertical="center"/>
    </xf>
    <xf numFmtId="0" fontId="0" fillId="0" borderId="19" xfId="0" applyBorder="1" applyAlignment="1">
      <alignment horizontal="center"/>
    </xf>
    <xf numFmtId="0" fontId="38" fillId="0" borderId="0" xfId="0" applyFont="1"/>
    <xf numFmtId="0" fontId="7" fillId="0" borderId="0" xfId="0" applyFont="1" applyAlignment="1">
      <alignment horizontal="center" vertical="center"/>
    </xf>
    <xf numFmtId="9" fontId="6" fillId="0" borderId="19" xfId="9" applyFont="1" applyFill="1" applyBorder="1" applyAlignment="1">
      <alignment horizontal="center" vertical="center"/>
    </xf>
    <xf numFmtId="0" fontId="7" fillId="0" borderId="0" xfId="0" applyFont="1" applyFill="1" applyBorder="1" applyAlignment="1">
      <alignment horizontal="left" vertical="center"/>
    </xf>
    <xf numFmtId="0" fontId="12" fillId="0" borderId="0" xfId="0" applyFont="1" applyAlignment="1">
      <alignment horizontal="left"/>
    </xf>
    <xf numFmtId="0" fontId="13" fillId="0" borderId="0" xfId="0" applyFont="1" applyAlignment="1">
      <alignment horizontal="center"/>
    </xf>
    <xf numFmtId="172" fontId="13" fillId="0" borderId="0" xfId="0" applyNumberFormat="1" applyFont="1"/>
    <xf numFmtId="9" fontId="6" fillId="0" borderId="0" xfId="9" applyFont="1"/>
    <xf numFmtId="9" fontId="6" fillId="5" borderId="1" xfId="9" applyFont="1" applyFill="1" applyBorder="1"/>
    <xf numFmtId="164" fontId="0" fillId="0" borderId="4" xfId="1" applyNumberFormat="1" applyFont="1" applyBorder="1" applyAlignment="1">
      <alignment horizontal="center"/>
    </xf>
    <xf numFmtId="0" fontId="0" fillId="12" borderId="0" xfId="0" applyFill="1"/>
    <xf numFmtId="0" fontId="0" fillId="12" borderId="0" xfId="0" applyFill="1" applyAlignment="1">
      <alignment wrapText="1"/>
    </xf>
    <xf numFmtId="164" fontId="13" fillId="0" borderId="0" xfId="1" applyNumberFormat="1" applyFont="1"/>
    <xf numFmtId="167" fontId="6" fillId="0" borderId="6" xfId="5" applyNumberFormat="1" applyFont="1" applyFill="1" applyBorder="1" applyAlignment="1">
      <alignment horizontal="center" vertical="center"/>
    </xf>
    <xf numFmtId="0" fontId="12" fillId="0" borderId="0" xfId="0" applyFont="1" applyBorder="1"/>
    <xf numFmtId="0" fontId="0" fillId="0" borderId="16" xfId="0" applyBorder="1" applyAlignment="1">
      <alignment horizontal="center" vertical="center" wrapText="1"/>
    </xf>
    <xf numFmtId="164" fontId="10" fillId="0" borderId="0" xfId="1" applyNumberFormat="1" applyFont="1" applyBorder="1"/>
    <xf numFmtId="9" fontId="6" fillId="0" borderId="0" xfId="9" applyFont="1" applyFill="1" applyBorder="1" applyAlignment="1">
      <alignment horizontal="center"/>
    </xf>
    <xf numFmtId="0" fontId="6" fillId="0" borderId="0" xfId="0" applyFont="1" applyBorder="1" applyAlignment="1">
      <alignment horizontal="right"/>
    </xf>
    <xf numFmtId="0" fontId="6" fillId="0" borderId="13" xfId="0" applyFont="1" applyBorder="1" applyAlignment="1">
      <alignment horizontal="right"/>
    </xf>
    <xf numFmtId="9" fontId="6" fillId="0" borderId="13" xfId="9" applyFont="1" applyFill="1" applyBorder="1"/>
    <xf numFmtId="9" fontId="6" fillId="0" borderId="1" xfId="9" applyFont="1" applyBorder="1"/>
    <xf numFmtId="9" fontId="6" fillId="5" borderId="6" xfId="9" applyFont="1" applyFill="1" applyBorder="1" applyAlignment="1">
      <alignment horizontal="center" vertical="center"/>
    </xf>
    <xf numFmtId="0" fontId="6" fillId="0" borderId="0" xfId="0" applyFont="1" applyFill="1" applyBorder="1" applyAlignment="1">
      <alignment horizont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172" fontId="32" fillId="0" borderId="0" xfId="5" applyNumberFormat="1" applyFont="1"/>
    <xf numFmtId="0" fontId="0" fillId="0" borderId="19" xfId="0" applyFill="1" applyBorder="1" applyAlignment="1">
      <alignment horizontal="center" vertical="center"/>
    </xf>
    <xf numFmtId="0" fontId="6" fillId="0" borderId="19"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5" borderId="16" xfId="0" applyFill="1" applyBorder="1" applyAlignment="1">
      <alignment horizontal="center" vertical="center"/>
    </xf>
    <xf numFmtId="0" fontId="0" fillId="0" borderId="5" xfId="0" applyFill="1" applyBorder="1" applyAlignment="1">
      <alignment horizontal="center" vertical="center"/>
    </xf>
    <xf numFmtId="0" fontId="23" fillId="0" borderId="0" xfId="0" applyFont="1" applyFill="1" applyBorder="1" applyAlignment="1">
      <alignment horizontal="right" indent="1"/>
    </xf>
    <xf numFmtId="0" fontId="0" fillId="0" borderId="0" xfId="0" applyFill="1" applyBorder="1" applyAlignment="1">
      <alignment horizontal="right" indent="1"/>
    </xf>
    <xf numFmtId="0" fontId="0" fillId="0" borderId="0" xfId="0" applyAlignment="1">
      <alignment horizontal="right" indent="1"/>
    </xf>
    <xf numFmtId="0" fontId="12" fillId="0" borderId="0" xfId="0" applyFont="1" applyFill="1" applyBorder="1" applyAlignment="1">
      <alignment horizontal="right" indent="1"/>
    </xf>
    <xf numFmtId="0" fontId="12" fillId="0" borderId="0" xfId="0" applyFont="1" applyAlignment="1">
      <alignment horizontal="right" indent="1"/>
    </xf>
    <xf numFmtId="0" fontId="0" fillId="0" borderId="16" xfId="0" applyFont="1" applyFill="1" applyBorder="1" applyAlignment="1">
      <alignment horizontal="center" vertical="center" wrapText="1"/>
    </xf>
    <xf numFmtId="0" fontId="0" fillId="7" borderId="0" xfId="0" applyFill="1"/>
    <xf numFmtId="0" fontId="12" fillId="0" borderId="0" xfId="0" applyFont="1" applyAlignment="1"/>
    <xf numFmtId="0" fontId="17" fillId="0" borderId="0" xfId="0" applyFont="1" applyAlignment="1"/>
    <xf numFmtId="0" fontId="16" fillId="0" borderId="0" xfId="0" applyFont="1" applyAlignment="1"/>
    <xf numFmtId="17" fontId="27" fillId="0" borderId="0" xfId="0" applyNumberFormat="1" applyFont="1" applyAlignment="1"/>
    <xf numFmtId="0" fontId="29" fillId="0" borderId="0" xfId="0" applyFont="1" applyAlignment="1"/>
    <xf numFmtId="0" fontId="6" fillId="0" borderId="6" xfId="0" applyFont="1" applyFill="1" applyBorder="1" applyAlignment="1">
      <alignment horizontal="center" vertical="center"/>
    </xf>
    <xf numFmtId="0" fontId="0" fillId="0" borderId="2" xfId="0"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0" fillId="12" borderId="0" xfId="0" applyFill="1" applyAlignment="1"/>
    <xf numFmtId="0" fontId="0" fillId="7" borderId="0" xfId="0" applyFill="1" applyAlignment="1"/>
    <xf numFmtId="9" fontId="0" fillId="0" borderId="0" xfId="9"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16" xfId="1" applyNumberFormat="1" applyFont="1" applyFill="1" applyBorder="1" applyAlignment="1">
      <alignment horizontal="center" vertical="center"/>
    </xf>
    <xf numFmtId="164" fontId="6" fillId="0" borderId="13" xfId="1" applyNumberFormat="1" applyFont="1" applyFill="1" applyBorder="1" applyAlignment="1">
      <alignment horizontal="center" vertical="center"/>
    </xf>
    <xf numFmtId="0" fontId="0" fillId="0" borderId="13" xfId="0" applyBorder="1" applyAlignment="1"/>
    <xf numFmtId="9" fontId="0" fillId="0" borderId="13" xfId="0" applyNumberFormat="1" applyBorder="1"/>
    <xf numFmtId="0" fontId="0" fillId="0" borderId="16" xfId="0" applyBorder="1" applyAlignment="1">
      <alignment horizontal="center" vertical="center"/>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0" fillId="0" borderId="13" xfId="0" applyBorder="1" applyAlignment="1">
      <alignment horizontal="center" vertical="center"/>
    </xf>
    <xf numFmtId="164" fontId="6" fillId="0" borderId="4" xfId="1" applyNumberFormat="1" applyFont="1" applyFill="1" applyBorder="1"/>
    <xf numFmtId="0" fontId="31" fillId="0" borderId="0" xfId="0" applyFont="1"/>
    <xf numFmtId="9" fontId="31" fillId="0" borderId="0" xfId="9" applyFont="1"/>
    <xf numFmtId="0" fontId="13" fillId="0" borderId="0" xfId="0" applyFont="1" applyBorder="1" applyAlignment="1">
      <alignment horizontal="right"/>
    </xf>
    <xf numFmtId="165" fontId="13" fillId="0" borderId="0" xfId="5" applyNumberFormat="1" applyFont="1" applyFill="1" applyBorder="1"/>
    <xf numFmtId="165" fontId="0" fillId="0" borderId="0" xfId="5" applyNumberFormat="1" applyFont="1"/>
    <xf numFmtId="0" fontId="17" fillId="0" borderId="0" xfId="0" applyFont="1" applyFill="1"/>
    <xf numFmtId="0" fontId="6" fillId="0" borderId="0" xfId="0" applyFont="1" applyFill="1"/>
    <xf numFmtId="0" fontId="6" fillId="0" borderId="0" xfId="0" applyFont="1" applyFill="1" applyAlignment="1">
      <alignment horizontal="center"/>
    </xf>
    <xf numFmtId="0" fontId="27" fillId="0" borderId="0" xfId="0" applyFont="1" applyFill="1"/>
    <xf numFmtId="165" fontId="0" fillId="0" borderId="0" xfId="5" applyNumberFormat="1" applyFont="1" applyFill="1"/>
    <xf numFmtId="165" fontId="0" fillId="0" borderId="0" xfId="5" applyNumberFormat="1" applyFont="1" applyFill="1" applyAlignment="1">
      <alignment horizontal="right"/>
    </xf>
    <xf numFmtId="0" fontId="0" fillId="0" borderId="0" xfId="0" applyFont="1" applyAlignment="1">
      <alignment horizontal="center"/>
    </xf>
    <xf numFmtId="0" fontId="0" fillId="0" borderId="0" xfId="0" applyFont="1" applyFill="1"/>
    <xf numFmtId="0" fontId="6" fillId="4" borderId="16" xfId="0" applyFont="1" applyFill="1" applyBorder="1" applyAlignment="1" applyProtection="1">
      <alignment horizontal="center" readingOrder="1"/>
      <protection locked="0"/>
    </xf>
    <xf numFmtId="0" fontId="0" fillId="4" borderId="16" xfId="0" applyFont="1" applyFill="1" applyBorder="1" applyAlignment="1">
      <alignment horizontal="center"/>
    </xf>
    <xf numFmtId="0" fontId="0" fillId="0" borderId="13" xfId="0" applyFont="1" applyBorder="1" applyAlignment="1">
      <alignment horizontal="left"/>
    </xf>
    <xf numFmtId="43" fontId="41" fillId="0" borderId="6" xfId="1" applyNumberFormat="1" applyFont="1" applyFill="1" applyBorder="1" applyAlignment="1">
      <alignment horizontal="center" vertical="center"/>
    </xf>
    <xf numFmtId="164" fontId="41" fillId="5" borderId="1" xfId="0" applyNumberFormat="1" applyFont="1" applyFill="1" applyBorder="1" applyAlignment="1">
      <alignment horizontal="center" vertical="center"/>
    </xf>
    <xf numFmtId="164" fontId="41" fillId="5" borderId="13" xfId="0" applyNumberFormat="1" applyFont="1" applyFill="1" applyBorder="1" applyAlignment="1">
      <alignment horizontal="center" vertical="center"/>
    </xf>
    <xf numFmtId="43" fontId="41" fillId="0" borderId="16" xfId="1" applyNumberFormat="1" applyFont="1" applyFill="1" applyBorder="1" applyAlignment="1">
      <alignment horizontal="center" vertical="center"/>
    </xf>
    <xf numFmtId="0" fontId="42" fillId="5" borderId="0" xfId="0" applyFont="1" applyFill="1"/>
    <xf numFmtId="0" fontId="12" fillId="0" borderId="0" xfId="118" applyFont="1"/>
    <xf numFmtId="0" fontId="10" fillId="0" borderId="0" xfId="118" applyFont="1"/>
    <xf numFmtId="0" fontId="0" fillId="0" borderId="0" xfId="118" applyFont="1"/>
    <xf numFmtId="0" fontId="0" fillId="0" borderId="16" xfId="118" applyFont="1" applyBorder="1" applyAlignment="1">
      <alignment horizontal="right"/>
    </xf>
    <xf numFmtId="0" fontId="0" fillId="0" borderId="4" xfId="118" applyFont="1" applyBorder="1" applyAlignment="1">
      <alignment horizontal="right"/>
    </xf>
    <xf numFmtId="0" fontId="0" fillId="0" borderId="13" xfId="118" applyFont="1" applyBorder="1" applyAlignment="1">
      <alignment horizontal="right"/>
    </xf>
    <xf numFmtId="0" fontId="33" fillId="0" borderId="0" xfId="118" applyFont="1" applyAlignment="1">
      <alignment horizontal="right"/>
    </xf>
    <xf numFmtId="0" fontId="33" fillId="0" borderId="0" xfId="118" applyFont="1"/>
    <xf numFmtId="0" fontId="43" fillId="0" borderId="0" xfId="118" applyFont="1"/>
    <xf numFmtId="0" fontId="12" fillId="0" borderId="0" xfId="0" applyFont="1" applyFill="1" applyBorder="1" applyAlignment="1">
      <alignment horizontal="left"/>
    </xf>
    <xf numFmtId="0" fontId="0" fillId="0" borderId="13" xfId="0" applyFont="1" applyBorder="1"/>
    <xf numFmtId="0" fontId="12" fillId="0" borderId="0" xfId="118" applyFont="1" applyBorder="1"/>
    <xf numFmtId="0" fontId="0" fillId="10" borderId="13" xfId="0" applyFont="1" applyFill="1" applyBorder="1" applyAlignment="1">
      <alignment horizontal="center"/>
    </xf>
    <xf numFmtId="164" fontId="10" fillId="0" borderId="13" xfId="118" applyNumberFormat="1" applyFont="1" applyBorder="1"/>
    <xf numFmtId="0" fontId="0" fillId="0" borderId="6" xfId="118" applyFont="1" applyBorder="1" applyAlignment="1">
      <alignment horizontal="right"/>
    </xf>
    <xf numFmtId="0" fontId="0" fillId="0" borderId="9" xfId="118" applyFont="1" applyBorder="1" applyAlignment="1">
      <alignment horizontal="right"/>
    </xf>
    <xf numFmtId="0" fontId="0" fillId="0" borderId="5" xfId="118" applyFont="1" applyBorder="1" applyAlignment="1">
      <alignment horizontal="right"/>
    </xf>
    <xf numFmtId="9" fontId="10" fillId="0" borderId="16" xfId="9" applyFont="1" applyBorder="1"/>
    <xf numFmtId="9" fontId="10" fillId="0" borderId="3" xfId="9" applyFont="1" applyBorder="1"/>
    <xf numFmtId="9" fontId="10" fillId="0" borderId="4" xfId="9" applyFont="1" applyBorder="1"/>
    <xf numFmtId="165" fontId="31" fillId="8" borderId="13" xfId="5" applyNumberFormat="1" applyFont="1" applyFill="1" applyBorder="1"/>
    <xf numFmtId="165" fontId="31" fillId="0" borderId="8" xfId="120" applyNumberFormat="1" applyFont="1" applyBorder="1"/>
    <xf numFmtId="165" fontId="31" fillId="0" borderId="0" xfId="120" applyNumberFormat="1" applyFont="1"/>
    <xf numFmtId="165" fontId="0" fillId="0" borderId="8" xfId="5" applyNumberFormat="1" applyFont="1" applyBorder="1"/>
    <xf numFmtId="5" fontId="31" fillId="0" borderId="0" xfId="0" applyNumberFormat="1" applyFont="1"/>
    <xf numFmtId="0" fontId="36" fillId="0" borderId="0" xfId="276"/>
    <xf numFmtId="0" fontId="0" fillId="0" borderId="16" xfId="0" applyFill="1" applyBorder="1" applyAlignment="1">
      <alignment horizontal="center" vertical="center"/>
    </xf>
    <xf numFmtId="0" fontId="0" fillId="0" borderId="0" xfId="0" applyFill="1" applyBorder="1" applyAlignment="1">
      <alignment horizontal="left"/>
    </xf>
    <xf numFmtId="164" fontId="0" fillId="0" borderId="17" xfId="1" applyNumberFormat="1" applyFont="1" applyBorder="1" applyAlignment="1">
      <alignment horizontal="center"/>
    </xf>
    <xf numFmtId="0" fontId="33" fillId="0" borderId="0" xfId="118" applyFont="1" applyAlignment="1">
      <alignment horizontal="center"/>
    </xf>
    <xf numFmtId="165" fontId="10" fillId="0" borderId="18" xfId="5" applyNumberFormat="1" applyFont="1" applyFill="1" applyBorder="1"/>
    <xf numFmtId="165" fontId="10" fillId="0" borderId="0" xfId="1" applyNumberFormat="1" applyFont="1" applyFill="1" applyBorder="1"/>
    <xf numFmtId="165" fontId="10" fillId="0" borderId="8" xfId="5" applyNumberFormat="1" applyFont="1" applyFill="1" applyBorder="1"/>
    <xf numFmtId="165" fontId="10" fillId="0" borderId="8" xfId="1" applyNumberFormat="1" applyFont="1" applyFill="1" applyBorder="1"/>
    <xf numFmtId="165" fontId="10" fillId="0" borderId="14" xfId="1" applyNumberFormat="1" applyFont="1" applyFill="1" applyBorder="1"/>
    <xf numFmtId="165" fontId="10" fillId="0" borderId="0" xfId="0" applyNumberFormat="1" applyFont="1" applyBorder="1"/>
    <xf numFmtId="0" fontId="13" fillId="0" borderId="0" xfId="0" applyFont="1" applyFill="1" applyBorder="1"/>
    <xf numFmtId="0" fontId="0" fillId="0" borderId="16" xfId="0" applyFill="1" applyBorder="1" applyAlignment="1">
      <alignment horizontal="center" vertical="center" wrapText="1"/>
    </xf>
    <xf numFmtId="0" fontId="0" fillId="0" borderId="0" xfId="118" applyFont="1" applyFill="1"/>
    <xf numFmtId="0" fontId="46" fillId="0" borderId="0" xfId="0" applyFont="1" applyAlignment="1">
      <alignment horizontal="right" vertical="center"/>
    </xf>
    <xf numFmtId="0" fontId="0" fillId="0" borderId="0" xfId="0" applyFont="1" applyBorder="1"/>
    <xf numFmtId="0" fontId="0" fillId="0" borderId="0" xfId="0" applyAlignment="1">
      <alignment wrapText="1"/>
    </xf>
    <xf numFmtId="0" fontId="6" fillId="0" borderId="0" xfId="0" applyFont="1" applyFill="1" applyBorder="1" applyAlignment="1">
      <alignment horizontal="center"/>
    </xf>
    <xf numFmtId="0" fontId="13" fillId="0" borderId="0" xfId="0" applyFont="1" applyFill="1" applyAlignment="1">
      <alignment horizontal="right"/>
    </xf>
    <xf numFmtId="164" fontId="13" fillId="0" borderId="0" xfId="0" applyNumberFormat="1" applyFont="1" applyFill="1" applyAlignment="1">
      <alignment horizontal="center"/>
    </xf>
    <xf numFmtId="0" fontId="13" fillId="0" borderId="0" xfId="0" applyFont="1" applyFill="1" applyAlignment="1">
      <alignment horizontal="left"/>
    </xf>
    <xf numFmtId="172" fontId="13" fillId="0" borderId="0" xfId="0" applyNumberFormat="1" applyFont="1" applyFill="1"/>
    <xf numFmtId="0" fontId="6" fillId="0" borderId="0" xfId="0" applyFont="1" applyFill="1" applyBorder="1" applyAlignment="1">
      <alignment horizontal="center"/>
    </xf>
    <xf numFmtId="0" fontId="12" fillId="0" borderId="0" xfId="0" applyFont="1" applyAlignment="1">
      <alignment horizontal="right" vertical="center"/>
    </xf>
    <xf numFmtId="0" fontId="3" fillId="0" borderId="0" xfId="0" applyFont="1"/>
    <xf numFmtId="9" fontId="13" fillId="8" borderId="16" xfId="9" applyFont="1" applyFill="1" applyBorder="1" applyAlignment="1">
      <alignment horizontal="center" vertical="center"/>
    </xf>
    <xf numFmtId="9" fontId="13" fillId="8" borderId="13" xfId="9" applyFont="1" applyFill="1" applyBorder="1" applyAlignment="1">
      <alignment horizontal="center" vertical="center"/>
    </xf>
    <xf numFmtId="0" fontId="3" fillId="0" borderId="0" xfId="118" quotePrefix="1" applyFont="1"/>
    <xf numFmtId="9" fontId="6" fillId="5" borderId="16" xfId="9" applyFont="1" applyFill="1" applyBorder="1" applyAlignment="1">
      <alignment horizontal="center" vertical="center"/>
    </xf>
    <xf numFmtId="9" fontId="6" fillId="5" borderId="17" xfId="9" applyFont="1" applyFill="1" applyBorder="1" applyAlignment="1">
      <alignment horizontal="center" vertical="center"/>
    </xf>
    <xf numFmtId="9" fontId="6" fillId="5" borderId="13" xfId="9" applyFont="1" applyFill="1" applyBorder="1" applyAlignment="1">
      <alignment horizontal="center" vertical="center"/>
    </xf>
    <xf numFmtId="164" fontId="13" fillId="0" borderId="0" xfId="0" applyNumberFormat="1" applyFont="1" applyFill="1" applyAlignment="1">
      <alignment horizontal="right" indent="2"/>
    </xf>
    <xf numFmtId="172" fontId="13" fillId="0" borderId="0" xfId="0" applyNumberFormat="1" applyFont="1" applyFill="1" applyAlignment="1">
      <alignment horizontal="left" indent="1"/>
    </xf>
    <xf numFmtId="37" fontId="13" fillId="0" borderId="0" xfId="0" applyNumberFormat="1" applyFont="1" applyFill="1"/>
    <xf numFmtId="173" fontId="13" fillId="0" borderId="0" xfId="0" applyNumberFormat="1" applyFont="1" applyFill="1"/>
    <xf numFmtId="164" fontId="10" fillId="0" borderId="9" xfId="1" applyNumberFormat="1" applyFont="1" applyFill="1" applyBorder="1"/>
    <xf numFmtId="165" fontId="0" fillId="0" borderId="0" xfId="0" applyNumberFormat="1" applyFill="1"/>
    <xf numFmtId="9" fontId="0" fillId="0" borderId="0" xfId="9" applyFont="1" applyAlignment="1">
      <alignment horizontal="center"/>
    </xf>
    <xf numFmtId="5" fontId="0" fillId="0" borderId="0" xfId="0" applyNumberFormat="1" applyFill="1"/>
    <xf numFmtId="170" fontId="0" fillId="0" borderId="0" xfId="0" applyNumberFormat="1" applyFill="1"/>
    <xf numFmtId="0" fontId="0" fillId="0" borderId="13" xfId="0" applyFont="1" applyBorder="1" applyAlignment="1">
      <alignment horizontal="left" indent="1"/>
    </xf>
    <xf numFmtId="0" fontId="4" fillId="0" borderId="0" xfId="0" applyFont="1" applyAlignment="1">
      <alignment horizontal="center"/>
    </xf>
    <xf numFmtId="0" fontId="0" fillId="0" borderId="0" xfId="118" applyFont="1" applyAlignment="1">
      <alignment horizontal="right"/>
    </xf>
    <xf numFmtId="0" fontId="4" fillId="0" borderId="0" xfId="118" applyFont="1" applyAlignment="1">
      <alignment horizontal="right"/>
    </xf>
    <xf numFmtId="9" fontId="10" fillId="0" borderId="3" xfId="9" applyFont="1" applyFill="1" applyBorder="1"/>
    <xf numFmtId="9" fontId="10" fillId="0" borderId="4" xfId="9" applyFont="1" applyFill="1" applyBorder="1"/>
    <xf numFmtId="0" fontId="22" fillId="0" borderId="0" xfId="0" applyFont="1"/>
    <xf numFmtId="0" fontId="47" fillId="0" borderId="0" xfId="0" applyFont="1" applyAlignment="1">
      <alignment horizontal="center"/>
    </xf>
    <xf numFmtId="0" fontId="22" fillId="0" borderId="8" xfId="0" applyFont="1" applyBorder="1" applyAlignment="1">
      <alignment horizontal="center"/>
    </xf>
    <xf numFmtId="9" fontId="22" fillId="0" borderId="0" xfId="9" applyFont="1" applyBorder="1"/>
    <xf numFmtId="0" fontId="47" fillId="0" borderId="13" xfId="0" applyFont="1" applyBorder="1"/>
    <xf numFmtId="0" fontId="47" fillId="4" borderId="13" xfId="0" applyFont="1" applyFill="1" applyBorder="1" applyAlignment="1">
      <alignment horizontal="center"/>
    </xf>
    <xf numFmtId="0" fontId="33" fillId="0" borderId="0" xfId="118" applyFont="1" applyAlignment="1">
      <alignment horizontal="left"/>
    </xf>
    <xf numFmtId="2" fontId="33" fillId="0" borderId="0" xfId="118" applyNumberFormat="1" applyFont="1" applyAlignment="1">
      <alignment horizontal="left"/>
    </xf>
    <xf numFmtId="0" fontId="0" fillId="0" borderId="0" xfId="0" applyAlignment="1">
      <alignment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5" borderId="16" xfId="0" applyFill="1" applyBorder="1" applyAlignment="1">
      <alignment horizontal="center" vertical="center"/>
    </xf>
    <xf numFmtId="165" fontId="6" fillId="5" borderId="13" xfId="5" applyNumberFormat="1" applyFont="1" applyFill="1" applyBorder="1"/>
    <xf numFmtId="165" fontId="6" fillId="5" borderId="4" xfId="5" applyNumberFormat="1" applyFont="1" applyFill="1" applyBorder="1" applyAlignment="1">
      <alignment horizontal="center" vertical="center"/>
    </xf>
    <xf numFmtId="0" fontId="6" fillId="0" borderId="22" xfId="0" applyFont="1" applyBorder="1" applyAlignment="1">
      <alignment horizontal="center" vertical="center"/>
    </xf>
    <xf numFmtId="0" fontId="6" fillId="5" borderId="21" xfId="0" quotePrefix="1" applyFont="1" applyFill="1" applyBorder="1" applyAlignment="1">
      <alignment horizontal="center" vertical="center" wrapText="1"/>
    </xf>
    <xf numFmtId="0" fontId="6" fillId="5" borderId="20" xfId="0" applyFont="1" applyFill="1" applyBorder="1" applyAlignment="1">
      <alignment horizontal="center" vertical="center" wrapText="1"/>
    </xf>
    <xf numFmtId="165" fontId="6" fillId="5" borderId="20" xfId="5" applyNumberFormat="1" applyFont="1" applyFill="1" applyBorder="1" applyAlignment="1">
      <alignment horizontal="center" vertical="center"/>
    </xf>
    <xf numFmtId="0" fontId="6" fillId="0" borderId="20" xfId="0" applyFont="1" applyBorder="1" applyAlignment="1">
      <alignment horizontal="center" vertical="center"/>
    </xf>
    <xf numFmtId="165" fontId="6" fillId="5" borderId="20" xfId="5" applyNumberFormat="1" applyFont="1" applyFill="1" applyBorder="1"/>
    <xf numFmtId="164" fontId="6" fillId="5" borderId="20" xfId="1" applyNumberFormat="1" applyFont="1" applyFill="1" applyBorder="1" applyAlignment="1">
      <alignment horizontal="center" vertical="center"/>
    </xf>
    <xf numFmtId="165" fontId="6" fillId="0" borderId="20" xfId="5" applyNumberFormat="1" applyFont="1" applyFill="1" applyBorder="1"/>
    <xf numFmtId="165" fontId="6" fillId="5" borderId="4" xfId="5" applyNumberFormat="1" applyFont="1" applyFill="1" applyBorder="1"/>
    <xf numFmtId="37" fontId="6" fillId="5" borderId="13" xfId="5" applyNumberFormat="1" applyFont="1" applyFill="1" applyBorder="1"/>
    <xf numFmtId="37" fontId="6" fillId="5" borderId="20" xfId="5" applyNumberFormat="1" applyFont="1" applyFill="1" applyBorder="1"/>
    <xf numFmtId="164" fontId="6" fillId="5" borderId="13" xfId="1" applyNumberFormat="1" applyFont="1" applyFill="1" applyBorder="1"/>
    <xf numFmtId="9" fontId="13" fillId="8" borderId="6" xfId="9" applyFont="1" applyFill="1" applyBorder="1" applyAlignment="1">
      <alignment horizontal="center" vertical="center"/>
    </xf>
    <xf numFmtId="9" fontId="13" fillId="8" borderId="1" xfId="9" applyFont="1" applyFill="1" applyBorder="1" applyAlignment="1">
      <alignment horizontal="center" vertical="center"/>
    </xf>
    <xf numFmtId="0" fontId="3" fillId="0" borderId="0" xfId="118" quotePrefix="1" applyFont="1" applyAlignment="1">
      <alignment horizontal="left"/>
    </xf>
    <xf numFmtId="0" fontId="0" fillId="0" borderId="0" xfId="0" applyAlignment="1">
      <alignment wrapText="1"/>
    </xf>
    <xf numFmtId="0" fontId="6" fillId="0" borderId="0" xfId="0" applyFont="1" applyFill="1" applyBorder="1" applyAlignment="1">
      <alignment horizontal="center"/>
    </xf>
    <xf numFmtId="9" fontId="6" fillId="8" borderId="13" xfId="9" applyFont="1" applyFill="1" applyBorder="1" applyAlignment="1">
      <alignment horizontal="center" vertical="center"/>
    </xf>
    <xf numFmtId="9" fontId="6" fillId="8" borderId="1" xfId="9" applyFont="1" applyFill="1" applyBorder="1" applyAlignment="1">
      <alignment horizontal="center" vertical="center"/>
    </xf>
    <xf numFmtId="166" fontId="31" fillId="8" borderId="16" xfId="9" applyNumberFormat="1" applyFont="1" applyFill="1" applyBorder="1" applyAlignment="1">
      <alignment horizontal="center" vertical="center"/>
    </xf>
    <xf numFmtId="9" fontId="6" fillId="8" borderId="6" xfId="9" applyFont="1" applyFill="1" applyBorder="1" applyAlignment="1">
      <alignment horizontal="center" vertical="center"/>
    </xf>
    <xf numFmtId="9" fontId="6" fillId="8" borderId="16" xfId="9" applyFont="1" applyFill="1" applyBorder="1" applyAlignment="1">
      <alignment horizontal="center" vertical="center"/>
    </xf>
    <xf numFmtId="0" fontId="6" fillId="0" borderId="0" xfId="0" applyFont="1" applyFill="1" applyBorder="1" applyAlignment="1">
      <alignment horizontal="center"/>
    </xf>
    <xf numFmtId="0" fontId="43" fillId="0" borderId="0" xfId="0" applyFont="1" applyAlignment="1">
      <alignment horizontal="right"/>
    </xf>
    <xf numFmtId="0" fontId="6" fillId="0" borderId="4" xfId="0" applyFont="1" applyBorder="1" applyAlignment="1">
      <alignment horizontal="left"/>
    </xf>
    <xf numFmtId="9" fontId="6" fillId="0" borderId="4" xfId="9" applyFont="1" applyFill="1" applyBorder="1"/>
    <xf numFmtId="9" fontId="10" fillId="0" borderId="6" xfId="9" applyFont="1" applyBorder="1"/>
    <xf numFmtId="9" fontId="10" fillId="0" borderId="9" xfId="9" applyFont="1" applyBorder="1"/>
    <xf numFmtId="9" fontId="10" fillId="0" borderId="9" xfId="9" applyFont="1" applyFill="1" applyBorder="1"/>
    <xf numFmtId="9" fontId="6" fillId="5" borderId="4" xfId="9" applyFont="1" applyFill="1" applyBorder="1"/>
    <xf numFmtId="9" fontId="6" fillId="5" borderId="20" xfId="9" applyFont="1" applyFill="1" applyBorder="1"/>
    <xf numFmtId="164" fontId="6" fillId="0" borderId="3" xfId="1" applyNumberFormat="1" applyFont="1" applyFill="1" applyBorder="1" applyAlignment="1">
      <alignment horizontal="center" vertical="center"/>
    </xf>
    <xf numFmtId="0" fontId="0" fillId="0" borderId="17" xfId="0" applyFill="1" applyBorder="1" applyAlignment="1">
      <alignment horizontal="left" vertical="center"/>
    </xf>
    <xf numFmtId="0" fontId="0" fillId="0" borderId="17" xfId="0" applyBorder="1"/>
    <xf numFmtId="0" fontId="0" fillId="0" borderId="19" xfId="0" applyBorder="1"/>
    <xf numFmtId="0" fontId="0" fillId="0" borderId="17" xfId="0" applyFill="1" applyBorder="1" applyAlignment="1">
      <alignment horizontal="center" vertical="center"/>
    </xf>
    <xf numFmtId="0" fontId="22" fillId="0" borderId="20" xfId="0" applyFont="1" applyBorder="1"/>
    <xf numFmtId="9" fontId="4" fillId="0" borderId="0" xfId="9" applyFont="1" applyBorder="1" applyAlignment="1" applyProtection="1"/>
    <xf numFmtId="0" fontId="12" fillId="7" borderId="18" xfId="0" applyFont="1" applyFill="1" applyBorder="1"/>
    <xf numFmtId="0" fontId="0" fillId="7" borderId="18" xfId="0" applyFill="1" applyBorder="1"/>
    <xf numFmtId="0" fontId="0" fillId="0" borderId="5" xfId="0" applyBorder="1"/>
    <xf numFmtId="0" fontId="0" fillId="0" borderId="12" xfId="0" applyBorder="1"/>
    <xf numFmtId="165" fontId="10" fillId="0" borderId="13" xfId="5" applyNumberFormat="1" applyFont="1" applyFill="1" applyBorder="1"/>
    <xf numFmtId="165" fontId="10" fillId="0" borderId="16" xfId="5" applyNumberFormat="1" applyFont="1" applyBorder="1"/>
    <xf numFmtId="0" fontId="0" fillId="0" borderId="17" xfId="0" applyFont="1" applyBorder="1"/>
    <xf numFmtId="165" fontId="10" fillId="0" borderId="0" xfId="5" applyNumberFormat="1" applyFont="1"/>
    <xf numFmtId="0" fontId="6" fillId="0" borderId="8" xfId="0" applyFont="1" applyBorder="1" applyAlignment="1">
      <alignment horizontal="right"/>
    </xf>
    <xf numFmtId="165" fontId="10" fillId="0" borderId="8" xfId="5" applyNumberFormat="1" applyFont="1" applyBorder="1"/>
    <xf numFmtId="0" fontId="10" fillId="0" borderId="8" xfId="118" applyFont="1" applyBorder="1"/>
    <xf numFmtId="17" fontId="13" fillId="0" borderId="0" xfId="0" quotePrefix="1" applyNumberFormat="1" applyFont="1"/>
    <xf numFmtId="165" fontId="13" fillId="0" borderId="0" xfId="5" applyNumberFormat="1" applyFont="1"/>
    <xf numFmtId="9" fontId="4" fillId="0" borderId="13" xfId="9" applyFont="1" applyBorder="1" applyAlignment="1" applyProtection="1"/>
    <xf numFmtId="0" fontId="0" fillId="0" borderId="0" xfId="0" applyAlignment="1">
      <alignment wrapText="1"/>
    </xf>
    <xf numFmtId="0" fontId="6" fillId="0" borderId="0" xfId="0" applyFont="1" applyFill="1" applyBorder="1" applyAlignment="1">
      <alignment horizontal="center"/>
    </xf>
    <xf numFmtId="0" fontId="52" fillId="5" borderId="0" xfId="0" applyFont="1" applyFill="1" applyProtection="1">
      <protection locked="0"/>
    </xf>
    <xf numFmtId="0" fontId="7" fillId="0" borderId="0" xfId="0" applyFont="1" applyAlignment="1">
      <alignment horizontal="right" vertical="center"/>
    </xf>
    <xf numFmtId="0" fontId="6" fillId="0" borderId="0" xfId="0" applyFont="1" applyFill="1" applyBorder="1" applyAlignment="1"/>
    <xf numFmtId="0" fontId="6" fillId="4" borderId="16" xfId="0" quotePrefix="1" applyFont="1" applyFill="1" applyBorder="1" applyAlignment="1">
      <alignment horizontal="center"/>
    </xf>
    <xf numFmtId="0" fontId="15" fillId="5" borderId="16" xfId="0" applyFont="1" applyFill="1" applyBorder="1" applyAlignment="1">
      <alignment horizontal="center" vertical="center"/>
    </xf>
    <xf numFmtId="0" fontId="15" fillId="0" borderId="13" xfId="0" applyFont="1" applyFill="1" applyBorder="1" applyAlignment="1">
      <alignment horizontal="center" vertical="center"/>
    </xf>
    <xf numFmtId="164" fontId="41" fillId="0" borderId="16" xfId="1" applyNumberFormat="1" applyFont="1" applyFill="1" applyBorder="1" applyAlignment="1">
      <alignment horizontal="center" vertical="center"/>
    </xf>
    <xf numFmtId="164" fontId="41" fillId="0" borderId="16" xfId="0" applyNumberFormat="1" applyFont="1" applyFill="1" applyBorder="1" applyAlignment="1">
      <alignment horizontal="center" vertical="center"/>
    </xf>
    <xf numFmtId="0" fontId="53" fillId="0" borderId="13" xfId="118" applyFont="1" applyBorder="1" applyAlignment="1">
      <alignment horizontal="center"/>
    </xf>
    <xf numFmtId="0" fontId="15" fillId="0" borderId="16" xfId="0" quotePrefix="1" applyFont="1" applyFill="1" applyBorder="1" applyAlignment="1">
      <alignment horizontal="center" vertical="center"/>
    </xf>
    <xf numFmtId="0" fontId="41" fillId="0" borderId="6" xfId="0" applyFont="1" applyFill="1" applyBorder="1" applyAlignment="1">
      <alignment horizontal="center" vertical="center"/>
    </xf>
    <xf numFmtId="0" fontId="41" fillId="0" borderId="13" xfId="0" applyFont="1" applyFill="1" applyBorder="1" applyAlignment="1">
      <alignment horizontal="center" vertical="center"/>
    </xf>
    <xf numFmtId="164" fontId="41" fillId="0" borderId="13" xfId="0" applyNumberFormat="1" applyFont="1" applyFill="1" applyBorder="1" applyAlignment="1">
      <alignment horizontal="center" vertical="center"/>
    </xf>
    <xf numFmtId="0" fontId="15" fillId="0" borderId="0" xfId="0" applyFont="1" applyAlignment="1"/>
    <xf numFmtId="0" fontId="15" fillId="0" borderId="0" xfId="0" applyFont="1" applyFill="1" applyBorder="1" applyAlignment="1">
      <alignment horizontal="center" vertical="center"/>
    </xf>
    <xf numFmtId="9" fontId="15" fillId="0" borderId="0" xfId="9" applyFont="1" applyFill="1" applyBorder="1" applyAlignment="1">
      <alignment horizontal="center" vertical="center"/>
    </xf>
    <xf numFmtId="0" fontId="15" fillId="0" borderId="0" xfId="0" applyFont="1"/>
    <xf numFmtId="0" fontId="54" fillId="0" borderId="0" xfId="0" applyFont="1" applyAlignment="1">
      <alignment horizontal="center"/>
    </xf>
    <xf numFmtId="0" fontId="54" fillId="0" borderId="0" xfId="0" applyFont="1" applyAlignment="1">
      <alignment horizontal="right"/>
    </xf>
    <xf numFmtId="0" fontId="54" fillId="0" borderId="0" xfId="0" applyFont="1" applyBorder="1"/>
    <xf numFmtId="0" fontId="55" fillId="0" borderId="0" xfId="0" applyFont="1"/>
    <xf numFmtId="0" fontId="54" fillId="0" borderId="0" xfId="0" applyFont="1" applyBorder="1" applyAlignment="1">
      <alignment horizontal="right"/>
    </xf>
    <xf numFmtId="5" fontId="6" fillId="0" borderId="0" xfId="0" applyNumberFormat="1" applyFont="1"/>
    <xf numFmtId="170" fontId="0" fillId="0" borderId="0" xfId="0" applyNumberFormat="1" applyFont="1"/>
    <xf numFmtId="5" fontId="0" fillId="0" borderId="0" xfId="0" applyNumberFormat="1" applyFont="1"/>
    <xf numFmtId="165" fontId="6" fillId="0" borderId="1" xfId="5" applyNumberFormat="1" applyFont="1" applyFill="1" applyBorder="1" applyAlignment="1">
      <alignment horizontal="center" vertical="center"/>
    </xf>
    <xf numFmtId="164" fontId="31" fillId="8" borderId="6" xfId="0" applyNumberFormat="1" applyFont="1" applyFill="1" applyBorder="1" applyAlignment="1">
      <alignment horizontal="center" vertical="center"/>
    </xf>
    <xf numFmtId="164" fontId="31" fillId="8" borderId="16" xfId="0" applyNumberFormat="1" applyFont="1" applyFill="1" applyBorder="1" applyAlignment="1">
      <alignment horizontal="center" vertical="center"/>
    </xf>
    <xf numFmtId="164" fontId="31" fillId="8" borderId="1" xfId="0" applyNumberFormat="1" applyFont="1" applyFill="1" applyBorder="1" applyAlignment="1">
      <alignment horizontal="center" vertical="center"/>
    </xf>
    <xf numFmtId="164" fontId="31" fillId="8" borderId="13" xfId="0" applyNumberFormat="1" applyFont="1" applyFill="1" applyBorder="1" applyAlignment="1">
      <alignment horizontal="center" vertical="center"/>
    </xf>
    <xf numFmtId="165" fontId="31" fillId="8" borderId="6" xfId="5" applyNumberFormat="1" applyFont="1" applyFill="1" applyBorder="1" applyAlignment="1">
      <alignment horizontal="center" vertical="center"/>
    </xf>
    <xf numFmtId="165" fontId="31" fillId="8" borderId="16" xfId="5" applyNumberFormat="1" applyFont="1" applyFill="1" applyBorder="1" applyAlignment="1">
      <alignment horizontal="center" vertical="center"/>
    </xf>
    <xf numFmtId="165" fontId="31" fillId="8" borderId="1" xfId="5" applyNumberFormat="1" applyFont="1" applyFill="1" applyBorder="1" applyAlignment="1">
      <alignment horizontal="center" vertical="center"/>
    </xf>
    <xf numFmtId="165" fontId="31" fillId="8" borderId="13" xfId="5" applyNumberFormat="1" applyFont="1" applyFill="1" applyBorder="1" applyAlignment="1">
      <alignment horizontal="center" vertical="center"/>
    </xf>
    <xf numFmtId="164" fontId="31" fillId="8" borderId="2" xfId="0" applyNumberFormat="1" applyFont="1" applyFill="1" applyBorder="1" applyAlignment="1">
      <alignment horizontal="center" vertical="center"/>
    </xf>
    <xf numFmtId="0" fontId="0" fillId="0" borderId="13" xfId="0" quotePrefix="1" applyFill="1" applyBorder="1" applyAlignment="1">
      <alignment horizontal="center" vertical="center"/>
    </xf>
    <xf numFmtId="9" fontId="6" fillId="0" borderId="1" xfId="0" applyNumberFormat="1" applyFont="1" applyFill="1" applyBorder="1" applyAlignment="1">
      <alignment horizontal="center"/>
    </xf>
    <xf numFmtId="9" fontId="6" fillId="0" borderId="1" xfId="9" applyFont="1" applyFill="1" applyBorder="1" applyAlignment="1">
      <alignment horizontal="center"/>
    </xf>
    <xf numFmtId="9" fontId="31" fillId="8" borderId="1" xfId="0" applyNumberFormat="1" applyFont="1" applyFill="1" applyBorder="1" applyAlignment="1">
      <alignment horizontal="center"/>
    </xf>
    <xf numFmtId="9" fontId="31" fillId="8" borderId="1" xfId="9" applyFont="1" applyFill="1" applyBorder="1" applyAlignment="1">
      <alignment horizontal="center"/>
    </xf>
    <xf numFmtId="164" fontId="31" fillId="8" borderId="1" xfId="1" applyNumberFormat="1" applyFont="1" applyFill="1" applyBorder="1"/>
    <xf numFmtId="164" fontId="31" fillId="8" borderId="16" xfId="1" applyNumberFormat="1" applyFont="1" applyFill="1" applyBorder="1"/>
    <xf numFmtId="165" fontId="31" fillId="8" borderId="1" xfId="5" applyNumberFormat="1" applyFont="1" applyFill="1" applyBorder="1"/>
    <xf numFmtId="165" fontId="31" fillId="8" borderId="16" xfId="5" applyNumberFormat="1" applyFont="1" applyFill="1" applyBorder="1"/>
    <xf numFmtId="164" fontId="6" fillId="8" borderId="1" xfId="1" applyNumberFormat="1" applyFont="1" applyFill="1" applyBorder="1"/>
    <xf numFmtId="164" fontId="6" fillId="0" borderId="1" xfId="1" applyNumberFormat="1" applyFont="1" applyFill="1" applyBorder="1"/>
    <xf numFmtId="165" fontId="31" fillId="8" borderId="2" xfId="5" applyNumberFormat="1" applyFont="1" applyFill="1" applyBorder="1"/>
    <xf numFmtId="164" fontId="31" fillId="8" borderId="13" xfId="1" applyNumberFormat="1" applyFont="1" applyFill="1" applyBorder="1"/>
    <xf numFmtId="9" fontId="31" fillId="8" borderId="13" xfId="9" applyFont="1" applyFill="1" applyBorder="1"/>
    <xf numFmtId="165" fontId="32" fillId="0" borderId="0" xfId="0" applyNumberFormat="1" applyFont="1"/>
    <xf numFmtId="9" fontId="31" fillId="8" borderId="16" xfId="9" applyFont="1" applyFill="1" applyBorder="1"/>
    <xf numFmtId="9" fontId="31" fillId="8" borderId="4" xfId="9" applyFont="1" applyFill="1" applyBorder="1"/>
    <xf numFmtId="9" fontId="10" fillId="0" borderId="0" xfId="118" applyNumberFormat="1" applyFont="1"/>
    <xf numFmtId="37" fontId="31" fillId="8" borderId="13" xfId="5" applyNumberFormat="1" applyFont="1" applyFill="1" applyBorder="1"/>
    <xf numFmtId="164" fontId="31" fillId="8" borderId="3" xfId="1" applyNumberFormat="1" applyFont="1" applyFill="1" applyBorder="1" applyAlignment="1">
      <alignment horizontal="center" vertical="center"/>
    </xf>
    <xf numFmtId="164" fontId="31" fillId="8" borderId="16" xfId="1" applyNumberFormat="1" applyFont="1" applyFill="1" applyBorder="1" applyAlignment="1">
      <alignment horizontal="center" vertical="center"/>
    </xf>
    <xf numFmtId="37" fontId="10" fillId="0" borderId="20" xfId="5" applyNumberFormat="1" applyFont="1" applyFill="1" applyBorder="1"/>
    <xf numFmtId="37" fontId="56" fillId="8" borderId="13" xfId="0" applyNumberFormat="1" applyFont="1" applyFill="1" applyBorder="1"/>
    <xf numFmtId="44" fontId="31" fillId="8" borderId="16" xfId="5" applyNumberFormat="1" applyFont="1" applyFill="1" applyBorder="1" applyAlignment="1">
      <alignment horizontal="center" vertical="center"/>
    </xf>
    <xf numFmtId="165" fontId="31" fillId="8" borderId="3" xfId="5" applyNumberFormat="1" applyFont="1" applyFill="1" applyBorder="1" applyAlignment="1">
      <alignment horizontal="center" vertical="center"/>
    </xf>
    <xf numFmtId="165" fontId="6" fillId="0" borderId="4" xfId="5" applyNumberFormat="1" applyFont="1" applyFill="1" applyBorder="1" applyAlignment="1">
      <alignment horizontal="center" vertical="center"/>
    </xf>
    <xf numFmtId="0" fontId="0" fillId="0" borderId="16" xfId="0" applyFill="1" applyBorder="1" applyAlignment="1">
      <alignment horizontal="center" vertical="center" wrapText="1"/>
    </xf>
    <xf numFmtId="164" fontId="31" fillId="8" borderId="19" xfId="0" applyNumberFormat="1" applyFont="1" applyFill="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xf>
    <xf numFmtId="0" fontId="0" fillId="0" borderId="13" xfId="0" applyFill="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Fill="1" applyBorder="1" applyAlignment="1">
      <alignment horizontal="center" vertical="center" wrapText="1"/>
    </xf>
    <xf numFmtId="164" fontId="31" fillId="8" borderId="16" xfId="0" applyNumberFormat="1" applyFont="1" applyFill="1" applyBorder="1"/>
    <xf numFmtId="164" fontId="31" fillId="14" borderId="2" xfId="0" applyNumberFormat="1" applyFont="1" applyFill="1" applyBorder="1"/>
    <xf numFmtId="165" fontId="6" fillId="14" borderId="2" xfId="5" applyNumberFormat="1" applyFont="1" applyFill="1" applyBorder="1"/>
    <xf numFmtId="164" fontId="31" fillId="0" borderId="2" xfId="0" applyNumberFormat="1" applyFont="1" applyFill="1" applyBorder="1"/>
    <xf numFmtId="164" fontId="0" fillId="0" borderId="1" xfId="0" applyNumberFormat="1" applyFill="1" applyBorder="1"/>
    <xf numFmtId="164" fontId="0" fillId="0" borderId="13" xfId="1" applyNumberFormat="1" applyFont="1" applyFill="1" applyBorder="1"/>
    <xf numFmtId="165" fontId="31" fillId="0" borderId="13" xfId="5" applyNumberFormat="1" applyFont="1" applyFill="1" applyBorder="1"/>
    <xf numFmtId="9" fontId="31" fillId="8" borderId="2" xfId="9" applyNumberFormat="1" applyFont="1" applyFill="1" applyBorder="1" applyAlignment="1">
      <alignment horizontal="center"/>
    </xf>
    <xf numFmtId="9" fontId="31" fillId="0" borderId="16" xfId="9" applyNumberFormat="1" applyFont="1" applyFill="1" applyBorder="1" applyAlignment="1">
      <alignment horizontal="center"/>
    </xf>
    <xf numFmtId="9" fontId="31" fillId="0" borderId="13" xfId="9" applyNumberFormat="1" applyFont="1" applyFill="1" applyBorder="1" applyAlignment="1">
      <alignment horizontal="center"/>
    </xf>
    <xf numFmtId="165" fontId="0" fillId="0" borderId="3" xfId="5" applyNumberFormat="1" applyFont="1" applyFill="1" applyBorder="1"/>
    <xf numFmtId="165" fontId="6" fillId="0" borderId="17" xfId="5" applyNumberFormat="1" applyFont="1" applyFill="1" applyBorder="1"/>
    <xf numFmtId="9" fontId="55" fillId="0" borderId="0" xfId="9" applyFont="1" applyFill="1"/>
    <xf numFmtId="0" fontId="15" fillId="0" borderId="0" xfId="0" applyFont="1" applyBorder="1"/>
    <xf numFmtId="0" fontId="15" fillId="0" borderId="0" xfId="0" applyFont="1" applyFill="1" applyBorder="1"/>
    <xf numFmtId="0" fontId="0" fillId="9" borderId="13" xfId="0" quotePrefix="1" applyFill="1" applyBorder="1" applyAlignment="1">
      <alignment horizontal="right"/>
    </xf>
    <xf numFmtId="0" fontId="0" fillId="9" borderId="13" xfId="0" applyFill="1" applyBorder="1" applyAlignment="1">
      <alignment horizontal="right"/>
    </xf>
    <xf numFmtId="165" fontId="6" fillId="0" borderId="0" xfId="0" applyNumberFormat="1" applyFont="1" applyFill="1" applyBorder="1"/>
    <xf numFmtId="165" fontId="6" fillId="0" borderId="0" xfId="1" applyNumberFormat="1" applyFont="1" applyFill="1" applyBorder="1"/>
    <xf numFmtId="165" fontId="6" fillId="0" borderId="18" xfId="1" applyNumberFormat="1" applyFont="1" applyFill="1" applyBorder="1"/>
    <xf numFmtId="165" fontId="6" fillId="10" borderId="8" xfId="120" applyNumberFormat="1" applyFont="1" applyFill="1" applyBorder="1"/>
    <xf numFmtId="165" fontId="6" fillId="10" borderId="0" xfId="120" applyNumberFormat="1" applyFont="1" applyFill="1"/>
    <xf numFmtId="165" fontId="6" fillId="10" borderId="8" xfId="0" applyNumberFormat="1" applyFont="1" applyFill="1" applyBorder="1"/>
    <xf numFmtId="6" fontId="22" fillId="0" borderId="13" xfId="0" applyNumberFormat="1" applyFont="1" applyBorder="1" applyAlignment="1"/>
    <xf numFmtId="6" fontId="22" fillId="0" borderId="13" xfId="0" applyNumberFormat="1" applyFont="1" applyFill="1" applyBorder="1" applyAlignment="1"/>
    <xf numFmtId="6" fontId="22" fillId="5" borderId="13" xfId="0" applyNumberFormat="1" applyFont="1" applyFill="1" applyBorder="1" applyAlignment="1"/>
    <xf numFmtId="172" fontId="22" fillId="0" borderId="13" xfId="0" applyNumberFormat="1" applyFont="1" applyBorder="1" applyAlignment="1"/>
    <xf numFmtId="6" fontId="22" fillId="0" borderId="13" xfId="263" applyNumberFormat="1" applyFont="1" applyFill="1" applyBorder="1" applyAlignment="1"/>
    <xf numFmtId="6" fontId="22" fillId="0" borderId="17" xfId="0" applyNumberFormat="1" applyFont="1" applyBorder="1" applyAlignment="1"/>
    <xf numFmtId="6" fontId="22" fillId="10" borderId="13" xfId="0" applyNumberFormat="1" applyFont="1" applyFill="1" applyBorder="1" applyAlignment="1"/>
    <xf numFmtId="170" fontId="48" fillId="10" borderId="13" xfId="0" applyNumberFormat="1" applyFont="1" applyFill="1" applyBorder="1" applyAlignment="1"/>
    <xf numFmtId="172" fontId="22" fillId="0" borderId="20" xfId="0" applyNumberFormat="1" applyFont="1" applyBorder="1" applyAlignment="1"/>
    <xf numFmtId="170" fontId="22" fillId="13" borderId="20" xfId="0" applyNumberFormat="1" applyFont="1" applyFill="1" applyBorder="1" applyAlignment="1"/>
    <xf numFmtId="170" fontId="48" fillId="13" borderId="20" xfId="0" applyNumberFormat="1" applyFont="1" applyFill="1" applyBorder="1" applyAlignment="1"/>
    <xf numFmtId="6" fontId="22" fillId="0" borderId="4" xfId="263" applyNumberFormat="1" applyFont="1" applyFill="1" applyBorder="1" applyAlignment="1"/>
    <xf numFmtId="9" fontId="6" fillId="0" borderId="0" xfId="9" applyFont="1" applyBorder="1" applyAlignment="1">
      <alignment horizontal="center"/>
    </xf>
    <xf numFmtId="0" fontId="0" fillId="0" borderId="0" xfId="0" applyAlignment="1">
      <alignment wrapText="1"/>
    </xf>
    <xf numFmtId="0" fontId="0" fillId="0" borderId="13" xfId="0" applyFill="1" applyBorder="1" applyAlignment="1">
      <alignment horizontal="center" vertical="center"/>
    </xf>
    <xf numFmtId="0" fontId="0" fillId="5" borderId="16" xfId="0" applyFill="1" applyBorder="1" applyAlignment="1">
      <alignment horizontal="center" vertical="center"/>
    </xf>
    <xf numFmtId="0" fontId="0" fillId="0" borderId="16" xfId="0" applyFill="1" applyBorder="1" applyAlignment="1">
      <alignment horizontal="center" vertical="center"/>
    </xf>
    <xf numFmtId="0" fontId="0" fillId="0" borderId="4" xfId="0"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 xfId="0" applyFont="1" applyFill="1" applyBorder="1" applyAlignment="1">
      <alignment horizontal="center" vertical="center"/>
    </xf>
    <xf numFmtId="0" fontId="0" fillId="5" borderId="13" xfId="0" applyFill="1" applyBorder="1" applyAlignment="1">
      <alignment horizontal="center" vertical="center"/>
    </xf>
    <xf numFmtId="9" fontId="0" fillId="0" borderId="4" xfId="9" applyFont="1" applyFill="1" applyBorder="1"/>
    <xf numFmtId="0" fontId="0" fillId="5" borderId="0" xfId="0" applyFill="1" applyAlignment="1">
      <alignment horizontal="left" vertical="center" wrapText="1"/>
    </xf>
    <xf numFmtId="0" fontId="6"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6"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5" fillId="0" borderId="17" xfId="118" applyFont="1" applyBorder="1" applyAlignment="1">
      <alignment horizontal="left" wrapText="1"/>
    </xf>
    <xf numFmtId="0" fontId="25" fillId="0" borderId="18" xfId="118" applyFont="1" applyBorder="1" applyAlignment="1">
      <alignment horizontal="left" wrapText="1"/>
    </xf>
    <xf numFmtId="0" fontId="25" fillId="0" borderId="19" xfId="118" applyFont="1" applyBorder="1" applyAlignment="1">
      <alignment horizontal="left" wrapText="1"/>
    </xf>
    <xf numFmtId="0" fontId="6" fillId="0" borderId="0" xfId="0" applyFont="1" applyFill="1" applyBorder="1" applyAlignment="1">
      <alignment horizont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5" borderId="16" xfId="0" applyFill="1" applyBorder="1" applyAlignment="1">
      <alignment horizontal="center" vertical="center"/>
    </xf>
    <xf numFmtId="0" fontId="0" fillId="5" borderId="4" xfId="0" applyFill="1" applyBorder="1" applyAlignment="1">
      <alignment horizontal="center" vertical="center"/>
    </xf>
    <xf numFmtId="0" fontId="6" fillId="0"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0" fontId="0" fillId="0" borderId="3" xfId="0" applyFill="1" applyBorder="1" applyAlignment="1">
      <alignment horizontal="center" vertical="center"/>
    </xf>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0" fillId="5" borderId="13" xfId="0" applyFill="1" applyBorder="1" applyAlignment="1">
      <alignment horizontal="center" vertical="center"/>
    </xf>
    <xf numFmtId="0" fontId="0" fillId="0" borderId="3" xfId="0" applyFont="1" applyFill="1" applyBorder="1" applyAlignment="1">
      <alignment horizontal="center" vertical="center" textRotation="90"/>
    </xf>
    <xf numFmtId="0" fontId="0" fillId="0" borderId="4" xfId="0" applyFont="1" applyFill="1" applyBorder="1" applyAlignment="1">
      <alignment horizontal="center" vertical="center" textRotation="90"/>
    </xf>
    <xf numFmtId="0" fontId="0" fillId="0" borderId="16" xfId="0" applyFont="1" applyFill="1" applyBorder="1" applyAlignment="1">
      <alignment horizontal="center" vertical="center" textRotation="90"/>
    </xf>
    <xf numFmtId="0" fontId="0" fillId="0" borderId="22" xfId="0" applyFont="1" applyFill="1" applyBorder="1" applyAlignment="1">
      <alignment horizontal="center" vertical="center" textRotation="90"/>
    </xf>
    <xf numFmtId="0" fontId="0" fillId="0" borderId="24" xfId="0" applyFont="1" applyFill="1" applyBorder="1" applyAlignment="1">
      <alignment horizontal="center" vertical="center" textRotation="90"/>
    </xf>
    <xf numFmtId="0" fontId="0" fillId="0" borderId="11" xfId="0" applyFont="1" applyFill="1" applyBorder="1" applyAlignment="1">
      <alignment horizontal="center" vertical="center" textRotation="90"/>
    </xf>
    <xf numFmtId="0" fontId="0" fillId="0" borderId="15"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170" fontId="22" fillId="13" borderId="21" xfId="0" applyNumberFormat="1" applyFont="1" applyFill="1" applyBorder="1" applyAlignment="1"/>
    <xf numFmtId="170" fontId="22" fillId="13" borderId="23" xfId="0" applyNumberFormat="1" applyFont="1" applyFill="1" applyBorder="1" applyAlignment="1"/>
    <xf numFmtId="164" fontId="31" fillId="0" borderId="4" xfId="1" applyNumberFormat="1" applyFont="1" applyFill="1" applyBorder="1"/>
    <xf numFmtId="164" fontId="31" fillId="0" borderId="0" xfId="1" applyNumberFormat="1" applyFont="1" applyFill="1" applyBorder="1"/>
    <xf numFmtId="0" fontId="6" fillId="0" borderId="5" xfId="0" applyFont="1" applyFill="1" applyBorder="1" applyAlignment="1">
      <alignment wrapText="1"/>
    </xf>
    <xf numFmtId="165" fontId="31" fillId="0" borderId="4" xfId="5" applyNumberFormat="1" applyFont="1" applyFill="1" applyBorder="1"/>
    <xf numFmtId="0" fontId="15" fillId="5" borderId="13" xfId="0" applyFont="1" applyFill="1" applyBorder="1" applyAlignment="1">
      <alignment horizontal="center" vertical="center"/>
    </xf>
    <xf numFmtId="164" fontId="41" fillId="5" borderId="13" xfId="1" applyNumberFormat="1" applyFont="1" applyFill="1" applyBorder="1" applyAlignment="1">
      <alignment horizontal="center" vertical="center"/>
    </xf>
  </cellXfs>
  <cellStyles count="278">
    <cellStyle name="Comma" xfId="1" builtinId="3"/>
    <cellStyle name="Comma 2" xfId="2"/>
    <cellStyle name="Comma 2 2" xfId="243"/>
    <cellStyle name="Comma 2 2 2" xfId="258"/>
    <cellStyle name="Comma 3" xfId="3"/>
    <cellStyle name="Comma 3 2" xfId="244"/>
    <cellStyle name="Comma 3 2 2" xfId="259"/>
    <cellStyle name="Comma 4" xfId="4"/>
    <cellStyle name="Comma 5" xfId="119"/>
    <cellStyle name="Comma 5 2" xfId="260"/>
    <cellStyle name="Comma 6" xfId="261"/>
    <cellStyle name="Comma 7" xfId="262"/>
    <cellStyle name="Currency" xfId="5" builtinId="4"/>
    <cellStyle name="Currency 10" xfId="263"/>
    <cellStyle name="Currency 2" xfId="6"/>
    <cellStyle name="Currency 3" xfId="120"/>
    <cellStyle name="Currency 3 2" xfId="264"/>
    <cellStyle name="Currency 4" xfId="265"/>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Hyperlink" xfId="276" builtinId="8"/>
    <cellStyle name="Hyperlink 2" xfId="266"/>
    <cellStyle name="Normal" xfId="0" builtinId="0"/>
    <cellStyle name="Normal 2" xfId="7"/>
    <cellStyle name="Normal 3" xfId="118"/>
    <cellStyle name="Normal 3 2" xfId="267"/>
    <cellStyle name="Normal 3 2 2" xfId="268"/>
    <cellStyle name="Normal 3 3" xfId="136"/>
    <cellStyle name="Normal 3 4" xfId="269"/>
    <cellStyle name="Normal 3 5" xfId="270"/>
    <cellStyle name="Normal 4" xfId="271"/>
    <cellStyle name="Normal 5" xfId="272"/>
    <cellStyle name="Normal 6" xfId="273"/>
    <cellStyle name="Normal 7" xfId="277"/>
    <cellStyle name="Normal_LC_OIforecast_BB_USconec" xfId="8"/>
    <cellStyle name="Percent" xfId="9" builtinId="5"/>
    <cellStyle name="Percent 2" xfId="10"/>
    <cellStyle name="Percent 3" xfId="274"/>
    <cellStyle name="Percent 4" xfId="275"/>
  </cellStyles>
  <dxfs count="28">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FFFFCC"/>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CWDM / DWDM</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Methodology!$C$30:$U$30</c:f>
              <c:numCache>
                <c:formatCode>0%</c:formatCode>
                <c:ptCount val="19"/>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0.44820797319536432</c:v>
                </c:pt>
                <c:pt idx="10">
                  <c:v>0.45336819650410609</c:v>
                </c:pt>
                <c:pt idx="11">
                  <c:v>0.42127636536986124</c:v>
                </c:pt>
                <c:pt idx="12">
                  <c:v>0.4097505497720928</c:v>
                </c:pt>
                <c:pt idx="13">
                  <c:v>0.40775776424098176</c:v>
                </c:pt>
                <c:pt idx="14">
                  <c:v>0.3821610698498199</c:v>
                </c:pt>
                <c:pt idx="15">
                  <c:v>0.38950295115829148</c:v>
                </c:pt>
                <c:pt idx="16">
                  <c:v>0.41404681796686682</c:v>
                </c:pt>
                <c:pt idx="17">
                  <c:v>0.3850800851962497</c:v>
                </c:pt>
                <c:pt idx="18">
                  <c:v>0.35274121391426272</c:v>
                </c:pt>
              </c:numCache>
            </c:numRef>
          </c:val>
          <c:smooth val="1"/>
          <c:extLst xmlns:c16r2="http://schemas.microsoft.com/office/drawing/2015/06/chart">
            <c:ext xmlns:c16="http://schemas.microsoft.com/office/drawing/2014/chart" uri="{C3380CC4-5D6E-409C-BE32-E72D297353CC}">
              <c16:uniqueId val="{00000000-529D-D048-9015-36A8BB5A6DD9}"/>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numCache>
            </c:numRef>
          </c:val>
          <c:smooth val="1"/>
          <c:extLst xmlns:c16r2="http://schemas.microsoft.com/office/drawing/2015/06/chart">
            <c:ext xmlns:c16="http://schemas.microsoft.com/office/drawing/2014/chart" uri="{C3380CC4-5D6E-409C-BE32-E72D297353CC}">
              <c16:uniqueId val="{00000001-529D-D048-9015-36A8BB5A6DD9}"/>
            </c:ext>
          </c:extLst>
        </c:ser>
        <c:dLbls>
          <c:showLegendKey val="0"/>
          <c:showVal val="0"/>
          <c:showCatName val="0"/>
          <c:showSerName val="0"/>
          <c:showPercent val="0"/>
          <c:showBubbleSize val="0"/>
        </c:dLbls>
        <c:marker val="1"/>
        <c:smooth val="0"/>
        <c:axId val="61618432"/>
        <c:axId val="61628416"/>
      </c:lineChart>
      <c:catAx>
        <c:axId val="61618432"/>
        <c:scaling>
          <c:orientation val="minMax"/>
        </c:scaling>
        <c:delete val="0"/>
        <c:axPos val="b"/>
        <c:numFmt formatCode="General" sourceLinked="1"/>
        <c:majorTickMark val="out"/>
        <c:minorTickMark val="none"/>
        <c:tickLblPos val="nextTo"/>
        <c:crossAx val="61628416"/>
        <c:crosses val="autoZero"/>
        <c:auto val="1"/>
        <c:lblAlgn val="ctr"/>
        <c:lblOffset val="100"/>
        <c:tickLblSkip val="1"/>
        <c:noMultiLvlLbl val="1"/>
      </c:catAx>
      <c:valAx>
        <c:axId val="61628416"/>
        <c:scaling>
          <c:orientation val="minMax"/>
        </c:scaling>
        <c:delete val="0"/>
        <c:axPos val="l"/>
        <c:majorGridlines/>
        <c:title>
          <c:tx>
            <c:rich>
              <a:bodyPr rot="-5400000" vert="horz"/>
              <a:lstStyle/>
              <a:p>
                <a:pPr>
                  <a:defRPr/>
                </a:pPr>
                <a:r>
                  <a:rPr lang="en-US"/>
                  <a:t>Growth rate (%)</a:t>
                </a:r>
              </a:p>
            </c:rich>
          </c:tx>
          <c:layout/>
          <c:overlay val="0"/>
        </c:title>
        <c:numFmt formatCode="0%" sourceLinked="1"/>
        <c:majorTickMark val="out"/>
        <c:minorTickMark val="none"/>
        <c:tickLblPos val="nextTo"/>
        <c:crossAx val="61618432"/>
        <c:crosses val="autoZero"/>
        <c:crossBetween val="between"/>
      </c:valAx>
    </c:plotArea>
    <c:legend>
      <c:legendPos val="t"/>
      <c:layout/>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Wireless fronthaul</a:t>
            </a:r>
          </a:p>
        </c:rich>
      </c:tx>
      <c:layout/>
      <c:overlay val="1"/>
    </c:title>
    <c:autoTitleDeleted val="0"/>
    <c:plotArea>
      <c:layout>
        <c:manualLayout>
          <c:layoutTarget val="inner"/>
          <c:xMode val="edge"/>
          <c:yMode val="edge"/>
          <c:x val="0.16187451712227"/>
          <c:y val="9.3147066096561107E-2"/>
          <c:w val="0.677930152128004"/>
          <c:h val="0.81160572633953698"/>
        </c:manualLayout>
      </c:layout>
      <c:barChart>
        <c:barDir val="col"/>
        <c:grouping val="stacked"/>
        <c:varyColors val="0"/>
        <c:ser>
          <c:idx val="5"/>
          <c:order val="0"/>
          <c:tx>
            <c:strRef>
              <c:f>Summary!$N$541</c:f>
              <c:strCache>
                <c:ptCount val="1"/>
                <c:pt idx="0">
                  <c:v>&lt;25 Gbps</c:v>
                </c:pt>
              </c:strCache>
            </c:strRef>
          </c:tx>
          <c:invertIfNegative val="0"/>
          <c:cat>
            <c:numRef>
              <c:f>Summary!$O$540:$X$540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Summary!$O$541:$X$541</c:f>
              <c:numCache>
                <c:formatCode>_("$"* #,##0_);_("$"* \(#,##0\);_("$"* "-"??_);_(@_)</c:formatCode>
                <c:ptCount val="10"/>
                <c:pt idx="0">
                  <c:v>218.74931045678585</c:v>
                </c:pt>
                <c:pt idx="1">
                  <c:v>118.15802502183853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161-5740-9E84-0E3E38511A3C}"/>
            </c:ext>
          </c:extLst>
        </c:ser>
        <c:ser>
          <c:idx val="4"/>
          <c:order val="1"/>
          <c:tx>
            <c:strRef>
              <c:f>Summary!$N$542</c:f>
              <c:strCache>
                <c:ptCount val="1"/>
                <c:pt idx="0">
                  <c:v>≥25 Gbps</c:v>
                </c:pt>
              </c:strCache>
            </c:strRef>
          </c:tx>
          <c:invertIfNegative val="0"/>
          <c:cat>
            <c:numRef>
              <c:f>Summary!$O$540:$X$540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Summary!$O$542:$X$542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61-5740-9E84-0E3E38511A3C}"/>
            </c:ext>
          </c:extLst>
        </c:ser>
        <c:dLbls>
          <c:showLegendKey val="0"/>
          <c:showVal val="0"/>
          <c:showCatName val="0"/>
          <c:showSerName val="0"/>
          <c:showPercent val="0"/>
          <c:showBubbleSize val="0"/>
        </c:dLbls>
        <c:gapWidth val="150"/>
        <c:overlap val="100"/>
        <c:axId val="43237376"/>
        <c:axId val="43238912"/>
      </c:barChart>
      <c:catAx>
        <c:axId val="43237376"/>
        <c:scaling>
          <c:orientation val="minMax"/>
        </c:scaling>
        <c:delete val="0"/>
        <c:axPos val="b"/>
        <c:numFmt formatCode="General" sourceLinked="1"/>
        <c:majorTickMark val="out"/>
        <c:minorTickMark val="none"/>
        <c:tickLblPos val="nextTo"/>
        <c:txPr>
          <a:bodyPr/>
          <a:lstStyle/>
          <a:p>
            <a:pPr>
              <a:defRPr sz="1200" b="1"/>
            </a:pPr>
            <a:endParaRPr lang="en-US"/>
          </a:p>
        </c:txPr>
        <c:crossAx val="43238912"/>
        <c:crosses val="autoZero"/>
        <c:auto val="1"/>
        <c:lblAlgn val="ctr"/>
        <c:lblOffset val="100"/>
        <c:noMultiLvlLbl val="1"/>
      </c:catAx>
      <c:valAx>
        <c:axId val="43238912"/>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96839425939868E-2"/>
              <c:y val="0.365533150444470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43237376"/>
        <c:crosses val="autoZero"/>
        <c:crossBetween val="between"/>
      </c:valAx>
    </c:plotArea>
    <c:legend>
      <c:legendPos val="r"/>
      <c:layout>
        <c:manualLayout>
          <c:xMode val="edge"/>
          <c:yMode val="edge"/>
          <c:x val="0.83586630600672696"/>
          <c:y val="0.29372084334337001"/>
          <c:w val="0.151940147435906"/>
          <c:h val="0.4272401486508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2016: $1.9 Billion</a:t>
            </a:r>
          </a:p>
        </c:rich>
      </c:tx>
      <c:layout>
        <c:manualLayout>
          <c:xMode val="edge"/>
          <c:yMode val="edge"/>
          <c:x val="0.43504400264632798"/>
          <c:y val="3.1767201939850401E-2"/>
        </c:manualLayout>
      </c:layout>
      <c:overlay val="0"/>
    </c:title>
    <c:autoTitleDeleted val="0"/>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1-4241-3B4A-8810-462C3E34DD7A}"/>
              </c:ext>
            </c:extLst>
          </c:dPt>
          <c:dPt>
            <c:idx val="1"/>
            <c:bubble3D val="0"/>
            <c:extLst xmlns:c16r2="http://schemas.microsoft.com/office/drawing/2015/06/chart">
              <c:ext xmlns:c16="http://schemas.microsoft.com/office/drawing/2014/chart" uri="{C3380CC4-5D6E-409C-BE32-E72D297353CC}">
                <c16:uniqueId val="{00000003-4241-3B4A-8810-462C3E34DD7A}"/>
              </c:ext>
            </c:extLst>
          </c:dPt>
          <c:dPt>
            <c:idx val="2"/>
            <c:bubble3D val="0"/>
            <c:extLst xmlns:c16r2="http://schemas.microsoft.com/office/drawing/2015/06/chart">
              <c:ext xmlns:c16="http://schemas.microsoft.com/office/drawing/2014/chart" uri="{C3380CC4-5D6E-409C-BE32-E72D297353CC}">
                <c16:uniqueId val="{00000005-4241-3B4A-8810-462C3E34DD7A}"/>
              </c:ext>
            </c:extLst>
          </c:dPt>
          <c:dPt>
            <c:idx val="3"/>
            <c:bubble3D val="0"/>
            <c:extLst xmlns:c16r2="http://schemas.microsoft.com/office/drawing/2015/06/chart">
              <c:ext xmlns:c16="http://schemas.microsoft.com/office/drawing/2014/chart" uri="{C3380CC4-5D6E-409C-BE32-E72D297353CC}">
                <c16:uniqueId val="{00000007-4241-3B4A-8810-462C3E34DD7A}"/>
              </c:ext>
            </c:extLst>
          </c:dPt>
          <c:dPt>
            <c:idx val="4"/>
            <c:bubble3D val="0"/>
            <c:extLst xmlns:c16r2="http://schemas.microsoft.com/office/drawing/2015/06/chart">
              <c:ext xmlns:c16="http://schemas.microsoft.com/office/drawing/2014/chart" uri="{C3380CC4-5D6E-409C-BE32-E72D297353CC}">
                <c16:uniqueId val="{00000009-4241-3B4A-8810-462C3E34DD7A}"/>
              </c:ext>
            </c:extLst>
          </c:dPt>
          <c:dPt>
            <c:idx val="5"/>
            <c:bubble3D val="0"/>
            <c:extLst xmlns:c16r2="http://schemas.microsoft.com/office/drawing/2015/06/chart">
              <c:ext xmlns:c16="http://schemas.microsoft.com/office/drawing/2014/chart" uri="{C3380CC4-5D6E-409C-BE32-E72D297353CC}">
                <c16:uniqueId val="{0000000B-4241-3B4A-8810-462C3E34DD7A}"/>
              </c:ext>
            </c:extLst>
          </c:dPt>
          <c:dPt>
            <c:idx val="6"/>
            <c:bubble3D val="0"/>
            <c:extLst xmlns:c16r2="http://schemas.microsoft.com/office/drawing/2015/06/chart">
              <c:ext xmlns:c16="http://schemas.microsoft.com/office/drawing/2014/chart" uri="{C3380CC4-5D6E-409C-BE32-E72D297353CC}">
                <c16:uniqueId val="{0000000D-4241-3B4A-8810-462C3E34DD7A}"/>
              </c:ext>
            </c:extLst>
          </c:dPt>
          <c:dLbls>
            <c:dLbl>
              <c:idx val="1"/>
              <c:layout>
                <c:manualLayout>
                  <c:x val="1.9018975296547506E-2"/>
                  <c:y val="-4.509304943141671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241-3B4A-8810-462C3E34DD7A}"/>
                </c:ext>
              </c:extLst>
            </c:dLbl>
            <c:spPr>
              <a:noFill/>
              <a:ln>
                <a:noFill/>
              </a:ln>
              <a:effectLst/>
            </c:spPr>
            <c:txPr>
              <a:bodyPr rot="0" vert="horz"/>
              <a:lstStyle/>
              <a:p>
                <a:pPr>
                  <a:defRPr sz="1400"/>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'Report data'!$N$13:$N$19</c:f>
              <c:strCache>
                <c:ptCount val="7"/>
                <c:pt idx="0">
                  <c:v>Ethernet </c:v>
                </c:pt>
                <c:pt idx="1">
                  <c:v>Fibre Channel</c:v>
                </c:pt>
                <c:pt idx="2">
                  <c:v>Optical Interconnects</c:v>
                </c:pt>
                <c:pt idx="3">
                  <c:v>CWDM / DWDM</c:v>
                </c:pt>
                <c:pt idx="4">
                  <c:v>Wireless fronthaul</c:v>
                </c:pt>
                <c:pt idx="5">
                  <c:v>Wireless backhaul</c:v>
                </c:pt>
                <c:pt idx="6">
                  <c:v>FTTx</c:v>
                </c:pt>
              </c:strCache>
            </c:strRef>
          </c:cat>
          <c:val>
            <c:numRef>
              <c:f>'Report data'!$O$13:$O$19</c:f>
              <c:numCache>
                <c:formatCode>_("$"* #,##0_);_("$"* \(#,##0\);_("$"* "-"??_);_(@_)</c:formatCode>
                <c:ptCount val="7"/>
                <c:pt idx="0">
                  <c:v>543.19515623754285</c:v>
                </c:pt>
                <c:pt idx="1">
                  <c:v>10.657444375880214</c:v>
                </c:pt>
                <c:pt idx="2">
                  <c:v>50.405769181611902</c:v>
                </c:pt>
                <c:pt idx="3">
                  <c:v>247.00601923400103</c:v>
                </c:pt>
                <c:pt idx="4">
                  <c:v>218.74931045678585</c:v>
                </c:pt>
                <c:pt idx="5">
                  <c:v>10.453308885263413</c:v>
                </c:pt>
                <c:pt idx="6">
                  <c:v>792.3413559550562</c:v>
                </c:pt>
              </c:numCache>
            </c:numRef>
          </c:val>
          <c:extLst xmlns:c16r2="http://schemas.microsoft.com/office/drawing/2015/06/chart">
            <c:ext xmlns:c16="http://schemas.microsoft.com/office/drawing/2014/chart" uri="{C3380CC4-5D6E-409C-BE32-E72D297353CC}">
              <c16:uniqueId val="{0000000E-4241-3B4A-8810-462C3E34DD7A}"/>
            </c:ext>
          </c:extLst>
        </c:ser>
        <c:dLbls>
          <c:dLblPos val="ctr"/>
          <c:showLegendKey val="0"/>
          <c:showVal val="0"/>
          <c:showCatName val="0"/>
          <c:showSerName val="0"/>
          <c:showPercent val="1"/>
          <c:showBubbleSize val="0"/>
          <c:showLeaderLines val="1"/>
        </c:dLbls>
        <c:firstSliceAng val="0"/>
      </c:pieChart>
    </c:plotArea>
    <c:legend>
      <c:legendPos val="r"/>
      <c:layout>
        <c:manualLayout>
          <c:xMode val="edge"/>
          <c:yMode val="edge"/>
          <c:x val="0.65627270514972447"/>
          <c:y val="0.14237934841716801"/>
          <c:w val="0.32407909597469131"/>
          <c:h val="0.82710718556584306"/>
        </c:manualLayout>
      </c:layout>
      <c:overlay val="0"/>
      <c:txPr>
        <a:bodyPr rot="0" vert="horz"/>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415515176082458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vendors'!$C$36:$M$36</c:f>
              <c:numCache>
                <c:formatCode>"$"#,##0_);[Red]\("$"#,##0\)</c:formatCode>
                <c:ptCount val="11"/>
                <c:pt idx="0">
                  <c:v>476.32622243344463</c:v>
                </c:pt>
                <c:pt idx="1">
                  <c:v>665.23959207247253</c:v>
                </c:pt>
              </c:numCache>
            </c:numRef>
          </c:val>
          <c:extLst xmlns:c16r2="http://schemas.microsoft.com/office/drawing/2015/06/chart">
            <c:ext xmlns:c16="http://schemas.microsoft.com/office/drawing/2014/chart" uri="{C3380CC4-5D6E-409C-BE32-E72D297353CC}">
              <c16:uniqueId val="{00000000-5F77-6B48-BB0A-37B03A7773DB}"/>
            </c:ext>
          </c:extLst>
        </c:ser>
        <c:dLbls>
          <c:showLegendKey val="0"/>
          <c:showVal val="0"/>
          <c:showCatName val="0"/>
          <c:showSerName val="0"/>
          <c:showPercent val="0"/>
          <c:showBubbleSize val="0"/>
        </c:dLbls>
        <c:gapWidth val="219"/>
        <c:overlap val="-27"/>
        <c:axId val="82393344"/>
        <c:axId val="82440192"/>
      </c:barChart>
      <c:catAx>
        <c:axId val="8239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440192"/>
        <c:crosses val="autoZero"/>
        <c:auto val="1"/>
        <c:lblAlgn val="ctr"/>
        <c:lblOffset val="100"/>
        <c:noMultiLvlLbl val="0"/>
      </c:catAx>
      <c:valAx>
        <c:axId val="824401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9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732435305091"/>
          <c:y val="5.8025053686471012E-2"/>
          <c:w val="0.83136973167610251"/>
          <c:h val="0.83394416607015054"/>
        </c:manualLayout>
      </c:layout>
      <c:barChart>
        <c:barDir val="col"/>
        <c:grouping val="stacked"/>
        <c:varyColors val="0"/>
        <c:ser>
          <c:idx val="0"/>
          <c:order val="0"/>
          <c:tx>
            <c:strRef>
              <c:f>Summary!$B$174</c:f>
              <c:strCache>
                <c:ptCount val="1"/>
                <c:pt idx="0">
                  <c:v>Ethernet </c:v>
                </c:pt>
              </c:strCache>
            </c:strRef>
          </c:tx>
          <c:spPr>
            <a:solidFill>
              <a:schemeClr val="accent1"/>
            </a:solidFill>
            <a:ln>
              <a:noFill/>
            </a:ln>
            <a:effectLst/>
          </c:spPr>
          <c:invertIfNegative val="0"/>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Summary!$C$174:$L$174</c:f>
              <c:numCache>
                <c:formatCode>_("$"* #,##0_);_("$"* \(#,##0\);_("$"* "-"??_);_(@_)</c:formatCode>
                <c:ptCount val="10"/>
                <c:pt idx="0">
                  <c:v>543.19515623754285</c:v>
                </c:pt>
                <c:pt idx="1">
                  <c:v>461.07615029189253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BE7-2844-B702-49DB64B626C4}"/>
            </c:ext>
          </c:extLst>
        </c:ser>
        <c:ser>
          <c:idx val="2"/>
          <c:order val="1"/>
          <c:tx>
            <c:strRef>
              <c:f>Summary!$B$176</c:f>
              <c:strCache>
                <c:ptCount val="1"/>
                <c:pt idx="0">
                  <c:v>Optical Interconnects</c:v>
                </c:pt>
              </c:strCache>
            </c:strRef>
          </c:tx>
          <c:spPr>
            <a:solidFill>
              <a:schemeClr val="accent3"/>
            </a:solidFill>
            <a:ln>
              <a:noFill/>
            </a:ln>
            <a:effectLst/>
          </c:spPr>
          <c:invertIfNegative val="0"/>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Summary!$C$176:$L$176</c:f>
              <c:numCache>
                <c:formatCode>_("$"* #,##0_);_("$"* \(#,##0\);_("$"* "-"??_);_(@_)</c:formatCode>
                <c:ptCount val="10"/>
                <c:pt idx="0">
                  <c:v>50.405769181611902</c:v>
                </c:pt>
                <c:pt idx="1">
                  <c:v>71.685559160037243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E7-2844-B702-49DB64B626C4}"/>
            </c:ext>
          </c:extLst>
        </c:ser>
        <c:ser>
          <c:idx val="3"/>
          <c:order val="2"/>
          <c:tx>
            <c:strRef>
              <c:f>Summary!$B$177</c:f>
              <c:strCache>
                <c:ptCount val="1"/>
                <c:pt idx="0">
                  <c:v>CWDM / DWDM</c:v>
                </c:pt>
              </c:strCache>
            </c:strRef>
          </c:tx>
          <c:spPr>
            <a:solidFill>
              <a:schemeClr val="accent4"/>
            </a:solidFill>
            <a:ln>
              <a:noFill/>
            </a:ln>
            <a:effectLst/>
          </c:spPr>
          <c:invertIfNegative val="0"/>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Summary!$C$177:$L$177</c:f>
              <c:numCache>
                <c:formatCode>_("$"* #,##0_);_("$"* \(#,##0\);_("$"* "-"??_);_(@_)</c:formatCode>
                <c:ptCount val="10"/>
                <c:pt idx="0">
                  <c:v>247.00601923400103</c:v>
                </c:pt>
                <c:pt idx="1">
                  <c:v>154.30570556633481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BE7-2844-B702-49DB64B626C4}"/>
            </c:ext>
          </c:extLst>
        </c:ser>
        <c:ser>
          <c:idx val="4"/>
          <c:order val="3"/>
          <c:tx>
            <c:strRef>
              <c:f>Summary!$B$178</c:f>
              <c:strCache>
                <c:ptCount val="1"/>
                <c:pt idx="0">
                  <c:v>Wireless fronthaul</c:v>
                </c:pt>
              </c:strCache>
            </c:strRef>
          </c:tx>
          <c:spPr>
            <a:solidFill>
              <a:schemeClr val="accent5"/>
            </a:solidFill>
            <a:ln>
              <a:noFill/>
            </a:ln>
            <a:effectLst/>
          </c:spPr>
          <c:invertIfNegative val="0"/>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Summary!$C$178:$L$178</c:f>
              <c:numCache>
                <c:formatCode>_("$"* #,##0_);_("$"* \(#,##0\);_("$"* "-"??_);_(@_)</c:formatCode>
                <c:ptCount val="10"/>
                <c:pt idx="0">
                  <c:v>218.74931045678585</c:v>
                </c:pt>
                <c:pt idx="1">
                  <c:v>118.15802502183853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BE7-2844-B702-49DB64B626C4}"/>
            </c:ext>
          </c:extLst>
        </c:ser>
        <c:ser>
          <c:idx val="6"/>
          <c:order val="4"/>
          <c:tx>
            <c:strRef>
              <c:f>Summary!$B$180</c:f>
              <c:strCache>
                <c:ptCount val="1"/>
                <c:pt idx="0">
                  <c:v>FTTx</c:v>
                </c:pt>
              </c:strCache>
            </c:strRef>
          </c:tx>
          <c:spPr>
            <a:solidFill>
              <a:schemeClr val="accent1">
                <a:lumMod val="60000"/>
              </a:schemeClr>
            </a:solidFill>
            <a:ln>
              <a:noFill/>
            </a:ln>
            <a:effectLst/>
          </c:spPr>
          <c:invertIfNegative val="0"/>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Summary!$C$180:$L$180</c:f>
              <c:numCache>
                <c:formatCode>_("$"* #,##0_);_("$"* \(#,##0\);_("$"* "-"??_);_(@_)</c:formatCode>
                <c:ptCount val="10"/>
                <c:pt idx="0">
                  <c:v>792.3413559550562</c:v>
                </c:pt>
                <c:pt idx="1">
                  <c:v>629.54144933007183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9BE7-2844-B702-49DB64B626C4}"/>
            </c:ext>
          </c:extLst>
        </c:ser>
        <c:dLbls>
          <c:showLegendKey val="0"/>
          <c:showVal val="0"/>
          <c:showCatName val="0"/>
          <c:showSerName val="0"/>
          <c:showPercent val="0"/>
          <c:showBubbleSize val="0"/>
        </c:dLbls>
        <c:gapWidth val="150"/>
        <c:overlap val="100"/>
        <c:axId val="82728064"/>
        <c:axId val="82729600"/>
      </c:barChart>
      <c:catAx>
        <c:axId val="8272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2729600"/>
        <c:crosses val="autoZero"/>
        <c:auto val="1"/>
        <c:lblAlgn val="ctr"/>
        <c:lblOffset val="100"/>
        <c:noMultiLvlLbl val="0"/>
      </c:catAx>
      <c:valAx>
        <c:axId val="8272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1884514435695539E-2"/>
              <c:y val="0.32354969142370715"/>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2728064"/>
        <c:crosses val="autoZero"/>
        <c:crossBetween val="between"/>
      </c:valAx>
      <c:spPr>
        <a:noFill/>
        <a:ln>
          <a:noFill/>
        </a:ln>
        <a:effectLst/>
      </c:spPr>
    </c:plotArea>
    <c:legend>
      <c:legendPos val="b"/>
      <c:layout>
        <c:manualLayout>
          <c:xMode val="edge"/>
          <c:yMode val="edge"/>
          <c:x val="0.20205045443699704"/>
          <c:y val="7.3294559770937739E-2"/>
          <c:w val="0.45625439795232209"/>
          <c:h val="0.22490801717967071"/>
        </c:manualLayout>
      </c:layout>
      <c:overlay val="0"/>
      <c:spPr>
        <a:solidFill>
          <a:schemeClr val="bg1"/>
        </a:solidFill>
        <a:ln>
          <a:solidFill>
            <a:schemeClr val="tx1">
              <a:lumMod val="65000"/>
              <a:lumOff val="35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layout/>
      <c:overlay val="1"/>
    </c:title>
    <c:autoTitleDeleted val="0"/>
    <c:plotArea>
      <c:layout>
        <c:manualLayout>
          <c:layoutTarget val="inner"/>
          <c:xMode val="edge"/>
          <c:yMode val="edge"/>
          <c:x val="0.16148169823366701"/>
          <c:y val="8.2641458366075796E-2"/>
          <c:w val="0.68587438816769497"/>
          <c:h val="0.79351232171521602"/>
        </c:manualLayout>
      </c:layout>
      <c:lineChart>
        <c:grouping val="standard"/>
        <c:varyColors val="0"/>
        <c:ser>
          <c:idx val="1"/>
          <c:order val="0"/>
          <c:tx>
            <c:strRef>
              <c:f>Summary!$B$705</c:f>
              <c:strCache>
                <c:ptCount val="1"/>
                <c:pt idx="0">
                  <c:v>1 G</c:v>
                </c:pt>
              </c:strCache>
            </c:strRef>
          </c:tx>
          <c:spPr>
            <a:ln>
              <a:solidFill>
                <a:schemeClr val="accent1"/>
              </a:solidFill>
            </a:ln>
          </c:spPr>
          <c:marker>
            <c:symbol val="diamond"/>
            <c:size val="7"/>
            <c:spPr>
              <a:solidFill>
                <a:schemeClr val="accent1"/>
              </a:solidFill>
              <a:ln>
                <a:solidFill>
                  <a:schemeClr val="accent1"/>
                </a:solidFill>
              </a:ln>
            </c:spPr>
          </c:marker>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Summary!$C$705:$L$705</c:f>
              <c:numCache>
                <c:formatCode>_(* #,##0_);_(* \(#,##0\);_(* "-"??_);_(@_)</c:formatCode>
                <c:ptCount val="10"/>
                <c:pt idx="0">
                  <c:v>2863473.6774646235</c:v>
                </c:pt>
                <c:pt idx="1">
                  <c:v>2381256.8681999999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7ACC-C24B-986D-40A0DA5820E8}"/>
            </c:ext>
          </c:extLst>
        </c:ser>
        <c:ser>
          <c:idx val="0"/>
          <c:order val="1"/>
          <c:tx>
            <c:strRef>
              <c:f>Summary!$B$706</c:f>
              <c:strCache>
                <c:ptCount val="1"/>
                <c:pt idx="0">
                  <c:v>10 G</c:v>
                </c:pt>
              </c:strCache>
            </c:strRef>
          </c:tx>
          <c:spPr>
            <a:ln>
              <a:solidFill>
                <a:schemeClr val="accent2"/>
              </a:solidFill>
            </a:ln>
          </c:spPr>
          <c:marker>
            <c:symbol val="square"/>
            <c:size val="5"/>
            <c:spPr>
              <a:solidFill>
                <a:schemeClr val="accent2"/>
              </a:solidFill>
              <a:ln>
                <a:solidFill>
                  <a:schemeClr val="accent2"/>
                </a:solidFill>
              </a:ln>
            </c:spPr>
          </c:marker>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Summary!$C$706:$L$706</c:f>
              <c:numCache>
                <c:formatCode>_(* #,##0_);_(* \(#,##0\);_(* "-"??_);_(@_)</c:formatCode>
                <c:ptCount val="10"/>
                <c:pt idx="0">
                  <c:v>3700420.6170334443</c:v>
                </c:pt>
                <c:pt idx="1">
                  <c:v>4354610.1340645906</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7ACC-C24B-986D-40A0DA5820E8}"/>
            </c:ext>
          </c:extLst>
        </c:ser>
        <c:ser>
          <c:idx val="4"/>
          <c:order val="2"/>
          <c:tx>
            <c:strRef>
              <c:f>Summary!$B$707</c:f>
              <c:strCache>
                <c:ptCount val="1"/>
                <c:pt idx="0">
                  <c:v>25G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Summary!$C$707:$L$707</c:f>
              <c:numCache>
                <c:formatCode>_(* #,##0_);_(* \(#,##0\);_(* "-"??_);_(@_)</c:formatCode>
                <c:ptCount val="10"/>
                <c:pt idx="0">
                  <c:v>584.70000000000005</c:v>
                </c:pt>
                <c:pt idx="1">
                  <c:v>7932.89</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ACC-C24B-986D-40A0DA5820E8}"/>
            </c:ext>
          </c:extLst>
        </c:ser>
        <c:ser>
          <c:idx val="2"/>
          <c:order val="3"/>
          <c:tx>
            <c:strRef>
              <c:f>Summary!$B$708</c:f>
              <c:strCache>
                <c:ptCount val="1"/>
                <c:pt idx="0">
                  <c:v>40 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Summary!$C$708:$L$708</c:f>
              <c:numCache>
                <c:formatCode>_(* #,##0_);_(* \(#,##0\);_(* "-"??_);_(@_)</c:formatCode>
                <c:ptCount val="10"/>
                <c:pt idx="0">
                  <c:v>506625.75399999996</c:v>
                </c:pt>
                <c:pt idx="1">
                  <c:v>776708.81549999979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3-7ACC-C24B-986D-40A0DA5820E8}"/>
            </c:ext>
          </c:extLst>
        </c:ser>
        <c:ser>
          <c:idx val="6"/>
          <c:order val="4"/>
          <c:tx>
            <c:strRef>
              <c:f>Summary!$B$709</c:f>
              <c:strCache>
                <c:ptCount val="1"/>
                <c:pt idx="0">
                  <c:v>50 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Summary!$C$709:$L$709</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7ACC-C24B-986D-40A0DA5820E8}"/>
            </c:ext>
          </c:extLst>
        </c:ser>
        <c:ser>
          <c:idx val="3"/>
          <c:order val="5"/>
          <c:tx>
            <c:strRef>
              <c:f>Summary!$B$710</c:f>
              <c:strCache>
                <c:ptCount val="1"/>
                <c:pt idx="0">
                  <c:v>100 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Summary!$C$710:$L$710</c:f>
              <c:numCache>
                <c:formatCode>_(* #,##0_);_(* \(#,##0\);_(* "-"??_);_(@_)</c:formatCode>
                <c:ptCount val="10"/>
                <c:pt idx="0">
                  <c:v>118616.39500000002</c:v>
                </c:pt>
                <c:pt idx="1">
                  <c:v>256082.33799999999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5-7ACC-C24B-986D-40A0DA5820E8}"/>
            </c:ext>
          </c:extLst>
        </c:ser>
        <c:ser>
          <c:idx val="7"/>
          <c:order val="6"/>
          <c:tx>
            <c:strRef>
              <c:f>Summary!$B$711</c:f>
              <c:strCache>
                <c:ptCount val="1"/>
                <c:pt idx="0">
                  <c:v>200 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Summary!$C$711:$L$711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7ACC-C24B-986D-40A0DA5820E8}"/>
            </c:ext>
          </c:extLst>
        </c:ser>
        <c:ser>
          <c:idx val="5"/>
          <c:order val="7"/>
          <c:tx>
            <c:strRef>
              <c:f>Summary!$B$712</c:f>
              <c:strCache>
                <c:ptCount val="1"/>
                <c:pt idx="0">
                  <c:v>400G</c:v>
                </c:pt>
              </c:strCache>
            </c:strRef>
          </c:tx>
          <c:cat>
            <c:numRef>
              <c:f>Summary!$C$704:$L$704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Summary!$C$712:$L$712</c:f>
              <c:numCache>
                <c:formatCode>_(* #,##0_);_(* \(#,##0\);_(* "-"??_);_(@_)</c:formatCode>
                <c:ptCount val="10"/>
                <c:pt idx="0">
                  <c:v>0</c:v>
                </c:pt>
                <c:pt idx="1">
                  <c:v>16.400000000000002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7ACC-C24B-986D-40A0DA5820E8}"/>
            </c:ext>
          </c:extLst>
        </c:ser>
        <c:dLbls>
          <c:showLegendKey val="0"/>
          <c:showVal val="0"/>
          <c:showCatName val="0"/>
          <c:showSerName val="0"/>
          <c:showPercent val="0"/>
          <c:showBubbleSize val="0"/>
        </c:dLbls>
        <c:marker val="1"/>
        <c:smooth val="0"/>
        <c:axId val="43416192"/>
        <c:axId val="43434368"/>
      </c:lineChart>
      <c:catAx>
        <c:axId val="43416192"/>
        <c:scaling>
          <c:orientation val="minMax"/>
        </c:scaling>
        <c:delete val="0"/>
        <c:axPos val="b"/>
        <c:numFmt formatCode="General" sourceLinked="1"/>
        <c:majorTickMark val="out"/>
        <c:minorTickMark val="none"/>
        <c:tickLblPos val="nextTo"/>
        <c:txPr>
          <a:bodyPr/>
          <a:lstStyle/>
          <a:p>
            <a:pPr>
              <a:defRPr b="1"/>
            </a:pPr>
            <a:endParaRPr lang="en-US"/>
          </a:p>
        </c:txPr>
        <c:crossAx val="43434368"/>
        <c:crosses val="autoZero"/>
        <c:auto val="1"/>
        <c:lblAlgn val="ctr"/>
        <c:lblOffset val="100"/>
        <c:tickLblSkip val="1"/>
        <c:noMultiLvlLbl val="1"/>
      </c:catAx>
      <c:valAx>
        <c:axId val="43434368"/>
        <c:scaling>
          <c:orientation val="minMax"/>
          <c:min val="0"/>
        </c:scaling>
        <c:delete val="0"/>
        <c:axPos val="l"/>
        <c:majorGridlines/>
        <c:title>
          <c:tx>
            <c:rich>
              <a:bodyPr rot="-5400000" vert="horz"/>
              <a:lstStyle/>
              <a:p>
                <a:pPr>
                  <a:defRPr/>
                </a:pPr>
                <a:r>
                  <a:rPr lang="en-US"/>
                  <a:t>Units</a:t>
                </a:r>
              </a:p>
            </c:rich>
          </c:tx>
          <c:layout>
            <c:manualLayout>
              <c:xMode val="edge"/>
              <c:yMode val="edge"/>
              <c:x val="1.3334910253238699E-2"/>
              <c:y val="0.40936774745440802"/>
            </c:manualLayout>
          </c:layout>
          <c:overlay val="0"/>
        </c:title>
        <c:numFmt formatCode="_(* #,##0_);_(* \(#,##0\);_(* &quot;-&quot;??_);_(@_)" sourceLinked="1"/>
        <c:majorTickMark val="out"/>
        <c:minorTickMark val="none"/>
        <c:tickLblPos val="nextTo"/>
        <c:crossAx val="43416192"/>
        <c:crosses val="autoZero"/>
        <c:crossBetween val="between"/>
      </c:valAx>
    </c:plotArea>
    <c:legend>
      <c:legendPos val="r"/>
      <c:layout>
        <c:manualLayout>
          <c:xMode val="edge"/>
          <c:yMode val="edge"/>
          <c:x val="0.872930410725686"/>
          <c:y val="0.111022087146764"/>
          <c:w val="0.106813422505194"/>
          <c:h val="0.81918493110630297"/>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layout/>
      <c:overlay val="1"/>
    </c:title>
    <c:autoTitleDeleted val="0"/>
    <c:plotArea>
      <c:layout>
        <c:manualLayout>
          <c:layoutTarget val="inner"/>
          <c:xMode val="edge"/>
          <c:yMode val="edge"/>
          <c:x val="0.13980120051178915"/>
          <c:y val="8.8065173284493398E-2"/>
          <c:w val="0.73271717387993829"/>
          <c:h val="0.82667437026685997"/>
        </c:manualLayout>
      </c:layout>
      <c:lineChart>
        <c:grouping val="standard"/>
        <c:varyColors val="0"/>
        <c:ser>
          <c:idx val="0"/>
          <c:order val="0"/>
          <c:tx>
            <c:strRef>
              <c:f>Summary!$N$705</c:f>
              <c:strCache>
                <c:ptCount val="1"/>
                <c:pt idx="0">
                  <c:v>1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Summary!$O$705:$X$705</c:f>
              <c:numCache>
                <c:formatCode>_("$"* #,##0_);_("$"* \(#,##0\);_("$"* "-"??_);_(@_)</c:formatCode>
                <c:ptCount val="10"/>
                <c:pt idx="0">
                  <c:v>33.753592950995731</c:v>
                </c:pt>
                <c:pt idx="1">
                  <c:v>24.12801298184791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A39F-5F43-96BE-63F6FD924AB8}"/>
            </c:ext>
          </c:extLst>
        </c:ser>
        <c:ser>
          <c:idx val="1"/>
          <c:order val="1"/>
          <c:tx>
            <c:strRef>
              <c:f>Summary!$N$706</c:f>
              <c:strCache>
                <c:ptCount val="1"/>
                <c:pt idx="0">
                  <c:v>10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Summary!$O$706:$X$706</c:f>
              <c:numCache>
                <c:formatCode>_("$"* #,##0_);_("$"* \(#,##0\);_("$"* "-"??_);_(@_)</c:formatCode>
                <c:ptCount val="10"/>
                <c:pt idx="0">
                  <c:v>125.13761849681907</c:v>
                </c:pt>
                <c:pt idx="1">
                  <c:v>111.17325049723253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A39F-5F43-96BE-63F6FD924AB8}"/>
            </c:ext>
          </c:extLst>
        </c:ser>
        <c:ser>
          <c:idx val="4"/>
          <c:order val="2"/>
          <c:tx>
            <c:strRef>
              <c:f>Summary!$N$707</c:f>
              <c:strCache>
                <c:ptCount val="1"/>
                <c:pt idx="0">
                  <c:v>25G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Summary!$O$707:$X$707</c:f>
              <c:numCache>
                <c:formatCode>_("$"* #,##0_);_("$"* \(#,##0\);_("$"* "-"??_);_(@_)</c:formatCode>
                <c:ptCount val="10"/>
                <c:pt idx="0">
                  <c:v>0.17061530000000003</c:v>
                </c:pt>
                <c:pt idx="1">
                  <c:v>1.3430952714839963</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39F-5F43-96BE-63F6FD924AB8}"/>
            </c:ext>
          </c:extLst>
        </c:ser>
        <c:ser>
          <c:idx val="2"/>
          <c:order val="3"/>
          <c:tx>
            <c:strRef>
              <c:f>Summary!$N$708</c:f>
              <c:strCache>
                <c:ptCount val="1"/>
                <c:pt idx="0">
                  <c:v>40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Summary!$O$708:$X$708</c:f>
              <c:numCache>
                <c:formatCode>_("$"* #,##0_);_("$"* \(#,##0\);_("$"* "-"??_);_(@_)</c:formatCode>
                <c:ptCount val="10"/>
                <c:pt idx="0">
                  <c:v>95.906305971113625</c:v>
                </c:pt>
                <c:pt idx="1">
                  <c:v>143.4496129428216</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3-A39F-5F43-96BE-63F6FD924AB8}"/>
            </c:ext>
          </c:extLst>
        </c:ser>
        <c:ser>
          <c:idx val="6"/>
          <c:order val="4"/>
          <c:tx>
            <c:strRef>
              <c:f>Summary!$N$709</c:f>
              <c:strCache>
                <c:ptCount val="1"/>
                <c:pt idx="0">
                  <c:v>50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Summary!$O$709:$X$709</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A39F-5F43-96BE-63F6FD924AB8}"/>
            </c:ext>
          </c:extLst>
        </c:ser>
        <c:ser>
          <c:idx val="3"/>
          <c:order val="5"/>
          <c:tx>
            <c:strRef>
              <c:f>Summary!$N$710</c:f>
              <c:strCache>
                <c:ptCount val="1"/>
                <c:pt idx="0">
                  <c:v>100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Summary!$O$710:$X$710</c:f>
              <c:numCache>
                <c:formatCode>_("$"* #,##0_);_("$"* \(#,##0\);_("$"* "-"??_);_(@_)</c:formatCode>
                <c:ptCount val="10"/>
                <c:pt idx="0">
                  <c:v>298.68033240387786</c:v>
                </c:pt>
                <c:pt idx="1">
                  <c:v>227.23482996170949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5-A39F-5F43-96BE-63F6FD924AB8}"/>
            </c:ext>
          </c:extLst>
        </c:ser>
        <c:ser>
          <c:idx val="7"/>
          <c:order val="6"/>
          <c:tx>
            <c:strRef>
              <c:f>Summary!$N$711</c:f>
              <c:strCache>
                <c:ptCount val="1"/>
                <c:pt idx="0">
                  <c:v>200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Summary!$O$711:$X$711</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A39F-5F43-96BE-63F6FD924AB8}"/>
            </c:ext>
          </c:extLst>
        </c:ser>
        <c:ser>
          <c:idx val="5"/>
          <c:order val="7"/>
          <c:tx>
            <c:strRef>
              <c:f>Summary!$N$712</c:f>
              <c:strCache>
                <c:ptCount val="1"/>
                <c:pt idx="0">
                  <c:v>400G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Summary!$O$712:$X$712</c:f>
              <c:numCache>
                <c:formatCode>_("$"* #,##0_);_("$"* \(#,##0\);_("$"* "-"??_);_(@_)</c:formatCode>
                <c:ptCount val="10"/>
                <c:pt idx="1">
                  <c:v>0.25340000000000007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A39F-5F43-96BE-63F6FD924AB8}"/>
            </c:ext>
          </c:extLst>
        </c:ser>
        <c:dLbls>
          <c:showLegendKey val="0"/>
          <c:showVal val="0"/>
          <c:showCatName val="0"/>
          <c:showSerName val="0"/>
          <c:showPercent val="0"/>
          <c:showBubbleSize val="0"/>
        </c:dLbls>
        <c:marker val="1"/>
        <c:smooth val="0"/>
        <c:axId val="43460480"/>
        <c:axId val="43462016"/>
      </c:lineChart>
      <c:catAx>
        <c:axId val="43460480"/>
        <c:scaling>
          <c:orientation val="minMax"/>
        </c:scaling>
        <c:delete val="0"/>
        <c:axPos val="b"/>
        <c:numFmt formatCode="General" sourceLinked="1"/>
        <c:majorTickMark val="out"/>
        <c:minorTickMark val="none"/>
        <c:tickLblPos val="nextTo"/>
        <c:txPr>
          <a:bodyPr/>
          <a:lstStyle/>
          <a:p>
            <a:pPr>
              <a:defRPr b="1"/>
            </a:pPr>
            <a:endParaRPr lang="en-US"/>
          </a:p>
        </c:txPr>
        <c:crossAx val="43462016"/>
        <c:crosses val="autoZero"/>
        <c:auto val="1"/>
        <c:lblAlgn val="ctr"/>
        <c:lblOffset val="100"/>
        <c:tickLblSkip val="1"/>
        <c:noMultiLvlLbl val="1"/>
      </c:catAx>
      <c:valAx>
        <c:axId val="43462016"/>
        <c:scaling>
          <c:orientation val="minMax"/>
          <c:min val="0"/>
        </c:scaling>
        <c:delete val="0"/>
        <c:axPos val="l"/>
        <c:majorGridlines/>
        <c:title>
          <c:tx>
            <c:rich>
              <a:bodyPr rot="-5400000" vert="horz"/>
              <a:lstStyle/>
              <a:p>
                <a:pPr>
                  <a:defRPr/>
                </a:pPr>
                <a:r>
                  <a:rPr lang="en-US"/>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crossAx val="43460480"/>
        <c:crosses val="autoZero"/>
        <c:crossBetween val="between"/>
      </c:valAx>
    </c:plotArea>
    <c:legend>
      <c:legendPos val="r"/>
      <c:layout>
        <c:manualLayout>
          <c:xMode val="edge"/>
          <c:yMode val="edge"/>
          <c:x val="0.86407798783329359"/>
          <c:y val="0.13093151169493999"/>
          <c:w val="0.12208773631245513"/>
          <c:h val="0.759092979380671"/>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52482192388121"/>
          <c:y val="6.960488219132599E-2"/>
          <c:w val="0.68081028569845259"/>
          <c:h val="0.81300065313665215"/>
        </c:manualLayout>
      </c:layout>
      <c:lineChart>
        <c:grouping val="standard"/>
        <c:varyColors val="0"/>
        <c:ser>
          <c:idx val="0"/>
          <c:order val="0"/>
          <c:tx>
            <c:strRef>
              <c:f>Summary!$B$745</c:f>
              <c:strCache>
                <c:ptCount val="1"/>
                <c:pt idx="0">
                  <c:v>100-300 m</c:v>
                </c:pt>
              </c:strCache>
            </c:strRef>
          </c:tx>
          <c:cat>
            <c:numRef>
              <c:f>Summary!$C$744:$L$744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Summary!$C$745:$L$745</c:f>
              <c:numCache>
                <c:formatCode>_(* #,##0_);_(* \(#,##0\);_(* "-"??_);_(@_)</c:formatCode>
                <c:ptCount val="10"/>
                <c:pt idx="0">
                  <c:v>28869.035000000003</c:v>
                </c:pt>
                <c:pt idx="1">
                  <c:v>125017.50000000001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AA00-7747-8534-B250B65C5EB2}"/>
            </c:ext>
          </c:extLst>
        </c:ser>
        <c:ser>
          <c:idx val="3"/>
          <c:order val="1"/>
          <c:tx>
            <c:strRef>
              <c:f>Summary!$B$746</c:f>
              <c:strCache>
                <c:ptCount val="1"/>
                <c:pt idx="0">
                  <c:v>500 m</c:v>
                </c:pt>
              </c:strCache>
            </c:strRef>
          </c:tx>
          <c:cat>
            <c:numRef>
              <c:f>Summary!$C$744:$L$744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Summary!$C$746:$L$746</c:f>
              <c:numCache>
                <c:formatCode>_(* #,##0_);_(* \(#,##0\);_(* "-"??_);_(@_)</c:formatCode>
                <c:ptCount val="10"/>
                <c:pt idx="0">
                  <c:v>0</c:v>
                </c:pt>
                <c:pt idx="1">
                  <c:v>27869.002000000004</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A00-7747-8534-B250B65C5EB2}"/>
            </c:ext>
          </c:extLst>
        </c:ser>
        <c:ser>
          <c:idx val="1"/>
          <c:order val="2"/>
          <c:tx>
            <c:strRef>
              <c:f>Summary!$B$747</c:f>
              <c:strCache>
                <c:ptCount val="1"/>
                <c:pt idx="0">
                  <c:v>2 km</c:v>
                </c:pt>
              </c:strCache>
            </c:strRef>
          </c:tx>
          <c:cat>
            <c:numRef>
              <c:f>Summary!$C$744:$L$744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Summary!$C$747:$L$747</c:f>
              <c:numCache>
                <c:formatCode>_(* #,##0_);_(* \(#,##0\);_(* "-"??_);_(@_)</c:formatCode>
                <c:ptCount val="10"/>
                <c:pt idx="0">
                  <c:v>0</c:v>
                </c:pt>
                <c:pt idx="1">
                  <c:v>5857.8180000000002</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AA00-7747-8534-B250B65C5EB2}"/>
            </c:ext>
          </c:extLst>
        </c:ser>
        <c:ser>
          <c:idx val="4"/>
          <c:order val="3"/>
          <c:tx>
            <c:strRef>
              <c:f>Summary!$B$748</c:f>
              <c:strCache>
                <c:ptCount val="1"/>
                <c:pt idx="0">
                  <c:v>10-20 km</c:v>
                </c:pt>
              </c:strCache>
            </c:strRef>
          </c:tx>
          <c:cat>
            <c:numRef>
              <c:f>Summary!$C$744:$L$744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Summary!$C$748:$L$748</c:f>
              <c:numCache>
                <c:formatCode>_(* #,##0_);_(* \(#,##0\);_(* "-"??_);_(@_)</c:formatCode>
                <c:ptCount val="10"/>
                <c:pt idx="0">
                  <c:v>88107.040000000008</c:v>
                </c:pt>
                <c:pt idx="1">
                  <c:v>94872.737999999983</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A00-7747-8534-B250B65C5EB2}"/>
            </c:ext>
          </c:extLst>
        </c:ser>
        <c:ser>
          <c:idx val="2"/>
          <c:order val="4"/>
          <c:tx>
            <c:strRef>
              <c:f>Summary!$B$749</c:f>
              <c:strCache>
                <c:ptCount val="1"/>
                <c:pt idx="0">
                  <c:v>40 km</c:v>
                </c:pt>
              </c:strCache>
            </c:strRef>
          </c:tx>
          <c:cat>
            <c:numRef>
              <c:f>Summary!$C$744:$L$744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Summary!$C$749:$L$749</c:f>
              <c:numCache>
                <c:formatCode>_(* #,##0_);_(* \(#,##0\);_(* "-"??_);_(@_)</c:formatCode>
                <c:ptCount val="10"/>
                <c:pt idx="0">
                  <c:v>1640.32</c:v>
                </c:pt>
                <c:pt idx="1">
                  <c:v>2465.2799999999997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5F7-A346-8AEA-752D762F976B}"/>
            </c:ext>
          </c:extLst>
        </c:ser>
        <c:dLbls>
          <c:showLegendKey val="0"/>
          <c:showVal val="0"/>
          <c:showCatName val="0"/>
          <c:showSerName val="0"/>
          <c:showPercent val="0"/>
          <c:showBubbleSize val="0"/>
        </c:dLbls>
        <c:marker val="1"/>
        <c:smooth val="0"/>
        <c:axId val="43484288"/>
        <c:axId val="43485824"/>
      </c:lineChart>
      <c:catAx>
        <c:axId val="43484288"/>
        <c:scaling>
          <c:orientation val="minMax"/>
        </c:scaling>
        <c:delete val="0"/>
        <c:axPos val="b"/>
        <c:numFmt formatCode="General" sourceLinked="1"/>
        <c:majorTickMark val="out"/>
        <c:minorTickMark val="none"/>
        <c:tickLblPos val="nextTo"/>
        <c:txPr>
          <a:bodyPr/>
          <a:lstStyle/>
          <a:p>
            <a:pPr>
              <a:defRPr b="0"/>
            </a:pPr>
            <a:endParaRPr lang="en-US"/>
          </a:p>
        </c:txPr>
        <c:crossAx val="43485824"/>
        <c:crosses val="autoZero"/>
        <c:auto val="1"/>
        <c:lblAlgn val="ctr"/>
        <c:lblOffset val="100"/>
        <c:noMultiLvlLbl val="1"/>
      </c:catAx>
      <c:valAx>
        <c:axId val="43485824"/>
        <c:scaling>
          <c:orientation val="minMax"/>
          <c:min val="0"/>
        </c:scaling>
        <c:delete val="0"/>
        <c:axPos val="l"/>
        <c:majorGridlines/>
        <c:title>
          <c:tx>
            <c:rich>
              <a:bodyPr rot="-5400000" vert="horz"/>
              <a:lstStyle/>
              <a:p>
                <a:pPr>
                  <a:defRPr sz="1600" b="0"/>
                </a:pPr>
                <a:r>
                  <a:rPr lang="en-US" sz="1600" b="0"/>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43484288"/>
        <c:crosses val="autoZero"/>
        <c:crossBetween val="between"/>
      </c:valAx>
    </c:plotArea>
    <c:legend>
      <c:legendPos val="r"/>
      <c:layout>
        <c:manualLayout>
          <c:xMode val="edge"/>
          <c:yMode val="edge"/>
          <c:x val="0.86387429925047399"/>
          <c:y val="7.5717065764274796E-2"/>
          <c:w val="0.13115994846943183"/>
          <c:h val="0.29448001848600136"/>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- 100 GbE transceivers by reach</a:t>
            </a:r>
          </a:p>
        </c:rich>
      </c:tx>
      <c:layout/>
      <c:overlay val="1"/>
    </c:title>
    <c:autoTitleDeleted val="0"/>
    <c:plotArea>
      <c:layout>
        <c:manualLayout>
          <c:layoutTarget val="inner"/>
          <c:xMode val="edge"/>
          <c:yMode val="edge"/>
          <c:x val="0.143614068674255"/>
          <c:y val="0.106068173175442"/>
          <c:w val="0.71534113607049299"/>
          <c:h val="0.77695321386878202"/>
        </c:manualLayout>
      </c:layout>
      <c:lineChart>
        <c:grouping val="standard"/>
        <c:varyColors val="0"/>
        <c:ser>
          <c:idx val="0"/>
          <c:order val="0"/>
          <c:tx>
            <c:strRef>
              <c:f>Summary!$N$745</c:f>
              <c:strCache>
                <c:ptCount val="1"/>
                <c:pt idx="0">
                  <c:v>100-300 m</c:v>
                </c:pt>
              </c:strCache>
            </c:strRef>
          </c:tx>
          <c:cat>
            <c:numRef>
              <c:f>Summary!$O$744:$X$744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Summary!$O$745:$X$745</c:f>
              <c:numCache>
                <c:formatCode>_("$"* #,##0_);_("$"* \(#,##0\);_("$"* "-"??_);_(@_)</c:formatCode>
                <c:ptCount val="10"/>
                <c:pt idx="0">
                  <c:v>8.4134355900000006</c:v>
                </c:pt>
                <c:pt idx="1">
                  <c:v>23.236572126144001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BF51-5C41-9629-E029EEFD11F8}"/>
            </c:ext>
          </c:extLst>
        </c:ser>
        <c:ser>
          <c:idx val="3"/>
          <c:order val="1"/>
          <c:tx>
            <c:strRef>
              <c:f>Summary!$N$746</c:f>
              <c:strCache>
                <c:ptCount val="1"/>
                <c:pt idx="0">
                  <c:v>500 m</c:v>
                </c:pt>
              </c:strCache>
            </c:strRef>
          </c:tx>
          <c:cat>
            <c:numRef>
              <c:f>Summary!$O$744:$X$744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Summary!$O$746:$X$746</c:f>
              <c:numCache>
                <c:formatCode>_("$"* #,##0_);_("$"* \(#,##0\);_("$"* "-"??_);_(@_)</c:formatCode>
                <c:ptCount val="10"/>
                <c:pt idx="0">
                  <c:v>0</c:v>
                </c:pt>
                <c:pt idx="1">
                  <c:v>9.3125889599999994</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BF51-5C41-9629-E029EEFD11F8}"/>
            </c:ext>
          </c:extLst>
        </c:ser>
        <c:ser>
          <c:idx val="1"/>
          <c:order val="2"/>
          <c:tx>
            <c:strRef>
              <c:f>Summary!$N$747</c:f>
              <c:strCache>
                <c:ptCount val="1"/>
                <c:pt idx="0">
                  <c:v>2 km</c:v>
                </c:pt>
              </c:strCache>
            </c:strRef>
          </c:tx>
          <c:cat>
            <c:numRef>
              <c:f>Summary!$O$744:$X$744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Summary!$O$747:$X$747</c:f>
              <c:numCache>
                <c:formatCode>_("$"* #,##0_);_("$"* \(#,##0\);_("$"* "-"??_);_(@_)</c:formatCode>
                <c:ptCount val="10"/>
                <c:pt idx="0">
                  <c:v>0</c:v>
                </c:pt>
                <c:pt idx="1">
                  <c:v>3.8075817000000001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BF51-5C41-9629-E029EEFD11F8}"/>
            </c:ext>
          </c:extLst>
        </c:ser>
        <c:ser>
          <c:idx val="4"/>
          <c:order val="3"/>
          <c:tx>
            <c:strRef>
              <c:f>Summary!$N$748</c:f>
              <c:strCache>
                <c:ptCount val="1"/>
                <c:pt idx="0">
                  <c:v>10-20 km</c:v>
                </c:pt>
              </c:strCache>
            </c:strRef>
          </c:tx>
          <c:cat>
            <c:numRef>
              <c:f>Summary!$O$744:$X$744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Summary!$O$748:$X$748</c:f>
              <c:numCache>
                <c:formatCode>_("$"* #,##0_);_("$"* \(#,##0\);_("$"* "-"??_);_(@_)</c:formatCode>
                <c:ptCount val="10"/>
                <c:pt idx="0">
                  <c:v>275.51654796896685</c:v>
                </c:pt>
                <c:pt idx="1">
                  <c:v>175.9805796164346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BF51-5C41-9629-E029EEFD11F8}"/>
            </c:ext>
          </c:extLst>
        </c:ser>
        <c:ser>
          <c:idx val="2"/>
          <c:order val="4"/>
          <c:tx>
            <c:strRef>
              <c:f>Summary!$N$749</c:f>
              <c:strCache>
                <c:ptCount val="1"/>
                <c:pt idx="0">
                  <c:v>40 km</c:v>
                </c:pt>
              </c:strCache>
            </c:strRef>
          </c:tx>
          <c:cat>
            <c:numRef>
              <c:f>Summary!$O$744:$X$744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Summary!$O$749:$X$749</c:f>
              <c:numCache>
                <c:formatCode>_("$"* #,##0_);_("$"* \(#,##0\);_("$"* "-"??_);_(@_)</c:formatCode>
                <c:ptCount val="10"/>
                <c:pt idx="0">
                  <c:v>14.750348844910976</c:v>
                </c:pt>
                <c:pt idx="1">
                  <c:v>14.897507559130903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4-BF51-5C41-9629-E029EEFD11F8}"/>
            </c:ext>
          </c:extLst>
        </c:ser>
        <c:dLbls>
          <c:showLegendKey val="0"/>
          <c:showVal val="0"/>
          <c:showCatName val="0"/>
          <c:showSerName val="0"/>
          <c:showPercent val="0"/>
          <c:showBubbleSize val="0"/>
        </c:dLbls>
        <c:marker val="1"/>
        <c:smooth val="0"/>
        <c:axId val="45432832"/>
        <c:axId val="45434368"/>
      </c:lineChart>
      <c:catAx>
        <c:axId val="45432832"/>
        <c:scaling>
          <c:orientation val="minMax"/>
        </c:scaling>
        <c:delete val="0"/>
        <c:axPos val="b"/>
        <c:numFmt formatCode="General" sourceLinked="1"/>
        <c:majorTickMark val="out"/>
        <c:minorTickMark val="none"/>
        <c:tickLblPos val="nextTo"/>
        <c:txPr>
          <a:bodyPr/>
          <a:lstStyle/>
          <a:p>
            <a:pPr>
              <a:defRPr b="1"/>
            </a:pPr>
            <a:endParaRPr lang="en-US"/>
          </a:p>
        </c:txPr>
        <c:crossAx val="45434368"/>
        <c:crosses val="autoZero"/>
        <c:auto val="1"/>
        <c:lblAlgn val="ctr"/>
        <c:lblOffset val="100"/>
        <c:tickLblSkip val="1"/>
        <c:noMultiLvlLbl val="1"/>
      </c:catAx>
      <c:valAx>
        <c:axId val="45434368"/>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45432832"/>
        <c:crosses val="autoZero"/>
        <c:crossBetween val="between"/>
      </c:valAx>
    </c:plotArea>
    <c:legend>
      <c:legendPos val="r"/>
      <c:layout>
        <c:manualLayout>
          <c:xMode val="edge"/>
          <c:yMode val="edge"/>
          <c:x val="0.86906997531633601"/>
          <c:y val="0.138705045110572"/>
          <c:w val="0.123360595023585"/>
          <c:h val="0.76607328786572904"/>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sales by segment
</a:t>
            </a:r>
          </a:p>
        </c:rich>
      </c:tx>
      <c:layout/>
      <c:overlay val="1"/>
    </c:title>
    <c:autoTitleDeleted val="0"/>
    <c:plotArea>
      <c:layout>
        <c:manualLayout>
          <c:layoutTarget val="inner"/>
          <c:xMode val="edge"/>
          <c:yMode val="edge"/>
          <c:x val="0.187373029924394"/>
          <c:y val="0.106272060455931"/>
          <c:w val="0.79644194548935499"/>
          <c:h val="0.78628717588645303"/>
        </c:manualLayout>
      </c:layout>
      <c:lineChart>
        <c:grouping val="standard"/>
        <c:varyColors val="0"/>
        <c:ser>
          <c:idx val="1"/>
          <c:order val="0"/>
          <c:tx>
            <c:strRef>
              <c:f>Summary!$B$174</c:f>
              <c:strCache>
                <c:ptCount val="1"/>
                <c:pt idx="0">
                  <c:v>Ethernet </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Summary!$C$174:$L$174</c:f>
              <c:numCache>
                <c:formatCode>_("$"* #,##0_);_("$"* \(#,##0\);_("$"* "-"??_);_(@_)</c:formatCode>
                <c:ptCount val="10"/>
                <c:pt idx="0">
                  <c:v>543.19515623754285</c:v>
                </c:pt>
                <c:pt idx="1">
                  <c:v>461.07615029189253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B508-2E4D-82D3-65F1B92AEBBA}"/>
            </c:ext>
          </c:extLst>
        </c:ser>
        <c:ser>
          <c:idx val="2"/>
          <c:order val="1"/>
          <c:tx>
            <c:strRef>
              <c:f>Summary!$B$175</c:f>
              <c:strCache>
                <c:ptCount val="1"/>
                <c:pt idx="0">
                  <c:v>Fibre Channel</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Summary!$C$175:$L$175</c:f>
              <c:numCache>
                <c:formatCode>_("$"* #,##0_);_("$"* \(#,##0\);_("$"* "-"??_);_(@_)</c:formatCode>
                <c:ptCount val="10"/>
                <c:pt idx="0">
                  <c:v>10.657444375880214</c:v>
                </c:pt>
                <c:pt idx="1">
                  <c:v>11.524866549999999</c:v>
                </c:pt>
                <c:pt idx="2">
                  <c:v>10.921111333335626</c:v>
                </c:pt>
                <c:pt idx="3">
                  <c:v>13.552297526806322</c:v>
                </c:pt>
                <c:pt idx="4">
                  <c:v>8.8829694422876546</c:v>
                </c:pt>
                <c:pt idx="5">
                  <c:v>11.536689220288185</c:v>
                </c:pt>
                <c:pt idx="6">
                  <c:v>15.011959051941806</c:v>
                </c:pt>
                <c:pt idx="7">
                  <c:v>16.214403415477143</c:v>
                </c:pt>
                <c:pt idx="8">
                  <c:v>15.823849399009243</c:v>
                </c:pt>
                <c:pt idx="9">
                  <c:v>15.568040542529685</c:v>
                </c:pt>
              </c:numCache>
            </c:numRef>
          </c:val>
          <c:smooth val="1"/>
          <c:extLst xmlns:c16r2="http://schemas.microsoft.com/office/drawing/2015/06/chart">
            <c:ext xmlns:c16="http://schemas.microsoft.com/office/drawing/2014/chart" uri="{C3380CC4-5D6E-409C-BE32-E72D297353CC}">
              <c16:uniqueId val="{00000001-B508-2E4D-82D3-65F1B92AEBBA}"/>
            </c:ext>
          </c:extLst>
        </c:ser>
        <c:ser>
          <c:idx val="4"/>
          <c:order val="2"/>
          <c:tx>
            <c:strRef>
              <c:f>Summary!$B$176</c:f>
              <c:strCache>
                <c:ptCount val="1"/>
                <c:pt idx="0">
                  <c:v>Optical Interconnects</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Summary!$C$176:$L$176</c:f>
              <c:numCache>
                <c:formatCode>_("$"* #,##0_);_("$"* \(#,##0\);_("$"* "-"??_);_(@_)</c:formatCode>
                <c:ptCount val="10"/>
                <c:pt idx="0">
                  <c:v>50.405769181611902</c:v>
                </c:pt>
                <c:pt idx="1">
                  <c:v>71.685559160037243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B508-2E4D-82D3-65F1B92AEBBA}"/>
            </c:ext>
          </c:extLst>
        </c:ser>
        <c:dLbls>
          <c:showLegendKey val="0"/>
          <c:showVal val="0"/>
          <c:showCatName val="0"/>
          <c:showSerName val="0"/>
          <c:showPercent val="0"/>
          <c:showBubbleSize val="0"/>
        </c:dLbls>
        <c:marker val="1"/>
        <c:smooth val="0"/>
        <c:axId val="45458176"/>
        <c:axId val="45459712"/>
      </c:lineChart>
      <c:catAx>
        <c:axId val="45458176"/>
        <c:scaling>
          <c:orientation val="minMax"/>
        </c:scaling>
        <c:delete val="0"/>
        <c:axPos val="b"/>
        <c:numFmt formatCode="General" sourceLinked="1"/>
        <c:majorTickMark val="out"/>
        <c:minorTickMark val="none"/>
        <c:tickLblPos val="nextTo"/>
        <c:txPr>
          <a:bodyPr/>
          <a:lstStyle/>
          <a:p>
            <a:pPr>
              <a:defRPr sz="1200" b="0"/>
            </a:pPr>
            <a:endParaRPr lang="en-US"/>
          </a:p>
        </c:txPr>
        <c:crossAx val="45459712"/>
        <c:crosses val="autoZero"/>
        <c:auto val="1"/>
        <c:lblAlgn val="ctr"/>
        <c:lblOffset val="100"/>
        <c:noMultiLvlLbl val="1"/>
      </c:catAx>
      <c:valAx>
        <c:axId val="45459712"/>
        <c:scaling>
          <c:orientation val="minMax"/>
          <c:min val="0"/>
        </c:scaling>
        <c:delete val="0"/>
        <c:axPos val="l"/>
        <c:majorGridlines/>
        <c:title>
          <c:tx>
            <c:rich>
              <a:bodyPr rot="-5400000" vert="horz"/>
              <a:lstStyle/>
              <a:p>
                <a:pPr>
                  <a:defRPr sz="1400">
                    <a:latin typeface="+mn-lt"/>
                  </a:defRPr>
                </a:pPr>
                <a:r>
                  <a:rPr lang="en-US" sz="1400">
                    <a:latin typeface="+mn-lt"/>
                  </a:rPr>
                  <a:t>Revenues ($ M)</a:t>
                </a:r>
              </a:p>
            </c:rich>
          </c:tx>
          <c:layout>
            <c:manualLayout>
              <c:xMode val="edge"/>
              <c:yMode val="edge"/>
              <c:x val="1.8283259702862601E-2"/>
              <c:y val="0.397297758162394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45458176"/>
        <c:crosses val="autoZero"/>
        <c:crossBetween val="between"/>
      </c:valAx>
    </c:plotArea>
    <c:legend>
      <c:legendPos val="t"/>
      <c:layout>
        <c:manualLayout>
          <c:xMode val="edge"/>
          <c:yMode val="edge"/>
          <c:x val="0.232729587651371"/>
          <c:y val="0.116558703699974"/>
          <c:w val="0.67230222899579295"/>
          <c:h val="7.4205727131791702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China market only - Transceiver sales by segment</a:t>
            </a:r>
            <a:endParaRPr lang="en-US">
              <a:effectLst/>
            </a:endParaRPr>
          </a:p>
        </c:rich>
      </c:tx>
      <c:layout>
        <c:manualLayout>
          <c:xMode val="edge"/>
          <c:yMode val="edge"/>
          <c:x val="0.215438095776149"/>
          <c:y val="1.97206295901577E-2"/>
        </c:manualLayout>
      </c:layout>
      <c:overlay val="1"/>
    </c:title>
    <c:autoTitleDeleted val="0"/>
    <c:plotArea>
      <c:layout>
        <c:manualLayout>
          <c:layoutTarget val="inner"/>
          <c:xMode val="edge"/>
          <c:yMode val="edge"/>
          <c:x val="0.18538987240768101"/>
          <c:y val="0.116934016636758"/>
          <c:w val="0.79394912936635598"/>
          <c:h val="0.77320525448670196"/>
        </c:manualLayout>
      </c:layout>
      <c:lineChart>
        <c:grouping val="standard"/>
        <c:varyColors val="0"/>
        <c:ser>
          <c:idx val="0"/>
          <c:order val="0"/>
          <c:tx>
            <c:strRef>
              <c:f>Summary!$B$177</c:f>
              <c:strCache>
                <c:ptCount val="1"/>
                <c:pt idx="0">
                  <c:v>CWDM / DWDM</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Summary!$C$177:$L$177</c:f>
              <c:numCache>
                <c:formatCode>_("$"* #,##0_);_("$"* \(#,##0\);_("$"* "-"??_);_(@_)</c:formatCode>
                <c:ptCount val="10"/>
                <c:pt idx="0">
                  <c:v>247.00601923400103</c:v>
                </c:pt>
                <c:pt idx="1">
                  <c:v>154.30570556633481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B103-8348-B636-B5E3F81A1C34}"/>
            </c:ext>
          </c:extLst>
        </c:ser>
        <c:ser>
          <c:idx val="5"/>
          <c:order val="1"/>
          <c:tx>
            <c:strRef>
              <c:f>Summary!$B$178</c:f>
              <c:strCache>
                <c:ptCount val="1"/>
                <c:pt idx="0">
                  <c:v>Wireless fronthaul</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Summary!$C$178:$L$178</c:f>
              <c:numCache>
                <c:formatCode>_("$"* #,##0_);_("$"* \(#,##0\);_("$"* "-"??_);_(@_)</c:formatCode>
                <c:ptCount val="10"/>
                <c:pt idx="0">
                  <c:v>218.74931045678585</c:v>
                </c:pt>
                <c:pt idx="1">
                  <c:v>118.15802502183853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B103-8348-B636-B5E3F81A1C34}"/>
            </c:ext>
          </c:extLst>
        </c:ser>
        <c:ser>
          <c:idx val="4"/>
          <c:order val="2"/>
          <c:tx>
            <c:strRef>
              <c:f>Summary!$B$180</c:f>
              <c:strCache>
                <c:ptCount val="1"/>
                <c:pt idx="0">
                  <c:v>FTTx</c:v>
                </c:pt>
              </c:strCache>
            </c:strRef>
          </c:tx>
          <c:cat>
            <c:numRef>
              <c:f>Summary!$C$173:$L$173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Summary!$C$180:$L$180</c:f>
              <c:numCache>
                <c:formatCode>_("$"* #,##0_);_("$"* \(#,##0\);_("$"* "-"??_);_(@_)</c:formatCode>
                <c:ptCount val="10"/>
                <c:pt idx="0">
                  <c:v>792.3413559550562</c:v>
                </c:pt>
                <c:pt idx="1">
                  <c:v>629.54144933007183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B103-8348-B636-B5E3F81A1C34}"/>
            </c:ext>
          </c:extLst>
        </c:ser>
        <c:dLbls>
          <c:showLegendKey val="0"/>
          <c:showVal val="0"/>
          <c:showCatName val="0"/>
          <c:showSerName val="0"/>
          <c:showPercent val="0"/>
          <c:showBubbleSize val="0"/>
        </c:dLbls>
        <c:marker val="1"/>
        <c:smooth val="0"/>
        <c:axId val="45479424"/>
        <c:axId val="45480960"/>
      </c:lineChart>
      <c:catAx>
        <c:axId val="45479424"/>
        <c:scaling>
          <c:orientation val="minMax"/>
        </c:scaling>
        <c:delete val="0"/>
        <c:axPos val="b"/>
        <c:numFmt formatCode="General" sourceLinked="1"/>
        <c:majorTickMark val="out"/>
        <c:minorTickMark val="none"/>
        <c:tickLblPos val="nextTo"/>
        <c:txPr>
          <a:bodyPr/>
          <a:lstStyle/>
          <a:p>
            <a:pPr>
              <a:defRPr sz="1200" b="0"/>
            </a:pPr>
            <a:endParaRPr lang="en-US"/>
          </a:p>
        </c:txPr>
        <c:crossAx val="45480960"/>
        <c:crosses val="autoZero"/>
        <c:auto val="1"/>
        <c:lblAlgn val="ctr"/>
        <c:lblOffset val="100"/>
        <c:noMultiLvlLbl val="1"/>
      </c:catAx>
      <c:valAx>
        <c:axId val="45480960"/>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2.1594723176963398E-2"/>
              <c:y val="0.3929076210112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45479424"/>
        <c:crosses val="autoZero"/>
        <c:crossBetween val="between"/>
      </c:valAx>
    </c:plotArea>
    <c:legend>
      <c:legendPos val="t"/>
      <c:layout>
        <c:manualLayout>
          <c:xMode val="edge"/>
          <c:yMode val="edge"/>
          <c:x val="0.17041665184527999"/>
          <c:y val="0.13151951850607699"/>
          <c:w val="0.82754936567952697"/>
          <c:h val="7.5453439733888003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024682003121143"/>
          <c:y val="5.450637398284551E-2"/>
          <c:w val="0.82532125972818704"/>
          <c:h val="0.83732913229167905"/>
        </c:manualLayout>
      </c:layout>
      <c:barChart>
        <c:barDir val="col"/>
        <c:grouping val="clustered"/>
        <c:varyColors val="0"/>
        <c:ser>
          <c:idx val="0"/>
          <c:order val="0"/>
          <c:tx>
            <c:strRef>
              <c:f>Summary!$B$343</c:f>
              <c:strCache>
                <c:ptCount val="1"/>
                <c:pt idx="0">
                  <c:v>All CWDM</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Summary!$C$343:$L$343</c:f>
              <c:numCache>
                <c:formatCode>_(* #,##0_);_(* \(#,##0\);_(* "-"??_);_(@_)</c:formatCode>
                <c:ptCount val="10"/>
                <c:pt idx="0">
                  <c:v>169680.78000000003</c:v>
                </c:pt>
                <c:pt idx="1">
                  <c:v>102332.38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43B-C54E-8AFE-5AB216F2A100}"/>
            </c:ext>
          </c:extLst>
        </c:ser>
        <c:ser>
          <c:idx val="1"/>
          <c:order val="1"/>
          <c:tx>
            <c:strRef>
              <c:f>Summary!$B$344</c:f>
              <c:strCache>
                <c:ptCount val="1"/>
                <c:pt idx="0">
                  <c:v>10 Gbps</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Summary!$C$344:$L$344</c:f>
              <c:numCache>
                <c:formatCode>_(* #,##0_);_(* \(#,##0\);_(* "-"??_);_(@_)</c:formatCode>
                <c:ptCount val="10"/>
                <c:pt idx="0">
                  <c:v>154385.15625000003</c:v>
                </c:pt>
                <c:pt idx="1">
                  <c:v>165593.02040816331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3B-C54E-8AFE-5AB216F2A100}"/>
            </c:ext>
          </c:extLst>
        </c:ser>
        <c:ser>
          <c:idx val="2"/>
          <c:order val="2"/>
          <c:tx>
            <c:strRef>
              <c:f>Summary!$B$345</c:f>
              <c:strCache>
                <c:ptCount val="1"/>
                <c:pt idx="0">
                  <c:v>40 Gbps</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Summary!$C$345:$L$345</c:f>
              <c:numCache>
                <c:formatCode>_(* #,##0_);_(* \(#,##0\);_(* "-"??_);_(@_)</c:formatCode>
                <c:ptCount val="10"/>
                <c:pt idx="0">
                  <c:v>4264</c:v>
                </c:pt>
                <c:pt idx="1">
                  <c:v>501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43B-C54E-8AFE-5AB216F2A100}"/>
            </c:ext>
          </c:extLst>
        </c:ser>
        <c:dLbls>
          <c:showLegendKey val="0"/>
          <c:showVal val="0"/>
          <c:showCatName val="0"/>
          <c:showSerName val="0"/>
          <c:showPercent val="0"/>
          <c:showBubbleSize val="0"/>
        </c:dLbls>
        <c:gapWidth val="150"/>
        <c:axId val="61516032"/>
        <c:axId val="61521920"/>
      </c:barChart>
      <c:catAx>
        <c:axId val="61516032"/>
        <c:scaling>
          <c:orientation val="minMax"/>
        </c:scaling>
        <c:delete val="0"/>
        <c:axPos val="b"/>
        <c:numFmt formatCode="General" sourceLinked="1"/>
        <c:majorTickMark val="out"/>
        <c:minorTickMark val="none"/>
        <c:tickLblPos val="nextTo"/>
        <c:txPr>
          <a:bodyPr/>
          <a:lstStyle/>
          <a:p>
            <a:pPr>
              <a:defRPr sz="1200" b="1"/>
            </a:pPr>
            <a:endParaRPr lang="en-US"/>
          </a:p>
        </c:txPr>
        <c:crossAx val="61521920"/>
        <c:crosses val="autoZero"/>
        <c:auto val="1"/>
        <c:lblAlgn val="ctr"/>
        <c:lblOffset val="100"/>
        <c:noMultiLvlLbl val="0"/>
      </c:catAx>
      <c:valAx>
        <c:axId val="61521920"/>
        <c:scaling>
          <c:orientation val="minMax"/>
          <c:min val="0"/>
        </c:scaling>
        <c:delete val="0"/>
        <c:axPos val="l"/>
        <c:majorGridlines/>
        <c:title>
          <c:tx>
            <c:rich>
              <a:bodyPr rot="-5400000" vert="horz"/>
              <a:lstStyle/>
              <a:p>
                <a:pPr>
                  <a:defRPr sz="1200"/>
                </a:pPr>
                <a:r>
                  <a:rPr lang="en-US" sz="1200"/>
                  <a:t>Annual Port Shipments</a:t>
                </a:r>
              </a:p>
            </c:rich>
          </c:tx>
          <c:layout/>
          <c:overlay val="0"/>
        </c:title>
        <c:numFmt formatCode="_(* #,##0_);_(* \(#,##0\);_(* &quot;-&quot;??_);_(@_)" sourceLinked="1"/>
        <c:majorTickMark val="out"/>
        <c:minorTickMark val="none"/>
        <c:tickLblPos val="nextTo"/>
        <c:txPr>
          <a:bodyPr/>
          <a:lstStyle/>
          <a:p>
            <a:pPr>
              <a:defRPr sz="1100"/>
            </a:pPr>
            <a:endParaRPr lang="en-US"/>
          </a:p>
        </c:txPr>
        <c:crossAx val="61516032"/>
        <c:crosses val="autoZero"/>
        <c:crossBetween val="between"/>
      </c:valAx>
    </c:plotArea>
    <c:legend>
      <c:legendPos val="r"/>
      <c:layout>
        <c:manualLayout>
          <c:xMode val="edge"/>
          <c:yMode val="edge"/>
          <c:x val="0.160954575931465"/>
          <c:y val="7.3091606797182504E-2"/>
          <c:w val="0.10865020378123499"/>
          <c:h val="0.38768562809643797"/>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shipments</a:t>
            </a:r>
            <a:endParaRPr lang="en-US"/>
          </a:p>
        </c:rich>
      </c:tx>
      <c:layout/>
      <c:overlay val="1"/>
    </c:title>
    <c:autoTitleDeleted val="0"/>
    <c:plotArea>
      <c:layout>
        <c:manualLayout>
          <c:layoutTarget val="inner"/>
          <c:xMode val="edge"/>
          <c:yMode val="edge"/>
          <c:x val="0.18675799864713699"/>
          <c:y val="0.120388231560365"/>
          <c:w val="0.78914898157139812"/>
          <c:h val="0.77200477342946305"/>
        </c:manualLayout>
      </c:layout>
      <c:barChart>
        <c:barDir val="col"/>
        <c:grouping val="stacked"/>
        <c:varyColors val="0"/>
        <c:ser>
          <c:idx val="0"/>
          <c:order val="0"/>
          <c:tx>
            <c:strRef>
              <c:f>Summary!$B$53</c:f>
              <c:strCache>
                <c:ptCount val="1"/>
                <c:pt idx="0">
                  <c:v>China</c:v>
                </c:pt>
              </c:strCache>
            </c:strRef>
          </c:tx>
          <c:invertIfNegative val="0"/>
          <c:cat>
            <c:numRef>
              <c:f>Summary!$C$52:$L$52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Summary!$C$53:$L$53</c:f>
              <c:numCache>
                <c:formatCode>_(* #,##0_);_(* \(#,##0\);_(* "-"??_);_(@_)</c:formatCode>
                <c:ptCount val="10"/>
                <c:pt idx="0">
                  <c:v>82657363.456114396</c:v>
                </c:pt>
                <c:pt idx="1">
                  <c:v>58542054.572571449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DFF-7741-AA71-52968EF29299}"/>
            </c:ext>
          </c:extLst>
        </c:ser>
        <c:ser>
          <c:idx val="1"/>
          <c:order val="1"/>
          <c:tx>
            <c:strRef>
              <c:f>Summary!$B$54</c:f>
              <c:strCache>
                <c:ptCount val="1"/>
                <c:pt idx="0">
                  <c:v>Rest of World</c:v>
                </c:pt>
              </c:strCache>
            </c:strRef>
          </c:tx>
          <c:invertIfNegative val="0"/>
          <c:cat>
            <c:numRef>
              <c:f>Summary!$C$52:$L$52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Summary!$C$54:$L$54</c:f>
              <c:numCache>
                <c:formatCode>_(* #,##0_);_(* \(#,##0\);_(* "-"??_);_(@_)</c:formatCode>
                <c:ptCount val="10"/>
                <c:pt idx="0">
                  <c:v>93661641.888176903</c:v>
                </c:pt>
                <c:pt idx="1">
                  <c:v>91297769.984606028</c:v>
                </c:pt>
                <c:pt idx="2">
                  <c:v>172290358.86698323</c:v>
                </c:pt>
                <c:pt idx="3">
                  <c:v>145717229.68883139</c:v>
                </c:pt>
                <c:pt idx="4">
                  <c:v>136820685.15370339</c:v>
                </c:pt>
                <c:pt idx="5">
                  <c:v>142171561.18982244</c:v>
                </c:pt>
                <c:pt idx="6">
                  <c:v>150783984.05943444</c:v>
                </c:pt>
                <c:pt idx="7">
                  <c:v>168725164.89261076</c:v>
                </c:pt>
                <c:pt idx="8">
                  <c:v>182503690.3951903</c:v>
                </c:pt>
                <c:pt idx="9">
                  <c:v>185295988.62558094</c:v>
                </c:pt>
              </c:numCache>
            </c:numRef>
          </c:val>
          <c:extLst xmlns:c16r2="http://schemas.microsoft.com/office/drawing/2015/06/chart">
            <c:ext xmlns:c16="http://schemas.microsoft.com/office/drawing/2014/chart" uri="{C3380CC4-5D6E-409C-BE32-E72D297353CC}">
              <c16:uniqueId val="{00000001-3DFF-7741-AA71-52968EF29299}"/>
            </c:ext>
          </c:extLst>
        </c:ser>
        <c:dLbls>
          <c:showLegendKey val="0"/>
          <c:showVal val="0"/>
          <c:showCatName val="0"/>
          <c:showSerName val="0"/>
          <c:showPercent val="0"/>
          <c:showBubbleSize val="0"/>
        </c:dLbls>
        <c:gapWidth val="150"/>
        <c:overlap val="100"/>
        <c:axId val="61621760"/>
        <c:axId val="61623296"/>
      </c:barChart>
      <c:catAx>
        <c:axId val="61621760"/>
        <c:scaling>
          <c:orientation val="minMax"/>
        </c:scaling>
        <c:delete val="0"/>
        <c:axPos val="b"/>
        <c:numFmt formatCode="General" sourceLinked="1"/>
        <c:majorTickMark val="out"/>
        <c:minorTickMark val="none"/>
        <c:tickLblPos val="nextTo"/>
        <c:txPr>
          <a:bodyPr/>
          <a:lstStyle/>
          <a:p>
            <a:pPr>
              <a:defRPr b="1"/>
            </a:pPr>
            <a:endParaRPr lang="en-US"/>
          </a:p>
        </c:txPr>
        <c:crossAx val="61623296"/>
        <c:crosses val="autoZero"/>
        <c:auto val="1"/>
        <c:lblAlgn val="ctr"/>
        <c:lblOffset val="100"/>
        <c:noMultiLvlLbl val="1"/>
      </c:catAx>
      <c:valAx>
        <c:axId val="61623296"/>
        <c:scaling>
          <c:orientation val="minMax"/>
          <c:min val="0"/>
        </c:scaling>
        <c:delete val="0"/>
        <c:axPos val="l"/>
        <c:majorGridlines/>
        <c:title>
          <c:tx>
            <c:rich>
              <a:bodyPr rot="-5400000" vert="horz"/>
              <a:lstStyle/>
              <a:p>
                <a:pPr>
                  <a:defRPr/>
                </a:pPr>
                <a:r>
                  <a:rPr lang="en-US"/>
                  <a:t>Units</a:t>
                </a:r>
              </a:p>
            </c:rich>
          </c:tx>
          <c:layout/>
          <c:overlay val="0"/>
        </c:title>
        <c:numFmt formatCode="_(* #,##0_);_(* \(#,##0\);_(* &quot;-&quot;??_);_(@_)" sourceLinked="1"/>
        <c:majorTickMark val="out"/>
        <c:minorTickMark val="none"/>
        <c:tickLblPos val="nextTo"/>
        <c:crossAx val="61621760"/>
        <c:crosses val="autoZero"/>
        <c:crossBetween val="between"/>
      </c:valAx>
    </c:plotArea>
    <c:legend>
      <c:legendPos val="t"/>
      <c:layout>
        <c:manualLayout>
          <c:xMode val="edge"/>
          <c:yMode val="edge"/>
          <c:x val="0.40315821787948225"/>
          <c:y val="0.12821279529228582"/>
          <c:w val="0.24034209016963778"/>
          <c:h val="7.995076673584887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Components Shipments - Transceivers &amp; Other</a:t>
            </a:r>
          </a:p>
        </c:rich>
      </c:tx>
      <c:layout>
        <c:manualLayout>
          <c:xMode val="edge"/>
          <c:yMode val="edge"/>
          <c:x val="0.2618825722273998"/>
          <c:y val="3.4252523628847207E-3"/>
        </c:manualLayout>
      </c:layout>
      <c:overlay val="1"/>
    </c:title>
    <c:autoTitleDeleted val="0"/>
    <c:plotArea>
      <c:layout>
        <c:manualLayout>
          <c:layoutTarget val="inner"/>
          <c:xMode val="edge"/>
          <c:yMode val="edge"/>
          <c:x val="0.18250376668372864"/>
          <c:y val="7.5728927444026969E-2"/>
          <c:w val="0.77636132470309327"/>
          <c:h val="0.81666409692523678"/>
        </c:manualLayout>
      </c:layout>
      <c:barChart>
        <c:barDir val="col"/>
        <c:grouping val="stacked"/>
        <c:varyColors val="0"/>
        <c:ser>
          <c:idx val="1"/>
          <c:order val="0"/>
          <c:tx>
            <c:strRef>
              <c:f>Summary!$B$28</c:f>
              <c:strCache>
                <c:ptCount val="1"/>
                <c:pt idx="0">
                  <c:v>Rest of World</c:v>
                </c:pt>
              </c:strCache>
            </c:strRef>
          </c:tx>
          <c:spPr>
            <a:ln>
              <a:solidFill>
                <a:schemeClr val="accent2"/>
              </a:solidFill>
            </a:ln>
          </c:spPr>
          <c:invertIfNegative val="0"/>
          <c:cat>
            <c:numRef>
              <c:f>Summary!$C$26:$L$26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Summary!$C$28:$L$28</c:f>
              <c:numCache>
                <c:formatCode>_(* #,##0_);_(* \(#,##0\);_(* "-"??_);_(@_)</c:formatCode>
                <c:ptCount val="10"/>
                <c:pt idx="0">
                  <c:v>93416398.278176904</c:v>
                </c:pt>
                <c:pt idx="1">
                  <c:v>91003495.904606044</c:v>
                </c:pt>
                <c:pt idx="2">
                  <c:v>172374507.01698324</c:v>
                </c:pt>
                <c:pt idx="3">
                  <c:v>145870738.56883138</c:v>
                </c:pt>
                <c:pt idx="4">
                  <c:v>136954506.16570339</c:v>
                </c:pt>
                <c:pt idx="5">
                  <c:v>142331397.91902244</c:v>
                </c:pt>
                <c:pt idx="6">
                  <c:v>150958850.51543444</c:v>
                </c:pt>
                <c:pt idx="7">
                  <c:v>168916482.68900076</c:v>
                </c:pt>
                <c:pt idx="8">
                  <c:v>182716872.88795727</c:v>
                </c:pt>
                <c:pt idx="9">
                  <c:v>185519791.61585981</c:v>
                </c:pt>
              </c:numCache>
            </c:numRef>
          </c:val>
          <c:extLst xmlns:c16r2="http://schemas.microsoft.com/office/drawing/2015/06/chart">
            <c:ext xmlns:c16="http://schemas.microsoft.com/office/drawing/2014/chart" uri="{C3380CC4-5D6E-409C-BE32-E72D297353CC}">
              <c16:uniqueId val="{00000001-F50B-7149-9AF2-EC757F0BB199}"/>
            </c:ext>
          </c:extLst>
        </c:ser>
        <c:ser>
          <c:idx val="0"/>
          <c:order val="1"/>
          <c:tx>
            <c:strRef>
              <c:f>Summary!$B$27</c:f>
              <c:strCache>
                <c:ptCount val="1"/>
                <c:pt idx="0">
                  <c:v>China</c:v>
                </c:pt>
              </c:strCache>
            </c:strRef>
          </c:tx>
          <c:spPr>
            <a:ln>
              <a:solidFill>
                <a:schemeClr val="accent1"/>
              </a:solidFill>
            </a:ln>
          </c:spPr>
          <c:invertIfNegative val="0"/>
          <c:cat>
            <c:numRef>
              <c:f>Summary!$C$26:$L$26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Summary!$C$27:$L$27</c:f>
              <c:numCache>
                <c:formatCode>_(* #,##0_);_(* \(#,##0\);_(* "-"??_);_(@_)</c:formatCode>
                <c:ptCount val="10"/>
                <c:pt idx="0">
                  <c:v>82961868.066114396</c:v>
                </c:pt>
                <c:pt idx="1">
                  <c:v>58896664.652571447</c:v>
                </c:pt>
                <c:pt idx="2">
                  <c:v>4428.8500000000004</c:v>
                </c:pt>
                <c:pt idx="3">
                  <c:v>18609.12</c:v>
                </c:pt>
                <c:pt idx="4">
                  <c:v>19473.188000000002</c:v>
                </c:pt>
                <c:pt idx="5">
                  <c:v>31657.330800000003</c:v>
                </c:pt>
                <c:pt idx="6">
                  <c:v>39421.114000000009</c:v>
                </c:pt>
                <c:pt idx="7">
                  <c:v>48630.604110000015</c:v>
                </c:pt>
                <c:pt idx="8">
                  <c:v>60755.454558000012</c:v>
                </c:pt>
                <c:pt idx="9">
                  <c:v>72789.745557438029</c:v>
                </c:pt>
              </c:numCache>
            </c:numRef>
          </c:val>
          <c:extLst xmlns:c16r2="http://schemas.microsoft.com/office/drawing/2015/06/chart">
            <c:ext xmlns:c16="http://schemas.microsoft.com/office/drawing/2014/chart" uri="{C3380CC4-5D6E-409C-BE32-E72D297353CC}">
              <c16:uniqueId val="{00000000-F50B-7149-9AF2-EC757F0BB199}"/>
            </c:ext>
          </c:extLst>
        </c:ser>
        <c:dLbls>
          <c:showLegendKey val="0"/>
          <c:showVal val="0"/>
          <c:showCatName val="0"/>
          <c:showSerName val="0"/>
          <c:showPercent val="0"/>
          <c:showBubbleSize val="0"/>
        </c:dLbls>
        <c:gapWidth val="150"/>
        <c:overlap val="100"/>
        <c:axId val="61645952"/>
        <c:axId val="61647488"/>
      </c:barChart>
      <c:catAx>
        <c:axId val="61645952"/>
        <c:scaling>
          <c:orientation val="minMax"/>
        </c:scaling>
        <c:delete val="0"/>
        <c:axPos val="b"/>
        <c:numFmt formatCode="General" sourceLinked="1"/>
        <c:majorTickMark val="out"/>
        <c:minorTickMark val="none"/>
        <c:tickLblPos val="nextTo"/>
        <c:txPr>
          <a:bodyPr/>
          <a:lstStyle/>
          <a:p>
            <a:pPr>
              <a:defRPr sz="1200" b="0" i="0"/>
            </a:pPr>
            <a:endParaRPr lang="en-US"/>
          </a:p>
        </c:txPr>
        <c:crossAx val="61647488"/>
        <c:crosses val="autoZero"/>
        <c:auto val="1"/>
        <c:lblAlgn val="ctr"/>
        <c:lblOffset val="100"/>
        <c:noMultiLvlLbl val="1"/>
      </c:catAx>
      <c:valAx>
        <c:axId val="61647488"/>
        <c:scaling>
          <c:orientation val="minMax"/>
          <c:min val="0"/>
        </c:scaling>
        <c:delete val="0"/>
        <c:axPos val="l"/>
        <c:majorGridlines/>
        <c:title>
          <c:tx>
            <c:rich>
              <a:bodyPr rot="-5400000" vert="horz"/>
              <a:lstStyle/>
              <a:p>
                <a:pPr>
                  <a:defRPr/>
                </a:pPr>
                <a:r>
                  <a:rPr lang="en-US"/>
                  <a:t>Units</a:t>
                </a:r>
              </a:p>
            </c:rich>
          </c:tx>
          <c:layout>
            <c:manualLayout>
              <c:xMode val="edge"/>
              <c:yMode val="edge"/>
              <c:x val="1.49679256335809E-2"/>
              <c:y val="0.4351909888352955"/>
            </c:manualLayout>
          </c:layout>
          <c:overlay val="0"/>
        </c:title>
        <c:numFmt formatCode="_(* #,##0_);_(* \(#,##0\);_(* &quot;-&quot;??_);_(@_)" sourceLinked="1"/>
        <c:majorTickMark val="out"/>
        <c:minorTickMark val="none"/>
        <c:tickLblPos val="nextTo"/>
        <c:crossAx val="61645952"/>
        <c:crosses val="autoZero"/>
        <c:crossBetween val="between"/>
        <c:majorUnit val="50000000"/>
      </c:valAx>
    </c:plotArea>
    <c:legend>
      <c:legendPos val="r"/>
      <c:layout>
        <c:manualLayout>
          <c:xMode val="edge"/>
          <c:yMode val="edge"/>
          <c:x val="0.43302170320089417"/>
          <c:y val="8.5998377455258651E-2"/>
          <c:w val="0.25299500228930577"/>
          <c:h val="0.10347094037471721"/>
        </c:manualLayout>
      </c:layout>
      <c:overlay val="0"/>
      <c:spPr>
        <a:solidFill>
          <a:schemeClr val="bg1"/>
        </a:solidFill>
        <a:ln>
          <a:no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694757517119"/>
          <c:y val="0.1530157653955731"/>
          <c:w val="0.84168195211687891"/>
          <c:h val="0.69020141628314702"/>
        </c:manualLayout>
      </c:layout>
      <c:lineChart>
        <c:grouping val="standard"/>
        <c:varyColors val="0"/>
        <c:ser>
          <c:idx val="0"/>
          <c:order val="0"/>
          <c:tx>
            <c:strRef>
              <c:f>Methodology!$B$29</c:f>
              <c:strCache>
                <c:ptCount val="1"/>
                <c:pt idx="0">
                  <c:v>Ethernet </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Methodology!$C$29:$U$29</c:f>
              <c:numCache>
                <c:formatCode>0%</c:formatCode>
                <c:ptCount val="19"/>
                <c:pt idx="0">
                  <c:v>0.2363366825514075</c:v>
                </c:pt>
                <c:pt idx="1">
                  <c:v>0.26126010671388444</c:v>
                </c:pt>
                <c:pt idx="2">
                  <c:v>0.25114039004710653</c:v>
                </c:pt>
                <c:pt idx="3">
                  <c:v>0.35550001923164087</c:v>
                </c:pt>
                <c:pt idx="4">
                  <c:v>0.42738651562811047</c:v>
                </c:pt>
                <c:pt idx="5">
                  <c:v>0.39027527519628302</c:v>
                </c:pt>
                <c:pt idx="6">
                  <c:v>0.46390695578739249</c:v>
                </c:pt>
                <c:pt idx="7">
                  <c:v>0.52480775361558596</c:v>
                </c:pt>
                <c:pt idx="8">
                  <c:v>0.42028665922647979</c:v>
                </c:pt>
                <c:pt idx="9">
                  <c:v>0.43657007399725223</c:v>
                </c:pt>
                <c:pt idx="10">
                  <c:v>0.4781977791184846</c:v>
                </c:pt>
                <c:pt idx="11">
                  <c:v>0.49405736788172661</c:v>
                </c:pt>
                <c:pt idx="12">
                  <c:v>0.38804227758944432</c:v>
                </c:pt>
                <c:pt idx="13">
                  <c:v>0.42856976227692356</c:v>
                </c:pt>
                <c:pt idx="14">
                  <c:v>0.40298267279616473</c:v>
                </c:pt>
                <c:pt idx="15">
                  <c:v>0.39760411073349111</c:v>
                </c:pt>
                <c:pt idx="16">
                  <c:v>0.41572351137061037</c:v>
                </c:pt>
                <c:pt idx="17">
                  <c:v>0.38417061226951432</c:v>
                </c:pt>
                <c:pt idx="18">
                  <c:v>0.37193983355512494</c:v>
                </c:pt>
              </c:numCache>
            </c:numRef>
          </c:val>
          <c:smooth val="1"/>
          <c:extLst xmlns:c16r2="http://schemas.microsoft.com/office/drawing/2015/06/chart">
            <c:ext xmlns:c16="http://schemas.microsoft.com/office/drawing/2014/chart" uri="{C3380CC4-5D6E-409C-BE32-E72D297353CC}">
              <c16:uniqueId val="{00000000-9261-D041-BD9B-0B90EE1654D1}"/>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numCache>
            </c:numRef>
          </c:val>
          <c:smooth val="1"/>
          <c:extLst xmlns:c16r2="http://schemas.microsoft.com/office/drawing/2015/06/chart">
            <c:ext xmlns:c16="http://schemas.microsoft.com/office/drawing/2014/chart" uri="{C3380CC4-5D6E-409C-BE32-E72D297353CC}">
              <c16:uniqueId val="{00000001-9261-D041-BD9B-0B90EE1654D1}"/>
            </c:ext>
          </c:extLst>
        </c:ser>
        <c:dLbls>
          <c:showLegendKey val="0"/>
          <c:showVal val="0"/>
          <c:showCatName val="0"/>
          <c:showSerName val="0"/>
          <c:showPercent val="0"/>
          <c:showBubbleSize val="0"/>
        </c:dLbls>
        <c:marker val="1"/>
        <c:smooth val="0"/>
        <c:axId val="62471168"/>
        <c:axId val="62505728"/>
      </c:lineChart>
      <c:catAx>
        <c:axId val="62471168"/>
        <c:scaling>
          <c:orientation val="minMax"/>
        </c:scaling>
        <c:delete val="0"/>
        <c:axPos val="b"/>
        <c:numFmt formatCode="General" sourceLinked="1"/>
        <c:majorTickMark val="out"/>
        <c:minorTickMark val="none"/>
        <c:tickLblPos val="nextTo"/>
        <c:txPr>
          <a:bodyPr/>
          <a:lstStyle/>
          <a:p>
            <a:pPr>
              <a:defRPr sz="1050"/>
            </a:pPr>
            <a:endParaRPr lang="en-US"/>
          </a:p>
        </c:txPr>
        <c:crossAx val="62505728"/>
        <c:crosses val="autoZero"/>
        <c:auto val="1"/>
        <c:lblAlgn val="ctr"/>
        <c:lblOffset val="100"/>
        <c:tickLblSkip val="1"/>
        <c:noMultiLvlLbl val="1"/>
      </c:catAx>
      <c:valAx>
        <c:axId val="62505728"/>
        <c:scaling>
          <c:orientation val="minMax"/>
          <c:min val="0"/>
        </c:scaling>
        <c:delete val="0"/>
        <c:axPos val="l"/>
        <c:majorGridlines/>
        <c:title>
          <c:tx>
            <c:rich>
              <a:bodyPr rot="-5400000" vert="horz"/>
              <a:lstStyle/>
              <a:p>
                <a:pPr>
                  <a:defRPr/>
                </a:pPr>
                <a:r>
                  <a:rPr lang="en-US"/>
                  <a:t>Growth rate (%)</a:t>
                </a:r>
              </a:p>
            </c:rich>
          </c:tx>
          <c:layout/>
          <c:overlay val="0"/>
        </c:title>
        <c:numFmt formatCode="0%" sourceLinked="1"/>
        <c:majorTickMark val="out"/>
        <c:minorTickMark val="none"/>
        <c:tickLblPos val="nextTo"/>
        <c:crossAx val="62471168"/>
        <c:crosses val="autoZero"/>
        <c:crossBetween val="between"/>
        <c:majorUnit val="0.1"/>
      </c:valAx>
    </c:plotArea>
    <c:legend>
      <c:legendPos val="t"/>
      <c:layout/>
      <c:overlay val="0"/>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Components Sales - Transceivers &amp; Other</a:t>
            </a:r>
          </a:p>
        </c:rich>
      </c:tx>
      <c:layout>
        <c:manualLayout>
          <c:xMode val="edge"/>
          <c:yMode val="edge"/>
          <c:x val="0.25697805653465638"/>
          <c:y val="1.4335349202521431E-2"/>
        </c:manualLayout>
      </c:layout>
      <c:overlay val="1"/>
    </c:title>
    <c:autoTitleDeleted val="0"/>
    <c:plotArea>
      <c:layout>
        <c:manualLayout>
          <c:layoutTarget val="inner"/>
          <c:xMode val="edge"/>
          <c:yMode val="edge"/>
          <c:x val="0.17661552214187801"/>
          <c:y val="0.120388231560365"/>
          <c:w val="0.79467781138465821"/>
          <c:h val="0.77200477342946305"/>
        </c:manualLayout>
      </c:layout>
      <c:barChart>
        <c:barDir val="col"/>
        <c:grouping val="stacked"/>
        <c:varyColors val="0"/>
        <c:ser>
          <c:idx val="0"/>
          <c:order val="0"/>
          <c:tx>
            <c:strRef>
              <c:f>Summary!$N$27</c:f>
              <c:strCache>
                <c:ptCount val="1"/>
                <c:pt idx="0">
                  <c:v>China</c:v>
                </c:pt>
              </c:strCache>
            </c:strRef>
          </c:tx>
          <c:spPr>
            <a:ln>
              <a:solidFill>
                <a:schemeClr val="accent1"/>
              </a:solidFill>
            </a:ln>
          </c:spPr>
          <c:invertIfNegative val="0"/>
          <c:cat>
            <c:numRef>
              <c:f>Summary!$O$26:$X$26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Summary!$O$27:$X$27</c:f>
              <c:numCache>
                <c:formatCode>_("$"* #,##0_);_("$"* \(#,##0\);_("$"* "-"??_);_(@_)</c:formatCode>
                <c:ptCount val="10"/>
                <c:pt idx="0">
                  <c:v>2136.2531515665728</c:v>
                </c:pt>
                <c:pt idx="1">
                  <c:v>1780.1183812851077</c:v>
                </c:pt>
                <c:pt idx="2">
                  <c:v>29.187026412417509</c:v>
                </c:pt>
                <c:pt idx="3">
                  <c:v>75.794182188384468</c:v>
                </c:pt>
                <c:pt idx="4">
                  <c:v>68.179208545857563</c:v>
                </c:pt>
                <c:pt idx="5">
                  <c:v>100.58567492830591</c:v>
                </c:pt>
                <c:pt idx="6">
                  <c:v>118.96897453490583</c:v>
                </c:pt>
                <c:pt idx="7">
                  <c:v>138.74184131466785</c:v>
                </c:pt>
                <c:pt idx="8">
                  <c:v>164.27229054191164</c:v>
                </c:pt>
                <c:pt idx="9">
                  <c:v>185.15743215095762</c:v>
                </c:pt>
              </c:numCache>
            </c:numRef>
          </c:val>
          <c:extLst xmlns:c16r2="http://schemas.microsoft.com/office/drawing/2015/06/chart">
            <c:ext xmlns:c16="http://schemas.microsoft.com/office/drawing/2014/chart" uri="{C3380CC4-5D6E-409C-BE32-E72D297353CC}">
              <c16:uniqueId val="{00000000-3551-1A41-9A75-03EC71165722}"/>
            </c:ext>
          </c:extLst>
        </c:ser>
        <c:ser>
          <c:idx val="1"/>
          <c:order val="1"/>
          <c:tx>
            <c:strRef>
              <c:f>Summary!$N$28</c:f>
              <c:strCache>
                <c:ptCount val="1"/>
                <c:pt idx="0">
                  <c:v>Rest of World</c:v>
                </c:pt>
              </c:strCache>
            </c:strRef>
          </c:tx>
          <c:spPr>
            <a:ln>
              <a:solidFill>
                <a:schemeClr val="accent2"/>
              </a:solidFill>
            </a:ln>
          </c:spPr>
          <c:invertIfNegative val="0"/>
          <c:cat>
            <c:numRef>
              <c:f>Summary!$O$26:$X$26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Summary!$O$28:$X$28</c:f>
              <c:numCache>
                <c:formatCode>_("$"* #,##0_);_("$"* \(#,##0\);_("$"* "-"??_);_(@_)</c:formatCode>
                <c:ptCount val="10"/>
                <c:pt idx="0">
                  <c:v>4885.9714023973011</c:v>
                </c:pt>
                <c:pt idx="1">
                  <c:v>5292.2632953701868</c:v>
                </c:pt>
                <c:pt idx="2">
                  <c:v>7083.4524868729977</c:v>
                </c:pt>
                <c:pt idx="3">
                  <c:v>6593.7677933817749</c:v>
                </c:pt>
                <c:pt idx="4">
                  <c:v>6906.5723043866337</c:v>
                </c:pt>
                <c:pt idx="5">
                  <c:v>7464.1808472585171</c:v>
                </c:pt>
                <c:pt idx="6">
                  <c:v>8339.7319838559524</c:v>
                </c:pt>
                <c:pt idx="7">
                  <c:v>9724.779747807379</c:v>
                </c:pt>
                <c:pt idx="8">
                  <c:v>10702.490003208975</c:v>
                </c:pt>
                <c:pt idx="9">
                  <c:v>11464.435645832047</c:v>
                </c:pt>
              </c:numCache>
            </c:numRef>
          </c:val>
          <c:extLst xmlns:c16r2="http://schemas.microsoft.com/office/drawing/2015/06/chart">
            <c:ext xmlns:c16="http://schemas.microsoft.com/office/drawing/2014/chart" uri="{C3380CC4-5D6E-409C-BE32-E72D297353CC}">
              <c16:uniqueId val="{00000001-3551-1A41-9A75-03EC71165722}"/>
            </c:ext>
          </c:extLst>
        </c:ser>
        <c:dLbls>
          <c:showLegendKey val="0"/>
          <c:showVal val="0"/>
          <c:showCatName val="0"/>
          <c:showSerName val="0"/>
          <c:showPercent val="0"/>
          <c:showBubbleSize val="0"/>
        </c:dLbls>
        <c:gapWidth val="150"/>
        <c:overlap val="100"/>
        <c:axId val="61932288"/>
        <c:axId val="61933824"/>
      </c:barChart>
      <c:catAx>
        <c:axId val="61932288"/>
        <c:scaling>
          <c:orientation val="minMax"/>
        </c:scaling>
        <c:delete val="0"/>
        <c:axPos val="b"/>
        <c:numFmt formatCode="General" sourceLinked="1"/>
        <c:majorTickMark val="out"/>
        <c:minorTickMark val="none"/>
        <c:tickLblPos val="nextTo"/>
        <c:txPr>
          <a:bodyPr/>
          <a:lstStyle/>
          <a:p>
            <a:pPr>
              <a:defRPr sz="1200" b="0"/>
            </a:pPr>
            <a:endParaRPr lang="en-US"/>
          </a:p>
        </c:txPr>
        <c:crossAx val="61933824"/>
        <c:crosses val="autoZero"/>
        <c:auto val="1"/>
        <c:lblAlgn val="ctr"/>
        <c:lblOffset val="100"/>
        <c:noMultiLvlLbl val="1"/>
      </c:catAx>
      <c:valAx>
        <c:axId val="61933824"/>
        <c:scaling>
          <c:orientation val="minMax"/>
          <c:min val="0"/>
        </c:scaling>
        <c:delete val="0"/>
        <c:axPos val="l"/>
        <c:majorGridlines/>
        <c:title>
          <c:tx>
            <c:rich>
              <a:bodyPr rot="-5400000" vert="horz"/>
              <a:lstStyle/>
              <a:p>
                <a:pPr>
                  <a:defRPr/>
                </a:pPr>
                <a:r>
                  <a:rPr lang="en-US"/>
                  <a:t>Revenues ($ mn)</a:t>
                </a:r>
              </a:p>
            </c:rich>
          </c:tx>
          <c:layout>
            <c:manualLayout>
              <c:xMode val="edge"/>
              <c:yMode val="edge"/>
              <c:x val="2.4522964190668999E-2"/>
              <c:y val="0.32348847284321902"/>
            </c:manualLayout>
          </c:layout>
          <c:overlay val="0"/>
        </c:title>
        <c:numFmt formatCode="_(&quot;$&quot;* #,##0_);_(&quot;$&quot;* \(#,##0\);_(&quot;$&quot;* &quot;-&quot;??_);_(@_)" sourceLinked="1"/>
        <c:majorTickMark val="out"/>
        <c:minorTickMark val="none"/>
        <c:tickLblPos val="nextTo"/>
        <c:crossAx val="61932288"/>
        <c:crosses val="autoZero"/>
        <c:crossBetween val="between"/>
      </c:valAx>
    </c:plotArea>
    <c:legend>
      <c:legendPos val="t"/>
      <c:layout>
        <c:manualLayout>
          <c:xMode val="edge"/>
          <c:yMode val="edge"/>
          <c:x val="0.39675765910453131"/>
          <c:y val="0.13687612575898217"/>
          <c:w val="0.24407692970629721"/>
          <c:h val="7.923997185080929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10G-PON</a:t>
            </a:r>
          </a:p>
        </c:rich>
      </c:tx>
      <c:layout>
        <c:manualLayout>
          <c:xMode val="edge"/>
          <c:yMode val="edge"/>
          <c:x val="0.45516850730852448"/>
          <c:y val="3.2315406562767018E-2"/>
        </c:manualLayout>
      </c:layout>
      <c:overlay val="1"/>
    </c:title>
    <c:autoTitleDeleted val="0"/>
    <c:plotArea>
      <c:layout>
        <c:manualLayout>
          <c:layoutTarget val="inner"/>
          <c:xMode val="edge"/>
          <c:yMode val="edge"/>
          <c:x val="0.16647973881313599"/>
          <c:y val="0.10285283534174"/>
          <c:w val="0.69032732917145234"/>
          <c:h val="0.80933840259032497"/>
        </c:manualLayout>
      </c:layout>
      <c:barChart>
        <c:barDir val="col"/>
        <c:grouping val="stacked"/>
        <c:varyColors val="0"/>
        <c:ser>
          <c:idx val="0"/>
          <c:order val="0"/>
          <c:tx>
            <c:strRef>
              <c:f>Summary!$B$412</c:f>
              <c:strCache>
                <c:ptCount val="1"/>
                <c:pt idx="0">
                  <c:v>China</c:v>
                </c:pt>
              </c:strCache>
            </c:strRef>
          </c:tx>
          <c:invertIfNegative val="0"/>
          <c:cat>
            <c:numRef>
              <c:f>Summary!$C$411:$L$411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Summary!$C$412:$L$412</c:f>
              <c:numCache>
                <c:formatCode>_(* #,##0_);_(* \(#,##0\);_(* "-"??_);_(@_)</c:formatCode>
                <c:ptCount val="10"/>
                <c:pt idx="0">
                  <c:v>154000</c:v>
                </c:pt>
                <c:pt idx="1">
                  <c:v>780027.86250000005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060-614F-97EC-5BBCB439308A}"/>
            </c:ext>
          </c:extLst>
        </c:ser>
        <c:ser>
          <c:idx val="1"/>
          <c:order val="1"/>
          <c:tx>
            <c:strRef>
              <c:f>Summary!$B$413</c:f>
              <c:strCache>
                <c:ptCount val="1"/>
                <c:pt idx="0">
                  <c:v>Rest of World</c:v>
                </c:pt>
              </c:strCache>
            </c:strRef>
          </c:tx>
          <c:spPr>
            <a:solidFill>
              <a:schemeClr val="accent2"/>
            </a:solidFill>
          </c:spPr>
          <c:invertIfNegative val="0"/>
          <c:cat>
            <c:numRef>
              <c:f>Summary!$C$411:$L$411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Summary!$C$413:$L$413</c:f>
              <c:numCache>
                <c:formatCode>_(* #,##0_);_(* \(#,##0\);_(* "-"??_);_(@_)</c:formatCode>
                <c:ptCount val="10"/>
                <c:pt idx="0">
                  <c:v>231000</c:v>
                </c:pt>
                <c:pt idx="1">
                  <c:v>953367.38749999995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060-614F-97EC-5BBCB439308A}"/>
            </c:ext>
          </c:extLst>
        </c:ser>
        <c:dLbls>
          <c:showLegendKey val="0"/>
          <c:showVal val="0"/>
          <c:showCatName val="0"/>
          <c:showSerName val="0"/>
          <c:showPercent val="0"/>
          <c:showBubbleSize val="0"/>
        </c:dLbls>
        <c:gapWidth val="150"/>
        <c:overlap val="100"/>
        <c:axId val="61976576"/>
        <c:axId val="61978112"/>
      </c:barChart>
      <c:catAx>
        <c:axId val="61976576"/>
        <c:scaling>
          <c:orientation val="minMax"/>
        </c:scaling>
        <c:delete val="0"/>
        <c:axPos val="b"/>
        <c:numFmt formatCode="General" sourceLinked="1"/>
        <c:majorTickMark val="out"/>
        <c:minorTickMark val="none"/>
        <c:tickLblPos val="nextTo"/>
        <c:txPr>
          <a:bodyPr/>
          <a:lstStyle/>
          <a:p>
            <a:pPr>
              <a:defRPr sz="1400" b="0"/>
            </a:pPr>
            <a:endParaRPr lang="en-US"/>
          </a:p>
        </c:txPr>
        <c:crossAx val="61978112"/>
        <c:crosses val="autoZero"/>
        <c:auto val="1"/>
        <c:lblAlgn val="ctr"/>
        <c:lblOffset val="100"/>
        <c:noMultiLvlLbl val="0"/>
      </c:catAx>
      <c:valAx>
        <c:axId val="6197811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1976576"/>
        <c:crosses val="autoZero"/>
        <c:crossBetween val="between"/>
      </c:valAx>
    </c:plotArea>
    <c:legend>
      <c:legendPos val="r"/>
      <c:layout>
        <c:manualLayout>
          <c:xMode val="edge"/>
          <c:yMode val="edge"/>
          <c:x val="0.87310598320957744"/>
          <c:y val="0.29551730800300474"/>
          <c:w val="0.11840916898042082"/>
          <c:h val="0.45655968566941002"/>
        </c:manualLayout>
      </c:layout>
      <c:overlay val="0"/>
      <c:spPr>
        <a:solidFill>
          <a:schemeClr val="bg1"/>
        </a:solidFill>
        <a:ln>
          <a:no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10G-PON</a:t>
            </a:r>
          </a:p>
        </c:rich>
      </c:tx>
      <c:layout/>
      <c:overlay val="1"/>
    </c:title>
    <c:autoTitleDeleted val="0"/>
    <c:plotArea>
      <c:layout>
        <c:manualLayout>
          <c:layoutTarget val="inner"/>
          <c:xMode val="edge"/>
          <c:yMode val="edge"/>
          <c:x val="0.13556202111507401"/>
          <c:y val="9.4210464076599595E-2"/>
          <c:w val="0.72122426645915405"/>
          <c:h val="0.8166724142499"/>
        </c:manualLayout>
      </c:layout>
      <c:barChart>
        <c:barDir val="col"/>
        <c:grouping val="stacked"/>
        <c:varyColors val="0"/>
        <c:ser>
          <c:idx val="0"/>
          <c:order val="0"/>
          <c:tx>
            <c:strRef>
              <c:f>Summary!$N$412</c:f>
              <c:strCache>
                <c:ptCount val="1"/>
                <c:pt idx="0">
                  <c:v>China</c:v>
                </c:pt>
              </c:strCache>
            </c:strRef>
          </c:tx>
          <c:invertIfNegative val="0"/>
          <c:cat>
            <c:numRef>
              <c:f>Summary!$O$411:$X$411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Summary!$O$412:$X$412</c:f>
              <c:numCache>
                <c:formatCode>_("$"* #,##0_);_("$"* \(#,##0\);_("$"* "-"??_);_(@_)</c:formatCode>
                <c:ptCount val="10"/>
                <c:pt idx="0">
                  <c:v>14.29</c:v>
                </c:pt>
                <c:pt idx="1">
                  <c:v>108.51612975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90-B843-A72C-0F5CD7BE2EBE}"/>
            </c:ext>
          </c:extLst>
        </c:ser>
        <c:ser>
          <c:idx val="1"/>
          <c:order val="1"/>
          <c:tx>
            <c:strRef>
              <c:f>Summary!$N$413</c:f>
              <c:strCache>
                <c:ptCount val="1"/>
                <c:pt idx="0">
                  <c:v>Rest of World</c:v>
                </c:pt>
              </c:strCache>
            </c:strRef>
          </c:tx>
          <c:invertIfNegative val="0"/>
          <c:cat>
            <c:numRef>
              <c:f>Summary!$O$411:$X$411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Summary!$O$413:$X$413</c:f>
              <c:numCache>
                <c:formatCode>_("$"* #,##0_);_("$"* \(#,##0\);_("$"* "-"??_);_(@_)</c:formatCode>
                <c:ptCount val="10"/>
                <c:pt idx="0">
                  <c:v>21.434999999999999</c:v>
                </c:pt>
                <c:pt idx="1">
                  <c:v>132.63082525000002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90-B843-A72C-0F5CD7BE2EBE}"/>
            </c:ext>
          </c:extLst>
        </c:ser>
        <c:dLbls>
          <c:showLegendKey val="0"/>
          <c:showVal val="0"/>
          <c:showCatName val="0"/>
          <c:showSerName val="0"/>
          <c:showPercent val="0"/>
          <c:showBubbleSize val="0"/>
        </c:dLbls>
        <c:gapWidth val="150"/>
        <c:overlap val="100"/>
        <c:axId val="62369792"/>
        <c:axId val="62371328"/>
      </c:barChart>
      <c:catAx>
        <c:axId val="62369792"/>
        <c:scaling>
          <c:orientation val="minMax"/>
        </c:scaling>
        <c:delete val="0"/>
        <c:axPos val="b"/>
        <c:numFmt formatCode="General" sourceLinked="1"/>
        <c:majorTickMark val="out"/>
        <c:minorTickMark val="none"/>
        <c:tickLblPos val="nextTo"/>
        <c:txPr>
          <a:bodyPr/>
          <a:lstStyle/>
          <a:p>
            <a:pPr>
              <a:defRPr sz="1400" b="1"/>
            </a:pPr>
            <a:endParaRPr lang="en-US"/>
          </a:p>
        </c:txPr>
        <c:crossAx val="62371328"/>
        <c:crosses val="autoZero"/>
        <c:auto val="1"/>
        <c:lblAlgn val="ctr"/>
        <c:lblOffset val="100"/>
        <c:noMultiLvlLbl val="0"/>
      </c:catAx>
      <c:valAx>
        <c:axId val="6237132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2369792"/>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0292392823532657"/>
          <c:h val="0.833574992419439"/>
        </c:manualLayout>
      </c:layout>
      <c:barChart>
        <c:barDir val="col"/>
        <c:grouping val="stacked"/>
        <c:varyColors val="0"/>
        <c:ser>
          <c:idx val="0"/>
          <c:order val="0"/>
          <c:tx>
            <c:strRef>
              <c:f>Summary!$B$479</c:f>
              <c:strCache>
                <c:ptCount val="1"/>
                <c:pt idx="0">
                  <c:v>China</c:v>
                </c:pt>
              </c:strCache>
            </c:strRef>
          </c:tx>
          <c:invertIfNegative val="0"/>
          <c:cat>
            <c:numRef>
              <c:f>Summary!$C$478:$L$478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Summary!$C$479:$L$479</c:f>
              <c:numCache>
                <c:formatCode>_(* #,##0_);_(* \(#,##0\);_(* "-"??_);_(@_)</c:formatCode>
                <c:ptCount val="10"/>
                <c:pt idx="0">
                  <c:v>11390120.661512379</c:v>
                </c:pt>
                <c:pt idx="1">
                  <c:v>7193790.5449723806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23-5D45-B254-3C9A988FF969}"/>
            </c:ext>
          </c:extLst>
        </c:ser>
        <c:ser>
          <c:idx val="1"/>
          <c:order val="1"/>
          <c:tx>
            <c:strRef>
              <c:f>Summary!$B$480</c:f>
              <c:strCache>
                <c:ptCount val="1"/>
                <c:pt idx="0">
                  <c:v>Rest of World</c:v>
                </c:pt>
              </c:strCache>
            </c:strRef>
          </c:tx>
          <c:spPr>
            <a:solidFill>
              <a:schemeClr val="accent2"/>
            </a:solidFill>
          </c:spPr>
          <c:invertIfNegative val="0"/>
          <c:cat>
            <c:numRef>
              <c:f>Summary!$C$478:$L$478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Summary!$C$480:$L$480</c:f>
              <c:numCache>
                <c:formatCode>_(* #,##0_);_(* \(#,##0\);_(* "-"??_);_(@_)</c:formatCode>
                <c:ptCount val="10"/>
                <c:pt idx="0">
                  <c:v>7633999.1108612223</c:v>
                </c:pt>
                <c:pt idx="1">
                  <c:v>5805763.9996211585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62385536"/>
        <c:axId val="62456960"/>
      </c:barChart>
      <c:catAx>
        <c:axId val="62385536"/>
        <c:scaling>
          <c:orientation val="minMax"/>
        </c:scaling>
        <c:delete val="0"/>
        <c:axPos val="b"/>
        <c:numFmt formatCode="General" sourceLinked="1"/>
        <c:majorTickMark val="out"/>
        <c:minorTickMark val="none"/>
        <c:tickLblPos val="nextTo"/>
        <c:txPr>
          <a:bodyPr/>
          <a:lstStyle/>
          <a:p>
            <a:pPr>
              <a:defRPr sz="1400" b="0"/>
            </a:pPr>
            <a:endParaRPr lang="en-US"/>
          </a:p>
        </c:txPr>
        <c:crossAx val="62456960"/>
        <c:crosses val="autoZero"/>
        <c:auto val="1"/>
        <c:lblAlgn val="ctr"/>
        <c:lblOffset val="100"/>
        <c:noMultiLvlLbl val="0"/>
      </c:catAx>
      <c:valAx>
        <c:axId val="62456960"/>
        <c:scaling>
          <c:orientation val="minMax"/>
        </c:scaling>
        <c:delete val="0"/>
        <c:axPos val="l"/>
        <c:majorGridlines/>
        <c:title>
          <c:tx>
            <c:rich>
              <a:bodyPr rot="-5400000" vert="horz"/>
              <a:lstStyle/>
              <a:p>
                <a:pPr>
                  <a:defRPr sz="1600" b="0"/>
                </a:pPr>
                <a:r>
                  <a:rPr lang="en-US" sz="1600" b="0"/>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62385536"/>
        <c:crosses val="autoZero"/>
        <c:crossBetween val="between"/>
      </c:valAx>
    </c:plotArea>
    <c:legend>
      <c:legendPos val="r"/>
      <c:layout>
        <c:manualLayout>
          <c:xMode val="edge"/>
          <c:yMode val="edge"/>
          <c:x val="0.86541073789868206"/>
          <c:y val="0.43296120173344249"/>
          <c:w val="0.1257860770581373"/>
          <c:h val="0.27696825501665073"/>
        </c:manualLayout>
      </c:layout>
      <c:overlay val="0"/>
      <c:spPr>
        <a:solidFill>
          <a:schemeClr val="bg1"/>
        </a:solidFill>
        <a:ln>
          <a:no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Wireless Transceivers - All Speeds/Reaches</a:t>
            </a:r>
          </a:p>
        </c:rich>
      </c:tx>
      <c:layout/>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Summary!$N$479</c:f>
              <c:strCache>
                <c:ptCount val="1"/>
                <c:pt idx="0">
                  <c:v>China</c:v>
                </c:pt>
              </c:strCache>
            </c:strRef>
          </c:tx>
          <c:invertIfNegative val="0"/>
          <c:cat>
            <c:numRef>
              <c:f>Summary!$O$478:$X$478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Summary!$O$479:$X$479</c:f>
              <c:numCache>
                <c:formatCode>_("$"* #,##0_);_("$"* \(#,##0\);_("$"* "-"??_);_(@_)</c:formatCode>
                <c:ptCount val="10"/>
                <c:pt idx="0">
                  <c:v>218.74931045678585</c:v>
                </c:pt>
                <c:pt idx="1">
                  <c:v>118.15802502183853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CCF-A840-BA6A-C201D71B0334}"/>
            </c:ext>
          </c:extLst>
        </c:ser>
        <c:ser>
          <c:idx val="1"/>
          <c:order val="1"/>
          <c:tx>
            <c:strRef>
              <c:f>Summary!$N$480</c:f>
              <c:strCache>
                <c:ptCount val="1"/>
                <c:pt idx="0">
                  <c:v>Rest of World</c:v>
                </c:pt>
              </c:strCache>
            </c:strRef>
          </c:tx>
          <c:invertIfNegative val="0"/>
          <c:cat>
            <c:numRef>
              <c:f>Summary!$O$478:$X$478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Summary!$O$480:$X$480</c:f>
              <c:numCache>
                <c:formatCode>_("$"* #,##0_);_("$"* \(#,##0\);_("$"* "-"??_);_(@_)</c:formatCode>
                <c:ptCount val="10"/>
                <c:pt idx="0">
                  <c:v>163.50751053190257</c:v>
                </c:pt>
                <c:pt idx="1">
                  <c:v>129.19089863121624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62487168"/>
        <c:axId val="62488960"/>
      </c:barChart>
      <c:catAx>
        <c:axId val="62487168"/>
        <c:scaling>
          <c:orientation val="minMax"/>
        </c:scaling>
        <c:delete val="0"/>
        <c:axPos val="b"/>
        <c:numFmt formatCode="General" sourceLinked="1"/>
        <c:majorTickMark val="out"/>
        <c:minorTickMark val="none"/>
        <c:tickLblPos val="nextTo"/>
        <c:txPr>
          <a:bodyPr/>
          <a:lstStyle/>
          <a:p>
            <a:pPr>
              <a:defRPr sz="1400" b="1"/>
            </a:pPr>
            <a:endParaRPr lang="en-US"/>
          </a:p>
        </c:txPr>
        <c:crossAx val="62488960"/>
        <c:crosses val="autoZero"/>
        <c:auto val="1"/>
        <c:lblAlgn val="ctr"/>
        <c:lblOffset val="100"/>
        <c:noMultiLvlLbl val="0"/>
      </c:catAx>
      <c:valAx>
        <c:axId val="6248896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2487168"/>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Summary!$B$511</c:f>
              <c:strCache>
                <c:ptCount val="1"/>
                <c:pt idx="0">
                  <c:v>China</c:v>
                </c:pt>
              </c:strCache>
            </c:strRef>
          </c:tx>
          <c:invertIfNegative val="0"/>
          <c:cat>
            <c:numRef>
              <c:f>Summary!$C$510:$L$510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Summary!$C$511:$L$511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34-D44A-B954-AC756A0BF8AC}"/>
            </c:ext>
          </c:extLst>
        </c:ser>
        <c:ser>
          <c:idx val="1"/>
          <c:order val="1"/>
          <c:tx>
            <c:strRef>
              <c:f>Summary!$B$512</c:f>
              <c:strCache>
                <c:ptCount val="1"/>
                <c:pt idx="0">
                  <c:v>Rest of World</c:v>
                </c:pt>
              </c:strCache>
            </c:strRef>
          </c:tx>
          <c:spPr>
            <a:solidFill>
              <a:schemeClr val="accent2"/>
            </a:solidFill>
          </c:spPr>
          <c:invertIfNegative val="0"/>
          <c:cat>
            <c:numRef>
              <c:f>Summary!$C$510:$L$510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Summary!$C$512:$L$512</c:f>
              <c:numCache>
                <c:formatCode>_(* #,##0_);_(* \(#,##0\);_(* "-"??_);_(@_)</c:formatCode>
                <c:ptCount val="10"/>
                <c:pt idx="0">
                  <c:v>40585.336519634919</c:v>
                </c:pt>
                <c:pt idx="1">
                  <c:v>153500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34-D44A-B954-AC756A0BF8AC}"/>
            </c:ext>
          </c:extLst>
        </c:ser>
        <c:dLbls>
          <c:showLegendKey val="0"/>
          <c:showVal val="0"/>
          <c:showCatName val="0"/>
          <c:showSerName val="0"/>
          <c:showPercent val="0"/>
          <c:showBubbleSize val="0"/>
        </c:dLbls>
        <c:gapWidth val="150"/>
        <c:overlap val="100"/>
        <c:axId val="62503168"/>
        <c:axId val="62586880"/>
      </c:barChart>
      <c:catAx>
        <c:axId val="62503168"/>
        <c:scaling>
          <c:orientation val="minMax"/>
        </c:scaling>
        <c:delete val="0"/>
        <c:axPos val="b"/>
        <c:numFmt formatCode="General" sourceLinked="1"/>
        <c:majorTickMark val="out"/>
        <c:minorTickMark val="none"/>
        <c:tickLblPos val="nextTo"/>
        <c:txPr>
          <a:bodyPr/>
          <a:lstStyle/>
          <a:p>
            <a:pPr>
              <a:defRPr sz="1400" b="1"/>
            </a:pPr>
            <a:endParaRPr lang="en-US"/>
          </a:p>
        </c:txPr>
        <c:crossAx val="62586880"/>
        <c:crosses val="autoZero"/>
        <c:auto val="1"/>
        <c:lblAlgn val="ctr"/>
        <c:lblOffset val="100"/>
        <c:noMultiLvlLbl val="0"/>
      </c:catAx>
      <c:valAx>
        <c:axId val="62586880"/>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2503168"/>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Fronthaul - 25G, 50G, 100G devices only</a:t>
            </a:r>
            <a:endParaRPr lang="en-US">
              <a:effectLst/>
            </a:endParaRPr>
          </a:p>
        </c:rich>
      </c:tx>
      <c:layout/>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Summary!$N$511</c:f>
              <c:strCache>
                <c:ptCount val="1"/>
                <c:pt idx="0">
                  <c:v>China</c:v>
                </c:pt>
              </c:strCache>
            </c:strRef>
          </c:tx>
          <c:invertIfNegative val="0"/>
          <c:cat>
            <c:numRef>
              <c:f>Summary!$O$510:$X$510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Summary!$O$511:$X$511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BBE-6E42-BD9D-D6DDC7486180}"/>
            </c:ext>
          </c:extLst>
        </c:ser>
        <c:ser>
          <c:idx val="1"/>
          <c:order val="1"/>
          <c:tx>
            <c:strRef>
              <c:f>Summary!$N$512</c:f>
              <c:strCache>
                <c:ptCount val="1"/>
                <c:pt idx="0">
                  <c:v>Rest of World</c:v>
                </c:pt>
              </c:strCache>
            </c:strRef>
          </c:tx>
          <c:invertIfNegative val="0"/>
          <c:cat>
            <c:numRef>
              <c:f>Summary!$O$510:$X$510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Summary!$O$512:$X$512</c:f>
              <c:numCache>
                <c:formatCode>_("$"* #,##0_);_("$"* \(#,##0\);_("$"* "-"??_);_(@_)</c:formatCode>
                <c:ptCount val="10"/>
                <c:pt idx="0">
                  <c:v>17.674636894045314</c:v>
                </c:pt>
                <c:pt idx="1">
                  <c:v>36.352450399771676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BBE-6E42-BD9D-D6DDC7486180}"/>
            </c:ext>
          </c:extLst>
        </c:ser>
        <c:dLbls>
          <c:showLegendKey val="0"/>
          <c:showVal val="0"/>
          <c:showCatName val="0"/>
          <c:showSerName val="0"/>
          <c:showPercent val="0"/>
          <c:showBubbleSize val="0"/>
        </c:dLbls>
        <c:gapWidth val="150"/>
        <c:overlap val="100"/>
        <c:axId val="63435904"/>
        <c:axId val="63437440"/>
      </c:barChart>
      <c:catAx>
        <c:axId val="63435904"/>
        <c:scaling>
          <c:orientation val="minMax"/>
        </c:scaling>
        <c:delete val="0"/>
        <c:axPos val="b"/>
        <c:numFmt formatCode="General" sourceLinked="1"/>
        <c:majorTickMark val="out"/>
        <c:minorTickMark val="none"/>
        <c:tickLblPos val="nextTo"/>
        <c:txPr>
          <a:bodyPr/>
          <a:lstStyle/>
          <a:p>
            <a:pPr>
              <a:defRPr sz="1400" b="1"/>
            </a:pPr>
            <a:endParaRPr lang="en-US"/>
          </a:p>
        </c:txPr>
        <c:crossAx val="63437440"/>
        <c:crosses val="autoZero"/>
        <c:auto val="1"/>
        <c:lblAlgn val="ctr"/>
        <c:lblOffset val="100"/>
        <c:noMultiLvlLbl val="0"/>
      </c:catAx>
      <c:valAx>
        <c:axId val="6343744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435904"/>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Ethernet</a:t>
            </a:r>
            <a:r>
              <a:rPr lang="en-US" baseline="0"/>
              <a:t> transceivers</a:t>
            </a:r>
            <a:r>
              <a:rPr lang="en-US"/>
              <a:t> - all speeds/reaches</a:t>
            </a: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Summary!$B$607</c:f>
              <c:strCache>
                <c:ptCount val="1"/>
                <c:pt idx="0">
                  <c:v>China</c:v>
                </c:pt>
              </c:strCache>
            </c:strRef>
          </c:tx>
          <c:invertIfNegative val="0"/>
          <c:cat>
            <c:numRef>
              <c:f>Summary!$C$606:$L$606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Summary!$C$607:$L$607</c:f>
              <c:numCache>
                <c:formatCode>_(* #,##0_);_(* \(#,##0\);_(* "-"??_);_(@_)</c:formatCode>
                <c:ptCount val="10"/>
                <c:pt idx="0">
                  <c:v>7189721.1434980687</c:v>
                </c:pt>
                <c:pt idx="1">
                  <c:v>7776607.445764591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3D8-AA46-B640-A37DF844425A}"/>
            </c:ext>
          </c:extLst>
        </c:ser>
        <c:ser>
          <c:idx val="1"/>
          <c:order val="1"/>
          <c:tx>
            <c:strRef>
              <c:f>Summary!$B$608</c:f>
              <c:strCache>
                <c:ptCount val="1"/>
                <c:pt idx="0">
                  <c:v>Rest of World</c:v>
                </c:pt>
              </c:strCache>
            </c:strRef>
          </c:tx>
          <c:spPr>
            <a:solidFill>
              <a:schemeClr val="accent2"/>
            </a:solidFill>
          </c:spPr>
          <c:invertIfNegative val="0"/>
          <c:cat>
            <c:numRef>
              <c:f>Summary!$C$606:$L$606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Summary!$C$608:$L$608</c:f>
              <c:numCache>
                <c:formatCode>_(* #,##0_);_(* \(#,##0\);_(* "-"??_);_(@_)</c:formatCode>
                <c:ptCount val="10"/>
                <c:pt idx="0">
                  <c:v>28978639.891501937</c:v>
                </c:pt>
                <c:pt idx="1">
                  <c:v>30301175.704235412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D8-AA46-B640-A37DF844425A}"/>
            </c:ext>
          </c:extLst>
        </c:ser>
        <c:dLbls>
          <c:showLegendKey val="0"/>
          <c:showVal val="0"/>
          <c:showCatName val="0"/>
          <c:showSerName val="0"/>
          <c:showPercent val="0"/>
          <c:showBubbleSize val="0"/>
        </c:dLbls>
        <c:gapWidth val="150"/>
        <c:overlap val="100"/>
        <c:axId val="63480576"/>
        <c:axId val="63482112"/>
      </c:barChart>
      <c:catAx>
        <c:axId val="63480576"/>
        <c:scaling>
          <c:orientation val="minMax"/>
        </c:scaling>
        <c:delete val="0"/>
        <c:axPos val="b"/>
        <c:numFmt formatCode="General" sourceLinked="1"/>
        <c:majorTickMark val="out"/>
        <c:minorTickMark val="none"/>
        <c:tickLblPos val="nextTo"/>
        <c:txPr>
          <a:bodyPr/>
          <a:lstStyle/>
          <a:p>
            <a:pPr>
              <a:defRPr sz="1400" b="1"/>
            </a:pPr>
            <a:endParaRPr lang="en-US"/>
          </a:p>
        </c:txPr>
        <c:crossAx val="63482112"/>
        <c:crosses val="autoZero"/>
        <c:auto val="1"/>
        <c:lblAlgn val="ctr"/>
        <c:lblOffset val="100"/>
        <c:noMultiLvlLbl val="0"/>
      </c:catAx>
      <c:valAx>
        <c:axId val="6348211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480576"/>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all speeds/reaches</a:t>
            </a:r>
            <a:endParaRPr lang="en-US">
              <a:effectLst/>
            </a:endParaRPr>
          </a:p>
        </c:rich>
      </c:tx>
      <c:layout/>
      <c:overlay val="1"/>
    </c:title>
    <c:autoTitleDeleted val="0"/>
    <c:plotArea>
      <c:layout>
        <c:manualLayout>
          <c:layoutTarget val="inner"/>
          <c:xMode val="edge"/>
          <c:yMode val="edge"/>
          <c:x val="0.14374986803577133"/>
          <c:y val="9.9681617634863398E-2"/>
          <c:w val="0.70384333486362038"/>
          <c:h val="0.8166724142499"/>
        </c:manualLayout>
      </c:layout>
      <c:barChart>
        <c:barDir val="col"/>
        <c:grouping val="stacked"/>
        <c:varyColors val="0"/>
        <c:ser>
          <c:idx val="0"/>
          <c:order val="0"/>
          <c:tx>
            <c:strRef>
              <c:f>Summary!$N$607</c:f>
              <c:strCache>
                <c:ptCount val="1"/>
                <c:pt idx="0">
                  <c:v>China</c:v>
                </c:pt>
              </c:strCache>
            </c:strRef>
          </c:tx>
          <c:invertIfNegative val="0"/>
          <c:cat>
            <c:numRef>
              <c:f>Summary!$O$606:$X$606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Summary!$O$607:$X$607</c:f>
              <c:numCache>
                <c:formatCode>_("$"* #,##0_);_("$"* \(#,##0\);_("$"* "-"??_);_(@_)</c:formatCode>
                <c:ptCount val="10"/>
                <c:pt idx="0">
                  <c:v>553.64846512280621</c:v>
                </c:pt>
                <c:pt idx="1">
                  <c:v>507.58220165509556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580-9847-972A-41D665C9F49B}"/>
            </c:ext>
          </c:extLst>
        </c:ser>
        <c:ser>
          <c:idx val="1"/>
          <c:order val="1"/>
          <c:tx>
            <c:strRef>
              <c:f>Summary!$N$608</c:f>
              <c:strCache>
                <c:ptCount val="1"/>
                <c:pt idx="0">
                  <c:v>Rest of World</c:v>
                </c:pt>
              </c:strCache>
            </c:strRef>
          </c:tx>
          <c:invertIfNegative val="0"/>
          <c:cat>
            <c:numRef>
              <c:f>Summary!$O$606:$X$606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Summary!$O$608:$X$608</c:f>
              <c:numCache>
                <c:formatCode>_("$"* #,##0_);_("$"* \(#,##0\);_("$"* "-"??_);_(@_)</c:formatCode>
                <c:ptCount val="10"/>
                <c:pt idx="0">
                  <c:v>2123.9206341623808</c:v>
                </c:pt>
                <c:pt idx="1">
                  <c:v>2668.3161711931034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80-9847-972A-41D665C9F49B}"/>
            </c:ext>
          </c:extLst>
        </c:ser>
        <c:dLbls>
          <c:showLegendKey val="0"/>
          <c:showVal val="0"/>
          <c:showCatName val="0"/>
          <c:showSerName val="0"/>
          <c:showPercent val="0"/>
          <c:showBubbleSize val="0"/>
        </c:dLbls>
        <c:gapWidth val="150"/>
        <c:overlap val="100"/>
        <c:axId val="63529344"/>
        <c:axId val="63530880"/>
      </c:barChart>
      <c:catAx>
        <c:axId val="63529344"/>
        <c:scaling>
          <c:orientation val="minMax"/>
        </c:scaling>
        <c:delete val="0"/>
        <c:axPos val="b"/>
        <c:numFmt formatCode="General" sourceLinked="1"/>
        <c:majorTickMark val="out"/>
        <c:minorTickMark val="none"/>
        <c:tickLblPos val="nextTo"/>
        <c:txPr>
          <a:bodyPr/>
          <a:lstStyle/>
          <a:p>
            <a:pPr>
              <a:defRPr sz="1400" b="0"/>
            </a:pPr>
            <a:endParaRPr lang="en-US"/>
          </a:p>
        </c:txPr>
        <c:crossAx val="63530880"/>
        <c:crosses val="autoZero"/>
        <c:auto val="1"/>
        <c:lblAlgn val="ctr"/>
        <c:lblOffset val="100"/>
        <c:noMultiLvlLbl val="0"/>
      </c:catAx>
      <c:valAx>
        <c:axId val="63530880"/>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529344"/>
        <c:crosses val="autoZero"/>
        <c:crossBetween val="between"/>
      </c:valAx>
    </c:plotArea>
    <c:legend>
      <c:legendPos val="r"/>
      <c:layout>
        <c:manualLayout>
          <c:xMode val="edge"/>
          <c:yMode val="edge"/>
          <c:x val="0.85395927170638486"/>
          <c:y val="0.36215575172365966"/>
          <c:w val="0.13370779642796535"/>
          <c:h val="0.39383738683280278"/>
        </c:manualLayout>
      </c:layout>
      <c:overlay val="0"/>
      <c:spPr>
        <a:solidFill>
          <a:schemeClr val="bg1"/>
        </a:solidFill>
        <a:ln>
          <a:no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2"/>
          <c:order val="2"/>
          <c:tx>
            <c:strRef>
              <c:f>Summary!$B$781</c:f>
              <c:strCache>
                <c:ptCount val="1"/>
                <c:pt idx="0">
                  <c:v>China</c:v>
                </c:pt>
              </c:strCache>
            </c:strRef>
          </c:tx>
          <c:invertIfNegative val="0"/>
          <c:cat>
            <c:numRef>
              <c:f>Summary!$C$780:$L$780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Summary!$C$781:$L$781</c:f>
              <c:numCache>
                <c:formatCode>_(* #,##0_);_(* \(#,##0\);_(* "-"??_);_(@_)</c:formatCode>
                <c:ptCount val="10"/>
                <c:pt idx="0">
                  <c:v>802184.53714285721</c:v>
                </c:pt>
                <c:pt idx="1">
                  <c:v>1831408.3199999998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3DA-E340-A5B4-546669EF54D4}"/>
            </c:ext>
          </c:extLst>
        </c:ser>
        <c:ser>
          <c:idx val="3"/>
          <c:order val="3"/>
          <c:tx>
            <c:strRef>
              <c:f>Summary!$B$782</c:f>
              <c:strCache>
                <c:ptCount val="1"/>
                <c:pt idx="0">
                  <c:v>Rest of World</c:v>
                </c:pt>
              </c:strCache>
            </c:strRef>
          </c:tx>
          <c:spPr>
            <a:solidFill>
              <a:schemeClr val="accent2"/>
            </a:solidFill>
          </c:spPr>
          <c:invertIfNegative val="0"/>
          <c:cat>
            <c:numRef>
              <c:f>Summary!$C$780:$L$780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Summary!$C$782:$L$782</c:f>
              <c:numCache>
                <c:formatCode>_(* #,##0_);_(* \(#,##0\);_(* "-"??_);_(@_)</c:formatCode>
                <c:ptCount val="10"/>
                <c:pt idx="0">
                  <c:v>1715201.82</c:v>
                </c:pt>
                <c:pt idx="1">
                  <c:v>2294447.6800000002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DA-E340-A5B4-546669EF54D4}"/>
            </c:ext>
          </c:extLst>
        </c:ser>
        <c:ser>
          <c:idx val="0"/>
          <c:order val="0"/>
          <c:tx>
            <c:strRef>
              <c:f>Summary!$N$781</c:f>
              <c:strCache>
                <c:ptCount val="1"/>
                <c:pt idx="0">
                  <c:v>China</c:v>
                </c:pt>
              </c:strCache>
            </c:strRef>
          </c:tx>
          <c:invertIfNegative val="0"/>
          <c:cat>
            <c:numRef>
              <c:f>Summary!$O$780:$X$780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Summary!$O$781:$X$781</c:f>
              <c:numCache>
                <c:formatCode>_("$"* #,##0_);_("$"* \(#,##0\);_("$"* "-"??_);_(@_)</c:formatCode>
                <c:ptCount val="10"/>
                <c:pt idx="0">
                  <c:v>46.76241923894375</c:v>
                </c:pt>
                <c:pt idx="1">
                  <c:v>61.78953336003724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353-674F-B37B-17BAD6445B93}"/>
            </c:ext>
          </c:extLst>
        </c:ser>
        <c:ser>
          <c:idx val="1"/>
          <c:order val="1"/>
          <c:tx>
            <c:strRef>
              <c:f>Summary!$N$782</c:f>
              <c:strCache>
                <c:ptCount val="1"/>
                <c:pt idx="0">
                  <c:v>Rest of World</c:v>
                </c:pt>
              </c:strCache>
            </c:strRef>
          </c:tx>
          <c:spPr>
            <a:solidFill>
              <a:schemeClr val="accent2"/>
            </a:solidFill>
          </c:spPr>
          <c:invertIfNegative val="0"/>
          <c:cat>
            <c:numRef>
              <c:f>Summary!$O$780:$X$780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Summary!$O$782:$X$782</c:f>
              <c:numCache>
                <c:formatCode>_("$"* #,##0_);_("$"* \(#,##0\);_("$"* "-"??_);_(@_)</c:formatCode>
                <c:ptCount val="10"/>
                <c:pt idx="0">
                  <c:v>183.53084702024273</c:v>
                </c:pt>
                <c:pt idx="1">
                  <c:v>150.51291597350368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53-674F-B37B-17BAD6445B93}"/>
            </c:ext>
          </c:extLst>
        </c:ser>
        <c:dLbls>
          <c:showLegendKey val="0"/>
          <c:showVal val="0"/>
          <c:showCatName val="0"/>
          <c:showSerName val="0"/>
          <c:showPercent val="0"/>
          <c:showBubbleSize val="0"/>
        </c:dLbls>
        <c:gapWidth val="150"/>
        <c:overlap val="100"/>
        <c:axId val="63580416"/>
        <c:axId val="63610880"/>
      </c:barChart>
      <c:catAx>
        <c:axId val="63580416"/>
        <c:scaling>
          <c:orientation val="minMax"/>
        </c:scaling>
        <c:delete val="0"/>
        <c:axPos val="b"/>
        <c:numFmt formatCode="General" sourceLinked="1"/>
        <c:majorTickMark val="out"/>
        <c:minorTickMark val="none"/>
        <c:tickLblPos val="nextTo"/>
        <c:txPr>
          <a:bodyPr/>
          <a:lstStyle/>
          <a:p>
            <a:pPr>
              <a:defRPr sz="1400" b="1"/>
            </a:pPr>
            <a:endParaRPr lang="en-US"/>
          </a:p>
        </c:txPr>
        <c:crossAx val="63610880"/>
        <c:crosses val="autoZero"/>
        <c:auto val="1"/>
        <c:lblAlgn val="ctr"/>
        <c:lblOffset val="100"/>
        <c:noMultiLvlLbl val="0"/>
      </c:catAx>
      <c:valAx>
        <c:axId val="63610880"/>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580416"/>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220847541145965"/>
          <c:y val="2.3447318997544001E-2"/>
        </c:manualLayout>
      </c:layout>
      <c:overlay val="1"/>
    </c:title>
    <c:autoTitleDeleted val="0"/>
    <c:plotArea>
      <c:layout>
        <c:manualLayout>
          <c:layoutTarget val="inner"/>
          <c:xMode val="edge"/>
          <c:yMode val="edge"/>
          <c:x val="0.211267444745148"/>
          <c:y val="0.106272060455931"/>
          <c:w val="0.75220969683644801"/>
          <c:h val="0.78628717588645303"/>
        </c:manualLayout>
      </c:layout>
      <c:lineChart>
        <c:grouping val="standard"/>
        <c:varyColors val="0"/>
        <c:ser>
          <c:idx val="1"/>
          <c:order val="0"/>
          <c:tx>
            <c:strRef>
              <c:f>Summary!$B$132</c:f>
              <c:strCache>
                <c:ptCount val="1"/>
                <c:pt idx="0">
                  <c:v>Ethernet </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Summary!$C$132:$L$132</c:f>
              <c:numCache>
                <c:formatCode>_(* #,##0_);_(* \(#,##0\);_(* "-"??_);_(@_)</c:formatCode>
                <c:ptCount val="10"/>
                <c:pt idx="0">
                  <c:v>6868740.9733608188</c:v>
                </c:pt>
                <c:pt idx="1">
                  <c:v>7233287.7086245911</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C09B-F24A-AACA-72FD900F8291}"/>
            </c:ext>
          </c:extLst>
        </c:ser>
        <c:ser>
          <c:idx val="2"/>
          <c:order val="1"/>
          <c:tx>
            <c:strRef>
              <c:f>Summary!$B$133</c:f>
              <c:strCache>
                <c:ptCount val="1"/>
                <c:pt idx="0">
                  <c:v>Fibre Channel</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Summary!$C$133:$L$133</c:f>
              <c:numCache>
                <c:formatCode>_(* #,##0_);_(* \(#,##0\);_(* "-"??_);_(@_)</c:formatCode>
                <c:ptCount val="10"/>
                <c:pt idx="0">
                  <c:v>391882.55</c:v>
                </c:pt>
                <c:pt idx="1">
                  <c:v>385244.85000000003</c:v>
                </c:pt>
                <c:pt idx="2">
                  <c:v>391958.50000000006</c:v>
                </c:pt>
                <c:pt idx="3">
                  <c:v>384386.72789471393</c:v>
                </c:pt>
                <c:pt idx="4">
                  <c:v>221305.85</c:v>
                </c:pt>
                <c:pt idx="5">
                  <c:v>248811.66500000001</c:v>
                </c:pt>
                <c:pt idx="6">
                  <c:v>274616.74674999999</c:v>
                </c:pt>
                <c:pt idx="7">
                  <c:v>278374.46647500002</c:v>
                </c:pt>
                <c:pt idx="8">
                  <c:v>280009.66606375005</c:v>
                </c:pt>
                <c:pt idx="9">
                  <c:v>290632.6408461876</c:v>
                </c:pt>
              </c:numCache>
            </c:numRef>
          </c:val>
          <c:smooth val="1"/>
          <c:extLst xmlns:c16r2="http://schemas.microsoft.com/office/drawing/2015/06/chart">
            <c:ext xmlns:c16="http://schemas.microsoft.com/office/drawing/2014/chart" uri="{C3380CC4-5D6E-409C-BE32-E72D297353CC}">
              <c16:uniqueId val="{00000001-C09B-F24A-AACA-72FD900F8291}"/>
            </c:ext>
          </c:extLst>
        </c:ser>
        <c:ser>
          <c:idx val="4"/>
          <c:order val="2"/>
          <c:tx>
            <c:strRef>
              <c:f>Summary!$B$134</c:f>
              <c:strCache>
                <c:ptCount val="1"/>
                <c:pt idx="0">
                  <c:v>Optical Interconnects</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Summary!$C$134:$L$134</c:f>
              <c:numCache>
                <c:formatCode>_(* #,##0_);_(* \(#,##0\);_(* "-"??_);_(@_)</c:formatCode>
                <c:ptCount val="10"/>
                <c:pt idx="0">
                  <c:v>810134.53714285721</c:v>
                </c:pt>
                <c:pt idx="1">
                  <c:v>1855026.5199999996</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C09B-F24A-AACA-72FD900F8291}"/>
            </c:ext>
          </c:extLst>
        </c:ser>
        <c:dLbls>
          <c:showLegendKey val="0"/>
          <c:showVal val="0"/>
          <c:showCatName val="0"/>
          <c:showSerName val="0"/>
          <c:showPercent val="0"/>
          <c:showBubbleSize val="0"/>
        </c:dLbls>
        <c:marker val="1"/>
        <c:smooth val="0"/>
        <c:axId val="465459072"/>
        <c:axId val="465460608"/>
      </c:lineChart>
      <c:catAx>
        <c:axId val="465459072"/>
        <c:scaling>
          <c:orientation val="minMax"/>
        </c:scaling>
        <c:delete val="0"/>
        <c:axPos val="b"/>
        <c:numFmt formatCode="General" sourceLinked="1"/>
        <c:majorTickMark val="out"/>
        <c:minorTickMark val="none"/>
        <c:tickLblPos val="nextTo"/>
        <c:txPr>
          <a:bodyPr/>
          <a:lstStyle/>
          <a:p>
            <a:pPr>
              <a:defRPr sz="1200" b="0"/>
            </a:pPr>
            <a:endParaRPr lang="en-US"/>
          </a:p>
        </c:txPr>
        <c:crossAx val="465460608"/>
        <c:crosses val="autoZero"/>
        <c:auto val="1"/>
        <c:lblAlgn val="ctr"/>
        <c:lblOffset val="100"/>
        <c:noMultiLvlLbl val="1"/>
      </c:catAx>
      <c:valAx>
        <c:axId val="465460608"/>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8283259702862601E-2"/>
              <c:y val="0.39729775816239499"/>
            </c:manualLayout>
          </c:layout>
          <c:overlay val="0"/>
        </c:title>
        <c:numFmt formatCode="_(* #,##0_);_(* \(#,##0\);_(* &quot;-&quot;??_);_(@_)" sourceLinked="1"/>
        <c:majorTickMark val="out"/>
        <c:minorTickMark val="none"/>
        <c:tickLblPos val="nextTo"/>
        <c:txPr>
          <a:bodyPr/>
          <a:lstStyle/>
          <a:p>
            <a:pPr>
              <a:defRPr sz="1400" b="0"/>
            </a:pPr>
            <a:endParaRPr lang="en-US"/>
          </a:p>
        </c:txPr>
        <c:crossAx val="465459072"/>
        <c:crosses val="autoZero"/>
        <c:crossBetween val="between"/>
      </c:valAx>
    </c:plotArea>
    <c:legend>
      <c:legendPos val="t"/>
      <c:layout>
        <c:manualLayout>
          <c:xMode val="edge"/>
          <c:yMode val="edge"/>
          <c:x val="0.27142224229717798"/>
          <c:y val="0.105512935488948"/>
          <c:w val="0.66993309554149105"/>
          <c:h val="6.7173568778879297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EOMs - all types</a:t>
            </a:r>
          </a:p>
        </c:rich>
      </c:tx>
      <c:layout/>
      <c:overlay val="0"/>
    </c:title>
    <c:autoTitleDeleted val="0"/>
    <c:plotArea>
      <c:layout>
        <c:manualLayout>
          <c:layoutTarget val="inner"/>
          <c:xMode val="edge"/>
          <c:yMode val="edge"/>
          <c:x val="0.16647974351898059"/>
          <c:y val="0.1081994045614366"/>
          <c:w val="0.70965551732178556"/>
          <c:h val="0.80933840259032497"/>
        </c:manualLayout>
      </c:layout>
      <c:barChart>
        <c:barDir val="col"/>
        <c:grouping val="stacked"/>
        <c:varyColors val="0"/>
        <c:ser>
          <c:idx val="0"/>
          <c:order val="0"/>
          <c:tx>
            <c:strRef>
              <c:f>Summary!$B$813</c:f>
              <c:strCache>
                <c:ptCount val="1"/>
                <c:pt idx="0">
                  <c:v>China</c:v>
                </c:pt>
              </c:strCache>
            </c:strRef>
          </c:tx>
          <c:invertIfNegative val="0"/>
          <c:cat>
            <c:numRef>
              <c:f>Summary!$C$812:$L$812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Summary!$C$813:$L$813</c:f>
              <c:numCache>
                <c:formatCode>_(* #,##0_);_(* \(#,##0\);_(* "-"??_);_(@_)</c:formatCode>
                <c:ptCount val="10"/>
                <c:pt idx="0">
                  <c:v>7950</c:v>
                </c:pt>
                <c:pt idx="1">
                  <c:v>23618.2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495-AF44-A278-6CC4354D109A}"/>
            </c:ext>
          </c:extLst>
        </c:ser>
        <c:ser>
          <c:idx val="1"/>
          <c:order val="1"/>
          <c:tx>
            <c:strRef>
              <c:f>Summary!$B$814</c:f>
              <c:strCache>
                <c:ptCount val="1"/>
                <c:pt idx="0">
                  <c:v>Rest of World</c:v>
                </c:pt>
              </c:strCache>
            </c:strRef>
          </c:tx>
          <c:spPr>
            <a:solidFill>
              <a:schemeClr val="accent2"/>
            </a:solidFill>
          </c:spPr>
          <c:invertIfNegative val="0"/>
          <c:cat>
            <c:numRef>
              <c:f>Summary!$C$812:$L$812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Summary!$C$814:$L$814</c:f>
              <c:numCache>
                <c:formatCode>_(* #,##0_);_(* \(#,##0\);_(* "-"??_);_(@_)</c:formatCode>
                <c:ptCount val="10"/>
                <c:pt idx="0">
                  <c:v>45050</c:v>
                </c:pt>
                <c:pt idx="1">
                  <c:v>94472.8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495-AF44-A278-6CC4354D109A}"/>
            </c:ext>
          </c:extLst>
        </c:ser>
        <c:dLbls>
          <c:showLegendKey val="0"/>
          <c:showVal val="0"/>
          <c:showCatName val="0"/>
          <c:showSerName val="0"/>
          <c:showPercent val="0"/>
          <c:showBubbleSize val="0"/>
        </c:dLbls>
        <c:gapWidth val="150"/>
        <c:overlap val="100"/>
        <c:axId val="63637376"/>
        <c:axId val="63638912"/>
      </c:barChart>
      <c:catAx>
        <c:axId val="63637376"/>
        <c:scaling>
          <c:orientation val="minMax"/>
        </c:scaling>
        <c:delete val="0"/>
        <c:axPos val="b"/>
        <c:numFmt formatCode="General" sourceLinked="1"/>
        <c:majorTickMark val="out"/>
        <c:minorTickMark val="none"/>
        <c:tickLblPos val="nextTo"/>
        <c:txPr>
          <a:bodyPr/>
          <a:lstStyle/>
          <a:p>
            <a:pPr>
              <a:defRPr sz="1400" b="0"/>
            </a:pPr>
            <a:endParaRPr lang="en-US"/>
          </a:p>
        </c:txPr>
        <c:crossAx val="63638912"/>
        <c:crosses val="autoZero"/>
        <c:auto val="1"/>
        <c:lblAlgn val="ctr"/>
        <c:lblOffset val="100"/>
        <c:noMultiLvlLbl val="0"/>
      </c:catAx>
      <c:valAx>
        <c:axId val="63638912"/>
        <c:scaling>
          <c:orientation val="minMax"/>
          <c:max val="600000"/>
        </c:scaling>
        <c:delete val="0"/>
        <c:axPos val="l"/>
        <c:majorGridlines/>
        <c:title>
          <c:tx>
            <c:rich>
              <a:bodyPr rot="-5400000" vert="horz"/>
              <a:lstStyle/>
              <a:p>
                <a:pPr>
                  <a:defRPr sz="1600" b="0"/>
                </a:pPr>
                <a:r>
                  <a:rPr lang="en-US" sz="1600" b="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637376"/>
        <c:crosses val="autoZero"/>
        <c:crossBetween val="between"/>
        <c:majorUnit val="200000"/>
      </c:valAx>
    </c:plotArea>
    <c:legend>
      <c:legendPos val="r"/>
      <c:layout>
        <c:manualLayout>
          <c:xMode val="edge"/>
          <c:yMode val="edge"/>
          <c:x val="0.85902847179592923"/>
          <c:y val="0.48188163393976874"/>
          <c:w val="0.12867734832448843"/>
          <c:h val="0.4039823588744334"/>
        </c:manualLayout>
      </c:layout>
      <c:overlay val="0"/>
      <c:spPr>
        <a:solidFill>
          <a:schemeClr val="bg1"/>
        </a:solidFill>
        <a:ln>
          <a:no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revenues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0"/>
          <c:order val="0"/>
          <c:tx>
            <c:strRef>
              <c:f>Summary!$N$781</c:f>
              <c:strCache>
                <c:ptCount val="1"/>
                <c:pt idx="0">
                  <c:v>China</c:v>
                </c:pt>
              </c:strCache>
            </c:strRef>
          </c:tx>
          <c:invertIfNegative val="0"/>
          <c:cat>
            <c:numRef>
              <c:f>Summary!$O$780:$X$780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Summary!$O$781:$X$781</c:f>
              <c:numCache>
                <c:formatCode>_("$"* #,##0_);_("$"* \(#,##0\);_("$"* "-"??_);_(@_)</c:formatCode>
                <c:ptCount val="10"/>
                <c:pt idx="0">
                  <c:v>46.76241923894375</c:v>
                </c:pt>
                <c:pt idx="1">
                  <c:v>61.78953336003724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353-674F-B37B-17BAD6445B93}"/>
            </c:ext>
          </c:extLst>
        </c:ser>
        <c:ser>
          <c:idx val="1"/>
          <c:order val="1"/>
          <c:tx>
            <c:strRef>
              <c:f>Summary!$N$782</c:f>
              <c:strCache>
                <c:ptCount val="1"/>
                <c:pt idx="0">
                  <c:v>Rest of World</c:v>
                </c:pt>
              </c:strCache>
            </c:strRef>
          </c:tx>
          <c:spPr>
            <a:solidFill>
              <a:schemeClr val="accent2"/>
            </a:solidFill>
          </c:spPr>
          <c:invertIfNegative val="0"/>
          <c:cat>
            <c:numRef>
              <c:f>Summary!$O$780:$X$780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Summary!$O$782:$X$782</c:f>
              <c:numCache>
                <c:formatCode>_("$"* #,##0_);_("$"* \(#,##0\);_("$"* "-"??_);_(@_)</c:formatCode>
                <c:ptCount val="10"/>
                <c:pt idx="0">
                  <c:v>183.53084702024273</c:v>
                </c:pt>
                <c:pt idx="1">
                  <c:v>150.51291597350368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53-674F-B37B-17BAD6445B93}"/>
            </c:ext>
          </c:extLst>
        </c:ser>
        <c:dLbls>
          <c:showLegendKey val="0"/>
          <c:showVal val="0"/>
          <c:showCatName val="0"/>
          <c:showSerName val="0"/>
          <c:showPercent val="0"/>
          <c:showBubbleSize val="0"/>
        </c:dLbls>
        <c:gapWidth val="150"/>
        <c:overlap val="100"/>
        <c:axId val="64296448"/>
        <c:axId val="64297984"/>
      </c:barChart>
      <c:catAx>
        <c:axId val="64296448"/>
        <c:scaling>
          <c:orientation val="minMax"/>
        </c:scaling>
        <c:delete val="0"/>
        <c:axPos val="b"/>
        <c:numFmt formatCode="General" sourceLinked="1"/>
        <c:majorTickMark val="out"/>
        <c:minorTickMark val="none"/>
        <c:tickLblPos val="nextTo"/>
        <c:txPr>
          <a:bodyPr/>
          <a:lstStyle/>
          <a:p>
            <a:pPr>
              <a:defRPr sz="1400" b="1"/>
            </a:pPr>
            <a:endParaRPr lang="en-US"/>
          </a:p>
        </c:txPr>
        <c:crossAx val="64297984"/>
        <c:crosses val="autoZero"/>
        <c:auto val="1"/>
        <c:lblAlgn val="ctr"/>
        <c:lblOffset val="100"/>
        <c:noMultiLvlLbl val="0"/>
      </c:catAx>
      <c:valAx>
        <c:axId val="64297984"/>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64296448"/>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EOMs - all types</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77971590391029699"/>
        </c:manualLayout>
      </c:layout>
      <c:barChart>
        <c:barDir val="col"/>
        <c:grouping val="stacked"/>
        <c:varyColors val="0"/>
        <c:ser>
          <c:idx val="0"/>
          <c:order val="0"/>
          <c:tx>
            <c:strRef>
              <c:f>Summary!$N$813</c:f>
              <c:strCache>
                <c:ptCount val="1"/>
                <c:pt idx="0">
                  <c:v>China</c:v>
                </c:pt>
              </c:strCache>
            </c:strRef>
          </c:tx>
          <c:invertIfNegative val="0"/>
          <c:cat>
            <c:numRef>
              <c:f>Summary!$O$812:$X$812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Summary!$O$813:$X$813</c:f>
              <c:numCache>
                <c:formatCode>_("$"* #,##0_);_("$"* \(#,##0\);_("$"* "-"??_);_(@_)</c:formatCode>
                <c:ptCount val="10"/>
                <c:pt idx="0">
                  <c:v>3.6433499426681508</c:v>
                </c:pt>
                <c:pt idx="1">
                  <c:v>9.8960258000000003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A37-D94E-B1DA-13233E3A1C1E}"/>
            </c:ext>
          </c:extLst>
        </c:ser>
        <c:ser>
          <c:idx val="1"/>
          <c:order val="1"/>
          <c:tx>
            <c:strRef>
              <c:f>Summary!$N$814</c:f>
              <c:strCache>
                <c:ptCount val="1"/>
                <c:pt idx="0">
                  <c:v>Rest of World</c:v>
                </c:pt>
              </c:strCache>
            </c:strRef>
          </c:tx>
          <c:spPr>
            <a:solidFill>
              <a:schemeClr val="accent2"/>
            </a:solidFill>
          </c:spPr>
          <c:invertIfNegative val="0"/>
          <c:cat>
            <c:numRef>
              <c:f>Summary!$O$812:$X$812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Summary!$O$814:$X$814</c:f>
              <c:numCache>
                <c:formatCode>_("$"* #,##0_);_("$"* \(#,##0\);_("$"* "-"??_);_(@_)</c:formatCode>
                <c:ptCount val="10"/>
                <c:pt idx="0">
                  <c:v>20.645649675119522</c:v>
                </c:pt>
                <c:pt idx="1">
                  <c:v>39.584103200000001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37-D94E-B1DA-13233E3A1C1E}"/>
            </c:ext>
          </c:extLst>
        </c:ser>
        <c:dLbls>
          <c:showLegendKey val="0"/>
          <c:showVal val="0"/>
          <c:showCatName val="0"/>
          <c:showSerName val="0"/>
          <c:showPercent val="0"/>
          <c:showBubbleSize val="0"/>
        </c:dLbls>
        <c:gapWidth val="150"/>
        <c:overlap val="100"/>
        <c:axId val="64324736"/>
        <c:axId val="64326272"/>
      </c:barChart>
      <c:catAx>
        <c:axId val="64324736"/>
        <c:scaling>
          <c:orientation val="minMax"/>
        </c:scaling>
        <c:delete val="0"/>
        <c:axPos val="b"/>
        <c:numFmt formatCode="General" sourceLinked="1"/>
        <c:majorTickMark val="out"/>
        <c:minorTickMark val="none"/>
        <c:tickLblPos val="nextTo"/>
        <c:txPr>
          <a:bodyPr/>
          <a:lstStyle/>
          <a:p>
            <a:pPr>
              <a:defRPr sz="1050" b="0"/>
            </a:pPr>
            <a:endParaRPr lang="en-US"/>
          </a:p>
        </c:txPr>
        <c:crossAx val="64326272"/>
        <c:crosses val="autoZero"/>
        <c:auto val="1"/>
        <c:lblAlgn val="ctr"/>
        <c:lblOffset val="100"/>
        <c:noMultiLvlLbl val="0"/>
      </c:catAx>
      <c:valAx>
        <c:axId val="64326272"/>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64324736"/>
        <c:crosses val="autoZero"/>
        <c:crossBetween val="between"/>
      </c:valAx>
    </c:plotArea>
    <c:legend>
      <c:legendPos val="r"/>
      <c:layout>
        <c:manualLayout>
          <c:xMode val="edge"/>
          <c:yMode val="edge"/>
          <c:x val="0.87726276705962902"/>
          <c:y val="0.378112773697941"/>
          <c:w val="0.11552145288230301"/>
          <c:h val="0.5635629348616869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Summary!$B$639</c:f>
              <c:strCache>
                <c:ptCount val="1"/>
                <c:pt idx="0">
                  <c:v>China</c:v>
                </c:pt>
              </c:strCache>
            </c:strRef>
          </c:tx>
          <c:invertIfNegative val="0"/>
          <c:cat>
            <c:numRef>
              <c:f>Summary!$C$638:$L$638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Summary!$C$639:$L$639</c:f>
              <c:numCache>
                <c:formatCode>_(* #,##0_);_(* \(#,##0\);_(* "-"??_);_(@_)</c:formatCode>
                <c:ptCount val="10"/>
                <c:pt idx="0">
                  <c:v>118616.39500000002</c:v>
                </c:pt>
                <c:pt idx="1">
                  <c:v>256098.73799999998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BB-8642-86E1-DC3A6D2F3153}"/>
            </c:ext>
          </c:extLst>
        </c:ser>
        <c:ser>
          <c:idx val="1"/>
          <c:order val="1"/>
          <c:tx>
            <c:strRef>
              <c:f>Summary!$B$640</c:f>
              <c:strCache>
                <c:ptCount val="1"/>
                <c:pt idx="0">
                  <c:v>Rest of World</c:v>
                </c:pt>
              </c:strCache>
            </c:strRef>
          </c:tx>
          <c:spPr>
            <a:solidFill>
              <a:schemeClr val="accent2"/>
            </a:solidFill>
          </c:spPr>
          <c:invertIfNegative val="0"/>
          <c:cat>
            <c:numRef>
              <c:f>Summary!$C$638:$L$638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Summary!$C$640:$L$640</c:f>
              <c:numCache>
                <c:formatCode>_(* #,##0_);_(* \(#,##0\);_(* "-"??_);_(@_)</c:formatCode>
                <c:ptCount val="10"/>
                <c:pt idx="0">
                  <c:v>800753.6050000001</c:v>
                </c:pt>
                <c:pt idx="1">
                  <c:v>2625480.2620000006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BB-8642-86E1-DC3A6D2F3153}"/>
            </c:ext>
          </c:extLst>
        </c:ser>
        <c:dLbls>
          <c:showLegendKey val="0"/>
          <c:showVal val="0"/>
          <c:showCatName val="0"/>
          <c:showSerName val="0"/>
          <c:showPercent val="0"/>
          <c:showBubbleSize val="0"/>
        </c:dLbls>
        <c:gapWidth val="150"/>
        <c:overlap val="100"/>
        <c:axId val="64357120"/>
        <c:axId val="64358656"/>
      </c:barChart>
      <c:catAx>
        <c:axId val="64357120"/>
        <c:scaling>
          <c:orientation val="minMax"/>
        </c:scaling>
        <c:delete val="0"/>
        <c:axPos val="b"/>
        <c:numFmt formatCode="General" sourceLinked="1"/>
        <c:majorTickMark val="out"/>
        <c:minorTickMark val="none"/>
        <c:tickLblPos val="nextTo"/>
        <c:txPr>
          <a:bodyPr/>
          <a:lstStyle/>
          <a:p>
            <a:pPr>
              <a:defRPr sz="1400" b="1"/>
            </a:pPr>
            <a:endParaRPr lang="en-US"/>
          </a:p>
        </c:txPr>
        <c:crossAx val="64358656"/>
        <c:crosses val="autoZero"/>
        <c:auto val="1"/>
        <c:lblAlgn val="ctr"/>
        <c:lblOffset val="100"/>
        <c:noMultiLvlLbl val="0"/>
      </c:catAx>
      <c:valAx>
        <c:axId val="64358656"/>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4357120"/>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layout/>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Summary!$N$639</c:f>
              <c:strCache>
                <c:ptCount val="1"/>
                <c:pt idx="0">
                  <c:v>China</c:v>
                </c:pt>
              </c:strCache>
            </c:strRef>
          </c:tx>
          <c:invertIfNegative val="0"/>
          <c:cat>
            <c:numRef>
              <c:f>Summary!$O$638:$X$638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Summary!$O$639:$X$639</c:f>
              <c:numCache>
                <c:formatCode>_("$"* #,##0_);_("$"* \(#,##0\);_("$"* "-"??_);_(@_)</c:formatCode>
                <c:ptCount val="10"/>
                <c:pt idx="0">
                  <c:v>298.68033240387786</c:v>
                </c:pt>
                <c:pt idx="1">
                  <c:v>227.48822996170949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43-CF40-BB67-D5CC6F9D9B3A}"/>
            </c:ext>
          </c:extLst>
        </c:ser>
        <c:ser>
          <c:idx val="1"/>
          <c:order val="1"/>
          <c:tx>
            <c:strRef>
              <c:f>Summary!$N$640</c:f>
              <c:strCache>
                <c:ptCount val="1"/>
                <c:pt idx="0">
                  <c:v>Rest of World</c:v>
                </c:pt>
              </c:strCache>
            </c:strRef>
          </c:tx>
          <c:invertIfNegative val="0"/>
          <c:cat>
            <c:numRef>
              <c:f>Summary!$O$638:$X$638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Summary!$O$640:$X$640</c:f>
              <c:numCache>
                <c:formatCode>_("$"* #,##0_);_("$"* \(#,##0\);_("$"* "-"??_);_(@_)</c:formatCode>
                <c:ptCount val="10"/>
                <c:pt idx="0">
                  <c:v>844.47863173577048</c:v>
                </c:pt>
                <c:pt idx="1">
                  <c:v>1427.7133087718689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43-CF40-BB67-D5CC6F9D9B3A}"/>
            </c:ext>
          </c:extLst>
        </c:ser>
        <c:dLbls>
          <c:showLegendKey val="0"/>
          <c:showVal val="0"/>
          <c:showCatName val="0"/>
          <c:showSerName val="0"/>
          <c:showPercent val="0"/>
          <c:showBubbleSize val="0"/>
        </c:dLbls>
        <c:gapWidth val="150"/>
        <c:overlap val="100"/>
        <c:axId val="64397696"/>
        <c:axId val="64399232"/>
      </c:barChart>
      <c:catAx>
        <c:axId val="64397696"/>
        <c:scaling>
          <c:orientation val="minMax"/>
        </c:scaling>
        <c:delete val="0"/>
        <c:axPos val="b"/>
        <c:numFmt formatCode="General" sourceLinked="1"/>
        <c:majorTickMark val="out"/>
        <c:minorTickMark val="none"/>
        <c:tickLblPos val="nextTo"/>
        <c:txPr>
          <a:bodyPr/>
          <a:lstStyle/>
          <a:p>
            <a:pPr>
              <a:defRPr sz="1400" b="1"/>
            </a:pPr>
            <a:endParaRPr lang="en-US"/>
          </a:p>
        </c:txPr>
        <c:crossAx val="64399232"/>
        <c:crosses val="autoZero"/>
        <c:auto val="1"/>
        <c:lblAlgn val="ctr"/>
        <c:lblOffset val="100"/>
        <c:noMultiLvlLbl val="0"/>
      </c:catAx>
      <c:valAx>
        <c:axId val="64399232"/>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397696"/>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shipments - All transceivers</a:t>
            </a:r>
          </a:p>
        </c:rich>
      </c:tx>
      <c:layout/>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Summary!$B$221</c:f>
              <c:strCache>
                <c:ptCount val="1"/>
                <c:pt idx="0">
                  <c:v>China</c:v>
                </c:pt>
              </c:strCache>
            </c:strRef>
          </c:tx>
          <c:invertIfNegative val="0"/>
          <c:cat>
            <c:numRef>
              <c:f>Summary!$C$220:$L$220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Summary!$C$221:$L$221</c:f>
              <c:numCache>
                <c:formatCode>_(* #,##0_);_(* \(#,##0\);_(* "-"??_);_(@_)</c:formatCode>
                <c:ptCount val="10"/>
                <c:pt idx="0">
                  <c:v>318236.98642946867</c:v>
                </c:pt>
                <c:pt idx="1">
                  <c:v>257191.94009730837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8EF-F848-8CB6-7D3A27F60537}"/>
            </c:ext>
          </c:extLst>
        </c:ser>
        <c:ser>
          <c:idx val="1"/>
          <c:order val="1"/>
          <c:tx>
            <c:strRef>
              <c:f>Summary!$B$222</c:f>
              <c:strCache>
                <c:ptCount val="1"/>
                <c:pt idx="0">
                  <c:v>Rest of World</c:v>
                </c:pt>
              </c:strCache>
            </c:strRef>
          </c:tx>
          <c:spPr>
            <a:solidFill>
              <a:schemeClr val="accent2"/>
            </a:solidFill>
          </c:spPr>
          <c:invertIfNegative val="0"/>
          <c:cat>
            <c:numRef>
              <c:f>Summary!$C$220:$L$220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Summary!$C$222:$L$222</c:f>
              <c:numCache>
                <c:formatCode>_(* #,##0_);_(* \(#,##0\);_(* "-"??_);_(@_)</c:formatCode>
                <c:ptCount val="10"/>
                <c:pt idx="0">
                  <c:v>713971.01357053127</c:v>
                </c:pt>
                <c:pt idx="1">
                  <c:v>648563.05990269163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EF-F848-8CB6-7D3A27F60537}"/>
            </c:ext>
          </c:extLst>
        </c:ser>
        <c:dLbls>
          <c:showLegendKey val="0"/>
          <c:showVal val="0"/>
          <c:showCatName val="0"/>
          <c:showSerName val="0"/>
          <c:showPercent val="0"/>
          <c:showBubbleSize val="0"/>
        </c:dLbls>
        <c:gapWidth val="150"/>
        <c:overlap val="100"/>
        <c:axId val="64438272"/>
        <c:axId val="64439808"/>
      </c:barChart>
      <c:catAx>
        <c:axId val="64438272"/>
        <c:scaling>
          <c:orientation val="minMax"/>
        </c:scaling>
        <c:delete val="0"/>
        <c:axPos val="b"/>
        <c:numFmt formatCode="General" sourceLinked="1"/>
        <c:majorTickMark val="out"/>
        <c:minorTickMark val="none"/>
        <c:tickLblPos val="nextTo"/>
        <c:txPr>
          <a:bodyPr/>
          <a:lstStyle/>
          <a:p>
            <a:pPr>
              <a:defRPr sz="1400" b="0"/>
            </a:pPr>
            <a:endParaRPr lang="en-US"/>
          </a:p>
        </c:txPr>
        <c:crossAx val="64439808"/>
        <c:crosses val="autoZero"/>
        <c:auto val="1"/>
        <c:lblAlgn val="ctr"/>
        <c:lblOffset val="100"/>
        <c:noMultiLvlLbl val="0"/>
      </c:catAx>
      <c:valAx>
        <c:axId val="6443980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4438272"/>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4629577965932"/>
          <c:y val="3.67633198006257E-2"/>
          <c:w val="0.72683025156612535"/>
          <c:h val="0.87411948535211104"/>
        </c:manualLayout>
      </c:layout>
      <c:barChart>
        <c:barDir val="col"/>
        <c:grouping val="stacked"/>
        <c:varyColors val="0"/>
        <c:ser>
          <c:idx val="0"/>
          <c:order val="0"/>
          <c:tx>
            <c:strRef>
              <c:f>Summary!$N$221</c:f>
              <c:strCache>
                <c:ptCount val="1"/>
                <c:pt idx="0">
                  <c:v>China</c:v>
                </c:pt>
              </c:strCache>
            </c:strRef>
          </c:tx>
          <c:invertIfNegative val="0"/>
          <c:cat>
            <c:numRef>
              <c:f>Summary!$O$220:$X$220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Summary!$O$221:$X$221</c:f>
              <c:numCache>
                <c:formatCode>_("$"* #,##0_);_("$"* \(#,##0\);_("$"* "-"??_);_(@_)</c:formatCode>
                <c:ptCount val="10"/>
                <c:pt idx="0">
                  <c:v>247.00601923400103</c:v>
                </c:pt>
                <c:pt idx="1">
                  <c:v>154.30570556633481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8C-6A44-B2DF-A5C7B790E312}"/>
            </c:ext>
          </c:extLst>
        </c:ser>
        <c:ser>
          <c:idx val="1"/>
          <c:order val="1"/>
          <c:tx>
            <c:strRef>
              <c:f>Summary!$N$222</c:f>
              <c:strCache>
                <c:ptCount val="1"/>
                <c:pt idx="0">
                  <c:v>Rest of World</c:v>
                </c:pt>
              </c:strCache>
            </c:strRef>
          </c:tx>
          <c:invertIfNegative val="0"/>
          <c:cat>
            <c:numRef>
              <c:f>Summary!$O$220:$X$220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Summary!$O$222:$X$222</c:f>
              <c:numCache>
                <c:formatCode>_("$"* #,##0_);_("$"* \(#,##0\);_("$"* "-"??_);_(@_)</c:formatCode>
                <c:ptCount val="10"/>
                <c:pt idx="0">
                  <c:v>770.86886596168711</c:v>
                </c:pt>
                <c:pt idx="1">
                  <c:v>824.6489253499318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8C-6A44-B2DF-A5C7B790E312}"/>
            </c:ext>
          </c:extLst>
        </c:ser>
        <c:dLbls>
          <c:showLegendKey val="0"/>
          <c:showVal val="0"/>
          <c:showCatName val="0"/>
          <c:showSerName val="0"/>
          <c:showPercent val="0"/>
          <c:showBubbleSize val="0"/>
        </c:dLbls>
        <c:gapWidth val="150"/>
        <c:overlap val="100"/>
        <c:axId val="64470400"/>
        <c:axId val="64476288"/>
      </c:barChart>
      <c:catAx>
        <c:axId val="64470400"/>
        <c:scaling>
          <c:orientation val="minMax"/>
        </c:scaling>
        <c:delete val="0"/>
        <c:axPos val="b"/>
        <c:numFmt formatCode="General" sourceLinked="1"/>
        <c:majorTickMark val="out"/>
        <c:minorTickMark val="none"/>
        <c:tickLblPos val="nextTo"/>
        <c:txPr>
          <a:bodyPr/>
          <a:lstStyle/>
          <a:p>
            <a:pPr>
              <a:defRPr sz="1400" b="0"/>
            </a:pPr>
            <a:endParaRPr lang="en-US"/>
          </a:p>
        </c:txPr>
        <c:crossAx val="64476288"/>
        <c:crosses val="autoZero"/>
        <c:auto val="1"/>
        <c:lblAlgn val="ctr"/>
        <c:lblOffset val="100"/>
        <c:noMultiLvlLbl val="0"/>
      </c:catAx>
      <c:valAx>
        <c:axId val="64476288"/>
        <c:scaling>
          <c:orientation val="minMax"/>
        </c:scaling>
        <c:delete val="0"/>
        <c:axPos val="l"/>
        <c:majorGridlines/>
        <c:title>
          <c:tx>
            <c:rich>
              <a:bodyPr rot="-5400000" vert="horz"/>
              <a:lstStyle/>
              <a:p>
                <a:pPr>
                  <a:defRPr sz="1600"/>
                </a:pPr>
                <a:r>
                  <a:rPr lang="en-US" sz="16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470400"/>
        <c:crosses val="autoZero"/>
        <c:crossBetween val="between"/>
      </c:valAx>
    </c:plotArea>
    <c:legend>
      <c:legendPos val="r"/>
      <c:layout>
        <c:manualLayout>
          <c:xMode val="edge"/>
          <c:yMode val="edge"/>
          <c:x val="0.87859985475988267"/>
          <c:y val="0.37822610648115734"/>
          <c:w val="9.92600163109119E-2"/>
          <c:h val="0.3885974472660807"/>
        </c:manualLayout>
      </c:layout>
      <c:overlay val="0"/>
      <c:spPr>
        <a:solidFill>
          <a:schemeClr val="bg1"/>
        </a:solidFill>
        <a:ln>
          <a:no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 Shipments of ≥ 100Gbps transceivers</a:t>
            </a:r>
          </a:p>
        </c:rich>
      </c:tx>
      <c:layout/>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Summary!$B$253</c:f>
              <c:strCache>
                <c:ptCount val="1"/>
                <c:pt idx="0">
                  <c:v>China</c:v>
                </c:pt>
              </c:strCache>
            </c:strRef>
          </c:tx>
          <c:invertIfNegative val="0"/>
          <c:cat>
            <c:numRef>
              <c:f>Summary!$C$220:$L$220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Summary!$C$253:$L$253</c:f>
              <c:numCache>
                <c:formatCode>_(* #,##0_);_(* \(#,##0\);_(* "-"??_);_(@_)</c:formatCode>
                <c:ptCount val="10"/>
                <c:pt idx="0">
                  <c:v>15334.036429468611</c:v>
                </c:pt>
                <c:pt idx="1">
                  <c:v>11069.700097308325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A08-A44D-A07B-995857B7065E}"/>
            </c:ext>
          </c:extLst>
        </c:ser>
        <c:ser>
          <c:idx val="1"/>
          <c:order val="1"/>
          <c:tx>
            <c:strRef>
              <c:f>Summary!$B$254</c:f>
              <c:strCache>
                <c:ptCount val="1"/>
                <c:pt idx="0">
                  <c:v>Rest of World</c:v>
                </c:pt>
              </c:strCache>
            </c:strRef>
          </c:tx>
          <c:spPr>
            <a:solidFill>
              <a:schemeClr val="accent2"/>
            </a:solidFill>
          </c:spPr>
          <c:invertIfNegative val="0"/>
          <c:cat>
            <c:numRef>
              <c:f>Summary!$C$220:$L$220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Summary!$C$254:$L$254</c:f>
              <c:numCache>
                <c:formatCode>_(* #,##0_);_(* \(#,##0\);_(* "-"??_);_(@_)</c:formatCode>
                <c:ptCount val="10"/>
                <c:pt idx="0">
                  <c:v>55281.963570531385</c:v>
                </c:pt>
                <c:pt idx="1">
                  <c:v>99254.29990269168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08-A44D-A07B-995857B7065E}"/>
            </c:ext>
          </c:extLst>
        </c:ser>
        <c:dLbls>
          <c:showLegendKey val="0"/>
          <c:showVal val="0"/>
          <c:showCatName val="0"/>
          <c:showSerName val="0"/>
          <c:showPercent val="0"/>
          <c:showBubbleSize val="0"/>
        </c:dLbls>
        <c:gapWidth val="150"/>
        <c:overlap val="100"/>
        <c:axId val="67603072"/>
        <c:axId val="67613056"/>
      </c:barChart>
      <c:catAx>
        <c:axId val="67603072"/>
        <c:scaling>
          <c:orientation val="minMax"/>
        </c:scaling>
        <c:delete val="0"/>
        <c:axPos val="b"/>
        <c:numFmt formatCode="General" sourceLinked="1"/>
        <c:majorTickMark val="out"/>
        <c:minorTickMark val="none"/>
        <c:tickLblPos val="nextTo"/>
        <c:txPr>
          <a:bodyPr/>
          <a:lstStyle/>
          <a:p>
            <a:pPr>
              <a:defRPr sz="1400" b="1"/>
            </a:pPr>
            <a:endParaRPr lang="en-US"/>
          </a:p>
        </c:txPr>
        <c:crossAx val="67613056"/>
        <c:crosses val="autoZero"/>
        <c:auto val="1"/>
        <c:lblAlgn val="ctr"/>
        <c:lblOffset val="100"/>
        <c:noMultiLvlLbl val="0"/>
      </c:catAx>
      <c:valAx>
        <c:axId val="67613056"/>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7603072"/>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C/DWDM - Sales of ≥ 100Gbps transceivers</a:t>
            </a:r>
            <a:endParaRPr lang="en-US">
              <a:effectLst/>
            </a:endParaRPr>
          </a:p>
        </c:rich>
      </c:tx>
      <c:layout>
        <c:manualLayout>
          <c:xMode val="edge"/>
          <c:yMode val="edge"/>
          <c:x val="0.33587758552285601"/>
          <c:y val="1.6413460674791401E-2"/>
        </c:manualLayout>
      </c:layout>
      <c:overlay val="1"/>
    </c:title>
    <c:autoTitleDeleted val="0"/>
    <c:plotArea>
      <c:layout>
        <c:manualLayout>
          <c:layoutTarget val="inner"/>
          <c:xMode val="edge"/>
          <c:yMode val="edge"/>
          <c:x val="0.13556202111507401"/>
          <c:y val="0.110623924751391"/>
          <c:w val="0.733214701805321"/>
          <c:h val="0.80025895357510801"/>
        </c:manualLayout>
      </c:layout>
      <c:barChart>
        <c:barDir val="col"/>
        <c:grouping val="stacked"/>
        <c:varyColors val="0"/>
        <c:ser>
          <c:idx val="0"/>
          <c:order val="0"/>
          <c:tx>
            <c:strRef>
              <c:f>Summary!$N$253</c:f>
              <c:strCache>
                <c:ptCount val="1"/>
                <c:pt idx="0">
                  <c:v>China</c:v>
                </c:pt>
              </c:strCache>
            </c:strRef>
          </c:tx>
          <c:invertIfNegative val="0"/>
          <c:cat>
            <c:numRef>
              <c:f>Summary!$O$220:$X$220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Summary!$O$253:$X$253</c:f>
              <c:numCache>
                <c:formatCode>_("$"* #,##0_);_("$"* \(#,##0\);_("$"* "-"??_);_(@_)</c:formatCode>
                <c:ptCount val="10"/>
                <c:pt idx="0">
                  <c:v>144.64841493098837</c:v>
                </c:pt>
                <c:pt idx="1">
                  <c:v>67.091905190312232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B07-F548-BF88-5725B3FAFF09}"/>
            </c:ext>
          </c:extLst>
        </c:ser>
        <c:ser>
          <c:idx val="1"/>
          <c:order val="1"/>
          <c:tx>
            <c:strRef>
              <c:f>Summary!$N$254</c:f>
              <c:strCache>
                <c:ptCount val="1"/>
                <c:pt idx="0">
                  <c:v>Rest of World</c:v>
                </c:pt>
              </c:strCache>
            </c:strRef>
          </c:tx>
          <c:invertIfNegative val="0"/>
          <c:cat>
            <c:numRef>
              <c:f>Summary!$O$220:$X$220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Summary!$O$254:$X$254</c:f>
              <c:numCache>
                <c:formatCode>_("$"* #,##0_);_("$"* \(#,##0\);_("$"* "-"??_);_(@_)</c:formatCode>
                <c:ptCount val="10"/>
                <c:pt idx="0">
                  <c:v>521.48359249901159</c:v>
                </c:pt>
                <c:pt idx="1">
                  <c:v>614.25532480968764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B07-F548-BF88-5725B3FAFF09}"/>
            </c:ext>
          </c:extLst>
        </c:ser>
        <c:dLbls>
          <c:showLegendKey val="0"/>
          <c:showVal val="0"/>
          <c:showCatName val="0"/>
          <c:showSerName val="0"/>
          <c:showPercent val="0"/>
          <c:showBubbleSize val="0"/>
        </c:dLbls>
        <c:gapWidth val="150"/>
        <c:overlap val="100"/>
        <c:axId val="67700992"/>
        <c:axId val="67702784"/>
      </c:barChart>
      <c:catAx>
        <c:axId val="67700992"/>
        <c:scaling>
          <c:orientation val="minMax"/>
        </c:scaling>
        <c:delete val="0"/>
        <c:axPos val="b"/>
        <c:numFmt formatCode="General" sourceLinked="1"/>
        <c:majorTickMark val="out"/>
        <c:minorTickMark val="none"/>
        <c:tickLblPos val="nextTo"/>
        <c:txPr>
          <a:bodyPr/>
          <a:lstStyle/>
          <a:p>
            <a:pPr>
              <a:defRPr sz="1400" b="1"/>
            </a:pPr>
            <a:endParaRPr lang="en-US"/>
          </a:p>
        </c:txPr>
        <c:crossAx val="67702784"/>
        <c:crosses val="autoZero"/>
        <c:auto val="1"/>
        <c:lblAlgn val="ctr"/>
        <c:lblOffset val="100"/>
        <c:noMultiLvlLbl val="0"/>
      </c:catAx>
      <c:valAx>
        <c:axId val="6770278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7700992"/>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WDM port  shipments </a:t>
            </a:r>
          </a:p>
        </c:rich>
      </c:tx>
      <c:layout>
        <c:manualLayout>
          <c:xMode val="edge"/>
          <c:yMode val="edge"/>
          <c:x val="0.41780176921210377"/>
          <c:y val="1.0957296739988525E-2"/>
        </c:manualLayout>
      </c:layout>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Summary!$B$285</c:f>
              <c:strCache>
                <c:ptCount val="1"/>
                <c:pt idx="0">
                  <c:v>China</c:v>
                </c:pt>
              </c:strCache>
            </c:strRef>
          </c:tx>
          <c:invertIfNegative val="0"/>
          <c:cat>
            <c:numRef>
              <c:f>Summary!$C$284:$L$284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Summary!$C$285:$L$285</c:f>
              <c:numCache>
                <c:formatCode>_(* #,##0_);_(* \(#,##0\);_(* "-"??_);_(@_)</c:formatCode>
                <c:ptCount val="10"/>
                <c:pt idx="0">
                  <c:v>447638.79018258431</c:v>
                </c:pt>
                <c:pt idx="1">
                  <c:v>400272.87231827568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3F-3E48-958D-C0795B9F9CEE}"/>
            </c:ext>
          </c:extLst>
        </c:ser>
        <c:ser>
          <c:idx val="1"/>
          <c:order val="1"/>
          <c:tx>
            <c:strRef>
              <c:f>Summary!$B$286</c:f>
              <c:strCache>
                <c:ptCount val="1"/>
                <c:pt idx="0">
                  <c:v>Rest of World</c:v>
                </c:pt>
              </c:strCache>
            </c:strRef>
          </c:tx>
          <c:spPr>
            <a:solidFill>
              <a:schemeClr val="accent2"/>
            </a:solidFill>
          </c:spPr>
          <c:invertIfNegative val="0"/>
          <c:cat>
            <c:numRef>
              <c:f>Summary!$C$284:$L$284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Summary!$C$286:$L$286</c:f>
              <c:numCache>
                <c:formatCode>_(* #,##0_);_(* \(#,##0\);_(* "-"??_);_(@_)</c:formatCode>
                <c:ptCount val="10"/>
                <c:pt idx="0">
                  <c:v>1050737.8172612358</c:v>
                </c:pt>
                <c:pt idx="1">
                  <c:v>950853.39094957826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3F-3E48-958D-C0795B9F9CEE}"/>
            </c:ext>
          </c:extLst>
        </c:ser>
        <c:dLbls>
          <c:showLegendKey val="0"/>
          <c:showVal val="0"/>
          <c:showCatName val="0"/>
          <c:showSerName val="0"/>
          <c:showPercent val="0"/>
          <c:showBubbleSize val="0"/>
        </c:dLbls>
        <c:gapWidth val="150"/>
        <c:overlap val="100"/>
        <c:axId val="67729664"/>
        <c:axId val="67735552"/>
      </c:barChart>
      <c:catAx>
        <c:axId val="67729664"/>
        <c:scaling>
          <c:orientation val="minMax"/>
        </c:scaling>
        <c:delete val="0"/>
        <c:axPos val="b"/>
        <c:numFmt formatCode="General" sourceLinked="1"/>
        <c:majorTickMark val="out"/>
        <c:minorTickMark val="none"/>
        <c:tickLblPos val="nextTo"/>
        <c:txPr>
          <a:bodyPr/>
          <a:lstStyle/>
          <a:p>
            <a:pPr>
              <a:defRPr sz="1400" b="1"/>
            </a:pPr>
            <a:endParaRPr lang="en-US"/>
          </a:p>
        </c:txPr>
        <c:crossAx val="67735552"/>
        <c:crosses val="autoZero"/>
        <c:auto val="1"/>
        <c:lblAlgn val="ctr"/>
        <c:lblOffset val="100"/>
        <c:noMultiLvlLbl val="0"/>
      </c:catAx>
      <c:valAx>
        <c:axId val="6773555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7729664"/>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21411388883506299"/>
          <c:y val="0.10998592993299799"/>
          <c:w val="0.74876455721431601"/>
          <c:h val="0.77027683397274904"/>
        </c:manualLayout>
      </c:layout>
      <c:lineChart>
        <c:grouping val="standard"/>
        <c:varyColors val="0"/>
        <c:ser>
          <c:idx val="5"/>
          <c:order val="0"/>
          <c:tx>
            <c:strRef>
              <c:f>Summary!$B$136</c:f>
              <c:strCache>
                <c:ptCount val="1"/>
                <c:pt idx="0">
                  <c:v>Wireless fronthaul</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Summary!$C$136:$L$136</c:f>
              <c:numCache>
                <c:formatCode>_(* #,##0_);_(* \(#,##0\);_(* "-"??_);_(@_)</c:formatCode>
                <c:ptCount val="10"/>
                <c:pt idx="0">
                  <c:v>11390120.661512379</c:v>
                </c:pt>
                <c:pt idx="1">
                  <c:v>7193790.5449723806</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11E5-2F47-8B59-7A32CDC78815}"/>
            </c:ext>
          </c:extLst>
        </c:ser>
        <c:ser>
          <c:idx val="4"/>
          <c:order val="1"/>
          <c:tx>
            <c:strRef>
              <c:f>Summary!$B$138</c:f>
              <c:strCache>
                <c:ptCount val="1"/>
                <c:pt idx="0">
                  <c:v>FTTx</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Summary!$C$138:$L$138</c:f>
              <c:numCache>
                <c:formatCode>_(* #,##0_);_(* \(#,##0\);_(* "-"??_);_(@_)</c:formatCode>
                <c:ptCount val="10"/>
                <c:pt idx="0">
                  <c:v>70628025.638035297</c:v>
                </c:pt>
                <c:pt idx="1">
                  <c:v>50547752.350361757</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11E5-2F47-8B59-7A32CDC78815}"/>
            </c:ext>
          </c:extLst>
        </c:ser>
        <c:dLbls>
          <c:showLegendKey val="0"/>
          <c:showVal val="0"/>
          <c:showCatName val="0"/>
          <c:showSerName val="0"/>
          <c:showPercent val="0"/>
          <c:showBubbleSize val="0"/>
        </c:dLbls>
        <c:marker val="1"/>
        <c:smooth val="0"/>
        <c:axId val="538879872"/>
        <c:axId val="544952704"/>
      </c:lineChart>
      <c:catAx>
        <c:axId val="538879872"/>
        <c:scaling>
          <c:orientation val="minMax"/>
        </c:scaling>
        <c:delete val="0"/>
        <c:axPos val="b"/>
        <c:numFmt formatCode="General" sourceLinked="1"/>
        <c:majorTickMark val="out"/>
        <c:minorTickMark val="none"/>
        <c:tickLblPos val="nextTo"/>
        <c:txPr>
          <a:bodyPr/>
          <a:lstStyle/>
          <a:p>
            <a:pPr>
              <a:defRPr sz="1200" b="0"/>
            </a:pPr>
            <a:endParaRPr lang="en-US"/>
          </a:p>
        </c:txPr>
        <c:crossAx val="544952704"/>
        <c:crosses val="autoZero"/>
        <c:auto val="1"/>
        <c:lblAlgn val="ctr"/>
        <c:lblOffset val="100"/>
        <c:noMultiLvlLbl val="1"/>
      </c:catAx>
      <c:valAx>
        <c:axId val="544952704"/>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2.1594723176963398E-2"/>
              <c:y val="0.392907621011298"/>
            </c:manualLayout>
          </c:layout>
          <c:overlay val="0"/>
        </c:title>
        <c:numFmt formatCode="_(* #,##0_);_(* \(#,##0\);_(* &quot;-&quot;??_);_(@_)" sourceLinked="1"/>
        <c:majorTickMark val="out"/>
        <c:minorTickMark val="none"/>
        <c:tickLblPos val="nextTo"/>
        <c:txPr>
          <a:bodyPr/>
          <a:lstStyle/>
          <a:p>
            <a:pPr>
              <a:defRPr sz="1400" b="0"/>
            </a:pPr>
            <a:endParaRPr lang="en-US"/>
          </a:p>
        </c:txPr>
        <c:crossAx val="538879872"/>
        <c:crosses val="autoZero"/>
        <c:crossBetween val="between"/>
      </c:valAx>
    </c:plotArea>
    <c:legend>
      <c:legendPos val="t"/>
      <c:layout>
        <c:manualLayout>
          <c:xMode val="edge"/>
          <c:yMode val="edge"/>
          <c:x val="0.21829663456298501"/>
          <c:y val="0.12559110149904401"/>
          <c:w val="0.70482977801453495"/>
          <c:h val="6.693998810552689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 of</a:t>
            </a:r>
            <a:r>
              <a:rPr lang="en-US" baseline="0"/>
              <a:t> </a:t>
            </a:r>
            <a:r>
              <a:rPr lang="en-US"/>
              <a:t>100G,</a:t>
            </a:r>
            <a:r>
              <a:rPr lang="en-US" baseline="0"/>
              <a:t> 200G and 400G DWDM</a:t>
            </a:r>
            <a:r>
              <a:rPr lang="en-US"/>
              <a:t> ports</a:t>
            </a:r>
          </a:p>
        </c:rich>
      </c:tx>
      <c:layout/>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Summary!$N$285</c:f>
              <c:strCache>
                <c:ptCount val="1"/>
                <c:pt idx="0">
                  <c:v>China</c:v>
                </c:pt>
              </c:strCache>
            </c:strRef>
          </c:tx>
          <c:invertIfNegative val="0"/>
          <c:cat>
            <c:numRef>
              <c:f>Summary!$O$284:$X$284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Summary!$O$285:$X$285</c:f>
              <c:numCache>
                <c:formatCode>_(* #,##0_);_(* \(#,##0\);_(* "-"??_);_(@_)</c:formatCode>
                <c:ptCount val="10"/>
                <c:pt idx="0">
                  <c:v>86832</c:v>
                </c:pt>
                <c:pt idx="1">
                  <c:v>112000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B4B-F34B-B5A1-D5FCF23B7DF8}"/>
            </c:ext>
          </c:extLst>
        </c:ser>
        <c:ser>
          <c:idx val="1"/>
          <c:order val="1"/>
          <c:tx>
            <c:strRef>
              <c:f>Summary!$N$286</c:f>
              <c:strCache>
                <c:ptCount val="1"/>
                <c:pt idx="0">
                  <c:v>Rest of World</c:v>
                </c:pt>
              </c:strCache>
            </c:strRef>
          </c:tx>
          <c:spPr>
            <a:solidFill>
              <a:schemeClr val="accent2"/>
            </a:solidFill>
          </c:spPr>
          <c:invertIfNegative val="0"/>
          <c:cat>
            <c:numRef>
              <c:f>Summary!$O$284:$X$284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Summary!$O$286:$X$286</c:f>
              <c:numCache>
                <c:formatCode>_(* #,##0_);_(* \(#,##0\);_(* "-"??_);_(@_)</c:formatCode>
                <c:ptCount val="10"/>
                <c:pt idx="0">
                  <c:v>225256</c:v>
                </c:pt>
                <c:pt idx="1">
                  <c:v>285369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B4B-F34B-B5A1-D5FCF23B7DF8}"/>
            </c:ext>
          </c:extLst>
        </c:ser>
        <c:dLbls>
          <c:showLegendKey val="0"/>
          <c:showVal val="0"/>
          <c:showCatName val="0"/>
          <c:showSerName val="0"/>
          <c:showPercent val="0"/>
          <c:showBubbleSize val="0"/>
        </c:dLbls>
        <c:gapWidth val="150"/>
        <c:overlap val="100"/>
        <c:axId val="67757952"/>
        <c:axId val="67759488"/>
      </c:barChart>
      <c:catAx>
        <c:axId val="67757952"/>
        <c:scaling>
          <c:orientation val="minMax"/>
        </c:scaling>
        <c:delete val="0"/>
        <c:axPos val="b"/>
        <c:numFmt formatCode="General" sourceLinked="1"/>
        <c:majorTickMark val="out"/>
        <c:minorTickMark val="none"/>
        <c:tickLblPos val="nextTo"/>
        <c:txPr>
          <a:bodyPr/>
          <a:lstStyle/>
          <a:p>
            <a:pPr>
              <a:defRPr sz="1400" b="1"/>
            </a:pPr>
            <a:endParaRPr lang="en-US"/>
          </a:p>
        </c:txPr>
        <c:crossAx val="67759488"/>
        <c:crosses val="autoZero"/>
        <c:auto val="1"/>
        <c:lblAlgn val="ctr"/>
        <c:lblOffset val="100"/>
        <c:noMultiLvlLbl val="0"/>
      </c:catAx>
      <c:valAx>
        <c:axId val="6775948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7757952"/>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
          <c:y val="4.7075354866308497E-2"/>
          <c:w val="0.82532125972818704"/>
          <c:h val="0.83732913229167905"/>
        </c:manualLayout>
      </c:layout>
      <c:barChart>
        <c:barDir val="col"/>
        <c:grouping val="clustered"/>
        <c:varyColors val="0"/>
        <c:ser>
          <c:idx val="0"/>
          <c:order val="0"/>
          <c:tx>
            <c:strRef>
              <c:f>Summary!$B$346</c:f>
              <c:strCache>
                <c:ptCount val="1"/>
                <c:pt idx="0">
                  <c:v>100 Gbps</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Summary!$C$346:$L$346</c:f>
              <c:numCache>
                <c:formatCode>_(* #,##0_);_(* \(#,##0\);_(* "-"??_);_(@_)</c:formatCode>
                <c:ptCount val="10"/>
                <c:pt idx="0">
                  <c:v>86832</c:v>
                </c:pt>
                <c:pt idx="1">
                  <c:v>110000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7E-B247-A56E-89C14D4DAF76}"/>
            </c:ext>
          </c:extLst>
        </c:ser>
        <c:ser>
          <c:idx val="1"/>
          <c:order val="1"/>
          <c:tx>
            <c:strRef>
              <c:f>Summary!$B$347</c:f>
              <c:strCache>
                <c:ptCount val="1"/>
                <c:pt idx="0">
                  <c:v>200 Gbps</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Summary!$C$347:$L$347</c:f>
              <c:numCache>
                <c:formatCode>_(* #,##0_);_(* \(#,##0\);_(* "-"??_);_(@_)</c:formatCode>
                <c:ptCount val="10"/>
                <c:pt idx="0">
                  <c:v>0</c:v>
                </c:pt>
                <c:pt idx="1">
                  <c:v>2000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7E-B247-A56E-89C14D4DAF76}"/>
            </c:ext>
          </c:extLst>
        </c:ser>
        <c:ser>
          <c:idx val="2"/>
          <c:order val="2"/>
          <c:tx>
            <c:strRef>
              <c:f>Summary!$B$348</c:f>
              <c:strCache>
                <c:ptCount val="1"/>
                <c:pt idx="0">
                  <c:v>400 Gbps</c:v>
                </c:pt>
              </c:strCache>
            </c:strRef>
          </c:tx>
          <c:invertIfNegative val="0"/>
          <c:cat>
            <c:numRef>
              <c:f>Summary!$C$342:$L$342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Summary!$C$348:$L$348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67E-B247-A56E-89C14D4DAF76}"/>
            </c:ext>
          </c:extLst>
        </c:ser>
        <c:dLbls>
          <c:showLegendKey val="0"/>
          <c:showVal val="0"/>
          <c:showCatName val="0"/>
          <c:showSerName val="0"/>
          <c:showPercent val="0"/>
          <c:showBubbleSize val="0"/>
        </c:dLbls>
        <c:gapWidth val="150"/>
        <c:axId val="67988096"/>
        <c:axId val="67989888"/>
      </c:barChart>
      <c:catAx>
        <c:axId val="67988096"/>
        <c:scaling>
          <c:orientation val="minMax"/>
        </c:scaling>
        <c:delete val="0"/>
        <c:axPos val="b"/>
        <c:numFmt formatCode="General" sourceLinked="1"/>
        <c:majorTickMark val="out"/>
        <c:minorTickMark val="none"/>
        <c:tickLblPos val="nextTo"/>
        <c:txPr>
          <a:bodyPr/>
          <a:lstStyle/>
          <a:p>
            <a:pPr>
              <a:defRPr sz="1200" b="1"/>
            </a:pPr>
            <a:endParaRPr lang="en-US"/>
          </a:p>
        </c:txPr>
        <c:crossAx val="67989888"/>
        <c:crosses val="autoZero"/>
        <c:auto val="1"/>
        <c:lblAlgn val="ctr"/>
        <c:lblOffset val="100"/>
        <c:noMultiLvlLbl val="0"/>
      </c:catAx>
      <c:valAx>
        <c:axId val="67989888"/>
        <c:scaling>
          <c:orientation val="minMax"/>
          <c:min val="0"/>
        </c:scaling>
        <c:delete val="0"/>
        <c:axPos val="l"/>
        <c:majorGridlines/>
        <c:title>
          <c:tx>
            <c:rich>
              <a:bodyPr rot="-5400000" vert="horz"/>
              <a:lstStyle/>
              <a:p>
                <a:pPr>
                  <a:defRPr sz="1200"/>
                </a:pPr>
                <a:r>
                  <a:rPr lang="en-US" sz="1200"/>
                  <a:t>Annual Port Shipments</a:t>
                </a:r>
              </a:p>
            </c:rich>
          </c:tx>
          <c:layout>
            <c:manualLayout>
              <c:xMode val="edge"/>
              <c:yMode val="edge"/>
              <c:x val="1.42398748682626E-2"/>
              <c:y val="0.234403533644577"/>
            </c:manualLayout>
          </c:layout>
          <c:overlay val="0"/>
        </c:title>
        <c:numFmt formatCode="_(* #,##0_);_(* \(#,##0\);_(* &quot;-&quot;??_);_(@_)" sourceLinked="1"/>
        <c:majorTickMark val="out"/>
        <c:minorTickMark val="none"/>
        <c:tickLblPos val="nextTo"/>
        <c:txPr>
          <a:bodyPr/>
          <a:lstStyle/>
          <a:p>
            <a:pPr>
              <a:defRPr sz="1100"/>
            </a:pPr>
            <a:endParaRPr lang="en-US"/>
          </a:p>
        </c:txPr>
        <c:crossAx val="67988096"/>
        <c:crosses val="autoZero"/>
        <c:crossBetween val="between"/>
      </c:valAx>
    </c:plotArea>
    <c:legend>
      <c:legendPos val="r"/>
      <c:layout>
        <c:manualLayout>
          <c:xMode val="edge"/>
          <c:yMode val="edge"/>
          <c:x val="0.160954575931465"/>
          <c:y val="7.3091606797182504E-2"/>
          <c:w val="0.10865020378123499"/>
          <c:h val="0.38768562809643797"/>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21411388883506299"/>
          <c:y val="0.10998592993299799"/>
          <c:w val="0.74876455721431601"/>
          <c:h val="0.77027683397274904"/>
        </c:manualLayout>
      </c:layout>
      <c:lineChart>
        <c:grouping val="standard"/>
        <c:varyColors val="0"/>
        <c:ser>
          <c:idx val="0"/>
          <c:order val="0"/>
          <c:tx>
            <c:strRef>
              <c:f>Summary!$B$135</c:f>
              <c:strCache>
                <c:ptCount val="1"/>
                <c:pt idx="0">
                  <c:v>CWDM / DWDM</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Summary!$C$135:$L$135</c:f>
              <c:numCache>
                <c:formatCode>_(* #,##0_);_(* \(#,##0\);_(* "-"??_);_(@_)</c:formatCode>
                <c:ptCount val="10"/>
                <c:pt idx="0">
                  <c:v>318236.98642946867</c:v>
                </c:pt>
                <c:pt idx="1">
                  <c:v>257191.94009730837</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0-11E5-2F47-8B59-7A32CDC78815}"/>
            </c:ext>
          </c:extLst>
        </c:ser>
        <c:ser>
          <c:idx val="1"/>
          <c:order val="1"/>
          <c:tx>
            <c:strRef>
              <c:f>Summary!$B$137</c:f>
              <c:strCache>
                <c:ptCount val="1"/>
                <c:pt idx="0">
                  <c:v>Wireless backhaul</c:v>
                </c:pt>
              </c:strCache>
            </c:strRef>
          </c:tx>
          <c:cat>
            <c:numRef>
              <c:f>Summary!$C$131:$L$131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Summary!$C$137:$L$137</c:f>
              <c:numCache>
                <c:formatCode>_(* #,##0_);_(* \(#,##0\);_(* "-"??_);_(@_)</c:formatCode>
                <c:ptCount val="10"/>
                <c:pt idx="0">
                  <c:v>320980.17013724998</c:v>
                </c:pt>
                <c:pt idx="1">
                  <c:v>543319.73713999998</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EEA1-CC44-BB7A-0EF7433185AB}"/>
            </c:ext>
          </c:extLst>
        </c:ser>
        <c:dLbls>
          <c:showLegendKey val="0"/>
          <c:showVal val="0"/>
          <c:showCatName val="0"/>
          <c:showSerName val="0"/>
          <c:showPercent val="0"/>
          <c:showBubbleSize val="0"/>
        </c:dLbls>
        <c:marker val="1"/>
        <c:smooth val="0"/>
        <c:axId val="68007808"/>
        <c:axId val="68009344"/>
      </c:lineChart>
      <c:catAx>
        <c:axId val="68007808"/>
        <c:scaling>
          <c:orientation val="minMax"/>
        </c:scaling>
        <c:delete val="0"/>
        <c:axPos val="b"/>
        <c:numFmt formatCode="General" sourceLinked="1"/>
        <c:majorTickMark val="out"/>
        <c:minorTickMark val="none"/>
        <c:tickLblPos val="nextTo"/>
        <c:txPr>
          <a:bodyPr/>
          <a:lstStyle/>
          <a:p>
            <a:pPr>
              <a:defRPr sz="1200" b="0"/>
            </a:pPr>
            <a:endParaRPr lang="en-US"/>
          </a:p>
        </c:txPr>
        <c:crossAx val="68009344"/>
        <c:crosses val="autoZero"/>
        <c:auto val="1"/>
        <c:lblAlgn val="ctr"/>
        <c:lblOffset val="100"/>
        <c:noMultiLvlLbl val="1"/>
      </c:catAx>
      <c:valAx>
        <c:axId val="68009344"/>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2.1594723176963398E-2"/>
              <c:y val="0.392907621011298"/>
            </c:manualLayout>
          </c:layout>
          <c:overlay val="0"/>
        </c:title>
        <c:numFmt formatCode="_(* #,##0_);_(* \(#,##0\);_(* &quot;-&quot;??_);_(@_)" sourceLinked="1"/>
        <c:majorTickMark val="out"/>
        <c:minorTickMark val="none"/>
        <c:tickLblPos val="nextTo"/>
        <c:txPr>
          <a:bodyPr/>
          <a:lstStyle/>
          <a:p>
            <a:pPr>
              <a:defRPr sz="1400" b="0"/>
            </a:pPr>
            <a:endParaRPr lang="en-US"/>
          </a:p>
        </c:txPr>
        <c:crossAx val="68007808"/>
        <c:crosses val="autoZero"/>
        <c:crossBetween val="between"/>
      </c:valAx>
    </c:plotArea>
    <c:legend>
      <c:legendPos val="t"/>
      <c:layout>
        <c:manualLayout>
          <c:xMode val="edge"/>
          <c:yMode val="edge"/>
          <c:x val="0.21829663456298501"/>
          <c:y val="0.12559110149904401"/>
          <c:w val="0.70278069780019592"/>
          <c:h val="6.5945192295492894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China units by segments</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9315701669717342"/>
          <c:h val="0.80933840259032497"/>
        </c:manualLayout>
      </c:layout>
      <c:barChart>
        <c:barDir val="col"/>
        <c:grouping val="stacked"/>
        <c:varyColors val="0"/>
        <c:ser>
          <c:idx val="0"/>
          <c:order val="0"/>
          <c:tx>
            <c:strRef>
              <c:f>Summary!$B$671</c:f>
              <c:strCache>
                <c:ptCount val="1"/>
                <c:pt idx="0">
                  <c:v>Cloud</c:v>
                </c:pt>
              </c:strCache>
            </c:strRef>
          </c:tx>
          <c:invertIfNegative val="0"/>
          <c:cat>
            <c:numRef>
              <c:f>Summary!$C$670:$L$670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Summary!$C$671:$L$671</c:f>
              <c:numCache>
                <c:formatCode>_(* #,##0_);_(* \(#,##0\);_(* "-"??_);_(@_)</c:formatCode>
                <c:ptCount val="10"/>
                <c:pt idx="0">
                  <c:v>2186001.9359489921</c:v>
                </c:pt>
                <c:pt idx="1">
                  <c:v>2730444.4388182699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BB-8642-86E1-DC3A6D2F3153}"/>
            </c:ext>
          </c:extLst>
        </c:ser>
        <c:ser>
          <c:idx val="1"/>
          <c:order val="1"/>
          <c:tx>
            <c:strRef>
              <c:f>Summary!$B$672</c:f>
              <c:strCache>
                <c:ptCount val="1"/>
                <c:pt idx="0">
                  <c:v>Telecom</c:v>
                </c:pt>
              </c:strCache>
            </c:strRef>
          </c:tx>
          <c:spPr>
            <a:solidFill>
              <a:schemeClr val="accent2"/>
            </a:solidFill>
          </c:spPr>
          <c:invertIfNegative val="0"/>
          <c:cat>
            <c:numRef>
              <c:f>Summary!$C$670:$L$670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Summary!$C$672:$L$672</c:f>
              <c:numCache>
                <c:formatCode>_(* #,##0_);_(* \(#,##0\);_(* "-"??_);_(@_)</c:formatCode>
                <c:ptCount val="10"/>
                <c:pt idx="0">
                  <c:v>1535936.1965696963</c:v>
                </c:pt>
                <c:pt idx="1">
                  <c:v>1306656.7957407765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BB-8642-86E1-DC3A6D2F3153}"/>
            </c:ext>
          </c:extLst>
        </c:ser>
        <c:ser>
          <c:idx val="2"/>
          <c:order val="2"/>
          <c:tx>
            <c:strRef>
              <c:f>Summary!$B$673</c:f>
              <c:strCache>
                <c:ptCount val="1"/>
                <c:pt idx="0">
                  <c:v>Enterprise</c:v>
                </c:pt>
              </c:strCache>
            </c:strRef>
          </c:tx>
          <c:invertIfNegative val="0"/>
          <c:cat>
            <c:numRef>
              <c:f>Summary!$C$670:$L$670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Summary!$C$673:$L$673</c:f>
              <c:numCache>
                <c:formatCode>_(* #,##0_);_(* \(#,##0\);_(* "-"??_);_(@_)</c:formatCode>
                <c:ptCount val="10"/>
                <c:pt idx="0">
                  <c:v>3467783.0109793795</c:v>
                </c:pt>
                <c:pt idx="1">
                  <c:v>3739506.2112055444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CF4-E345-9E4F-E9DA868E7A36}"/>
            </c:ext>
          </c:extLst>
        </c:ser>
        <c:dLbls>
          <c:showLegendKey val="0"/>
          <c:showVal val="0"/>
          <c:showCatName val="0"/>
          <c:showSerName val="0"/>
          <c:showPercent val="0"/>
          <c:showBubbleSize val="0"/>
        </c:dLbls>
        <c:gapWidth val="150"/>
        <c:overlap val="100"/>
        <c:axId val="68045440"/>
        <c:axId val="68047232"/>
      </c:barChart>
      <c:catAx>
        <c:axId val="68045440"/>
        <c:scaling>
          <c:orientation val="minMax"/>
        </c:scaling>
        <c:delete val="0"/>
        <c:axPos val="b"/>
        <c:numFmt formatCode="General" sourceLinked="1"/>
        <c:majorTickMark val="out"/>
        <c:minorTickMark val="none"/>
        <c:tickLblPos val="nextTo"/>
        <c:txPr>
          <a:bodyPr/>
          <a:lstStyle/>
          <a:p>
            <a:pPr>
              <a:defRPr sz="1400" b="1"/>
            </a:pPr>
            <a:endParaRPr lang="en-US"/>
          </a:p>
        </c:txPr>
        <c:crossAx val="68047232"/>
        <c:crosses val="autoZero"/>
        <c:auto val="1"/>
        <c:lblAlgn val="ctr"/>
        <c:lblOffset val="100"/>
        <c:noMultiLvlLbl val="0"/>
      </c:catAx>
      <c:valAx>
        <c:axId val="6804723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8045440"/>
        <c:crosses val="autoZero"/>
        <c:crossBetween val="between"/>
      </c:valAx>
    </c:plotArea>
    <c:legend>
      <c:legendPos val="t"/>
      <c:layout>
        <c:manualLayout>
          <c:xMode val="edge"/>
          <c:yMode val="edge"/>
          <c:x val="0.40256121655458726"/>
          <c:y val="0.1069297193894734"/>
          <c:w val="0.32183124474370634"/>
          <c:h val="6.1267992819711438E-2"/>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China sales by applications</a:t>
            </a:r>
            <a:endParaRPr lang="en-US">
              <a:effectLst/>
            </a:endParaRPr>
          </a:p>
        </c:rich>
      </c:tx>
      <c:layout/>
      <c:overlay val="1"/>
    </c:title>
    <c:autoTitleDeleted val="0"/>
    <c:plotArea>
      <c:layout>
        <c:manualLayout>
          <c:layoutTarget val="inner"/>
          <c:xMode val="edge"/>
          <c:yMode val="edge"/>
          <c:x val="0.13422972415284901"/>
          <c:y val="9.9681617634863398E-2"/>
          <c:w val="0.82656601803016594"/>
          <c:h val="0.8166724142499"/>
        </c:manualLayout>
      </c:layout>
      <c:barChart>
        <c:barDir val="col"/>
        <c:grouping val="stacked"/>
        <c:varyColors val="0"/>
        <c:ser>
          <c:idx val="0"/>
          <c:order val="0"/>
          <c:tx>
            <c:strRef>
              <c:f>Summary!$N$671</c:f>
              <c:strCache>
                <c:ptCount val="1"/>
                <c:pt idx="0">
                  <c:v>Cloud</c:v>
                </c:pt>
              </c:strCache>
            </c:strRef>
          </c:tx>
          <c:invertIfNegative val="0"/>
          <c:cat>
            <c:numRef>
              <c:f>Summary!$O$670:$X$670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Summary!$O$671:$X$671</c:f>
              <c:numCache>
                <c:formatCode>_("$"* #,##0_);_("$"* \(#,##0\);_("$"* "-"??_);_(@_)</c:formatCode>
                <c:ptCount val="10"/>
                <c:pt idx="0">
                  <c:v>116.38312826795026</c:v>
                </c:pt>
                <c:pt idx="1">
                  <c:v>186.24900912463085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43-CF40-BB67-D5CC6F9D9B3A}"/>
            </c:ext>
          </c:extLst>
        </c:ser>
        <c:ser>
          <c:idx val="1"/>
          <c:order val="1"/>
          <c:tx>
            <c:strRef>
              <c:f>Summary!$N$672</c:f>
              <c:strCache>
                <c:ptCount val="1"/>
                <c:pt idx="0">
                  <c:v>Telecom</c:v>
                </c:pt>
              </c:strCache>
            </c:strRef>
          </c:tx>
          <c:invertIfNegative val="0"/>
          <c:cat>
            <c:numRef>
              <c:f>Summary!$O$670:$X$670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Summary!$O$672:$X$672</c:f>
              <c:numCache>
                <c:formatCode>_("$"* #,##0_);_("$"* \(#,##0\);_("$"* "-"??_);_(@_)</c:formatCode>
                <c:ptCount val="10"/>
                <c:pt idx="0">
                  <c:v>345.59499240776523</c:v>
                </c:pt>
                <c:pt idx="1">
                  <c:v>224.56420070769701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43-CF40-BB67-D5CC6F9D9B3A}"/>
            </c:ext>
          </c:extLst>
        </c:ser>
        <c:ser>
          <c:idx val="2"/>
          <c:order val="2"/>
          <c:tx>
            <c:strRef>
              <c:f>Summary!$N$673</c:f>
              <c:strCache>
                <c:ptCount val="1"/>
                <c:pt idx="0">
                  <c:v>Enterprise</c:v>
                </c:pt>
              </c:strCache>
            </c:strRef>
          </c:tx>
          <c:invertIfNegative val="0"/>
          <c:cat>
            <c:numRef>
              <c:f>Summary!$O$670:$X$670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Summary!$O$673:$X$673</c:f>
              <c:numCache>
                <c:formatCode>_("$"* #,##0_);_("$"* \(#,##0\);_("$"* "-"??_);_(@_)</c:formatCode>
                <c:ptCount val="10"/>
                <c:pt idx="0">
                  <c:v>91.670344447090784</c:v>
                </c:pt>
                <c:pt idx="1">
                  <c:v>96.768991822767688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77-4A45-BEFA-2A8F726EC74A}"/>
            </c:ext>
          </c:extLst>
        </c:ser>
        <c:dLbls>
          <c:showLegendKey val="0"/>
          <c:showVal val="0"/>
          <c:showCatName val="0"/>
          <c:showSerName val="0"/>
          <c:showPercent val="0"/>
          <c:showBubbleSize val="0"/>
        </c:dLbls>
        <c:gapWidth val="150"/>
        <c:overlap val="100"/>
        <c:axId val="68062592"/>
        <c:axId val="68068480"/>
      </c:barChart>
      <c:catAx>
        <c:axId val="68062592"/>
        <c:scaling>
          <c:orientation val="minMax"/>
        </c:scaling>
        <c:delete val="0"/>
        <c:axPos val="b"/>
        <c:numFmt formatCode="General" sourceLinked="1"/>
        <c:majorTickMark val="out"/>
        <c:minorTickMark val="none"/>
        <c:tickLblPos val="nextTo"/>
        <c:txPr>
          <a:bodyPr/>
          <a:lstStyle/>
          <a:p>
            <a:pPr>
              <a:defRPr sz="1400" b="1"/>
            </a:pPr>
            <a:endParaRPr lang="en-US"/>
          </a:p>
        </c:txPr>
        <c:crossAx val="68068480"/>
        <c:crosses val="autoZero"/>
        <c:auto val="1"/>
        <c:lblAlgn val="ctr"/>
        <c:lblOffset val="100"/>
        <c:noMultiLvlLbl val="0"/>
      </c:catAx>
      <c:valAx>
        <c:axId val="68068480"/>
        <c:scaling>
          <c:orientation val="minMax"/>
          <c:max val="1800"/>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8062592"/>
        <c:crosses val="autoZero"/>
        <c:crossBetween val="between"/>
      </c:valAx>
    </c:plotArea>
    <c:legend>
      <c:legendPos val="t"/>
      <c:layout>
        <c:manualLayout>
          <c:xMode val="edge"/>
          <c:yMode val="edge"/>
          <c:x val="0.30465691655788141"/>
          <c:y val="0.10768284988117632"/>
          <c:w val="0.39869434582982005"/>
          <c:h val="7.640728762742692E-2"/>
        </c:manualLayout>
      </c:layout>
      <c:overlay val="0"/>
      <c:spPr>
        <a:noFill/>
        <a:ln>
          <a:no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WDM ports - China percentage of global consumption</a:t>
            </a:r>
          </a:p>
        </c:rich>
      </c:tx>
      <c:layout/>
      <c:overlay val="1"/>
    </c:title>
    <c:autoTitleDeleted val="0"/>
    <c:plotArea>
      <c:layout>
        <c:manualLayout>
          <c:layoutTarget val="inner"/>
          <c:xMode val="edge"/>
          <c:yMode val="edge"/>
          <c:x val="7.6478505832285187E-2"/>
          <c:y val="9.5604141529196454E-2"/>
          <c:w val="0.78298730164199937"/>
          <c:h val="0.81451592341836332"/>
        </c:manualLayout>
      </c:layout>
      <c:lineChart>
        <c:grouping val="standard"/>
        <c:varyColors val="0"/>
        <c:ser>
          <c:idx val="0"/>
          <c:order val="0"/>
          <c:tx>
            <c:strRef>
              <c:f>Summary!$B$317</c:f>
              <c:strCache>
                <c:ptCount val="1"/>
                <c:pt idx="0">
                  <c:v>100G</c:v>
                </c:pt>
              </c:strCache>
            </c:strRef>
          </c:tx>
          <c:cat>
            <c:numRef>
              <c:f>Summary!$C$316:$L$316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Summary!$C$317:$L$317</c:f>
              <c:numCache>
                <c:formatCode>0%</c:formatCode>
                <c:ptCount val="10"/>
                <c:pt idx="0">
                  <c:v>0.27822921740022044</c:v>
                </c:pt>
                <c:pt idx="1">
                  <c:v>0.31621098746942095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44F5-F749-B0CE-BAEFE6197A87}"/>
            </c:ext>
          </c:extLst>
        </c:ser>
        <c:ser>
          <c:idx val="1"/>
          <c:order val="1"/>
          <c:tx>
            <c:strRef>
              <c:f>Summary!$B$318</c:f>
              <c:strCache>
                <c:ptCount val="1"/>
                <c:pt idx="0">
                  <c:v>200G</c:v>
                </c:pt>
              </c:strCache>
            </c:strRef>
          </c:tx>
          <c:cat>
            <c:numRef>
              <c:f>Summary!$C$316:$L$316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Summary!$C$318:$L$318</c:f>
              <c:numCache>
                <c:formatCode>0%</c:formatCode>
                <c:ptCount val="10"/>
                <c:pt idx="0">
                  <c:v>0</c:v>
                </c:pt>
                <c:pt idx="1">
                  <c:v>4.3956043956043959E-2</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44F5-F749-B0CE-BAEFE6197A87}"/>
            </c:ext>
          </c:extLst>
        </c:ser>
        <c:ser>
          <c:idx val="2"/>
          <c:order val="2"/>
          <c:tx>
            <c:strRef>
              <c:f>Summary!$B$319</c:f>
              <c:strCache>
                <c:ptCount val="1"/>
                <c:pt idx="0">
                  <c:v>400G </c:v>
                </c:pt>
              </c:strCache>
            </c:strRef>
          </c:tx>
          <c:cat>
            <c:numRef>
              <c:f>Summary!$C$316:$L$316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Summary!$C$319:$L$319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44F5-F749-B0CE-BAEFE6197A87}"/>
            </c:ext>
          </c:extLst>
        </c:ser>
        <c:ser>
          <c:idx val="3"/>
          <c:order val="3"/>
          <c:tx>
            <c:strRef>
              <c:f>Summary!$B$320</c:f>
              <c:strCache>
                <c:ptCount val="1"/>
                <c:pt idx="0">
                  <c:v>Total</c:v>
                </c:pt>
              </c:strCache>
            </c:strRef>
          </c:tx>
          <c:cat>
            <c:numRef>
              <c:f>Summary!$C$316:$L$316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Summary!$C$320:$L$320</c:f>
              <c:numCache>
                <c:formatCode>0%</c:formatCode>
                <c:ptCount val="10"/>
                <c:pt idx="0">
                  <c:v>0.29874918492370284</c:v>
                </c:pt>
                <c:pt idx="1">
                  <c:v>0.29625127066227686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44F5-F749-B0CE-BAEFE6197A87}"/>
            </c:ext>
          </c:extLst>
        </c:ser>
        <c:dLbls>
          <c:showLegendKey val="0"/>
          <c:showVal val="0"/>
          <c:showCatName val="0"/>
          <c:showSerName val="0"/>
          <c:showPercent val="0"/>
          <c:showBubbleSize val="0"/>
        </c:dLbls>
        <c:marker val="1"/>
        <c:smooth val="0"/>
        <c:axId val="68101632"/>
        <c:axId val="68103168"/>
      </c:lineChart>
      <c:catAx>
        <c:axId val="68101632"/>
        <c:scaling>
          <c:orientation val="minMax"/>
        </c:scaling>
        <c:delete val="0"/>
        <c:axPos val="b"/>
        <c:numFmt formatCode="General" sourceLinked="1"/>
        <c:majorTickMark val="out"/>
        <c:minorTickMark val="none"/>
        <c:tickLblPos val="nextTo"/>
        <c:txPr>
          <a:bodyPr/>
          <a:lstStyle/>
          <a:p>
            <a:pPr algn="ctr">
              <a:defRPr lang="en-US" sz="1400" b="1" i="0" u="none" strike="noStrike" kern="1200" baseline="0">
                <a:solidFill>
                  <a:sysClr val="windowText" lastClr="000000"/>
                </a:solidFill>
                <a:latin typeface="+mn-lt"/>
                <a:ea typeface="+mn-ea"/>
                <a:cs typeface="+mn-cs"/>
              </a:defRPr>
            </a:pPr>
            <a:endParaRPr lang="en-US"/>
          </a:p>
        </c:txPr>
        <c:crossAx val="68103168"/>
        <c:crosses val="autoZero"/>
        <c:auto val="1"/>
        <c:lblAlgn val="ctr"/>
        <c:lblOffset val="100"/>
        <c:noMultiLvlLbl val="0"/>
      </c:catAx>
      <c:valAx>
        <c:axId val="68103168"/>
        <c:scaling>
          <c:orientation val="minMax"/>
        </c:scaling>
        <c:delete val="0"/>
        <c:axPos val="l"/>
        <c:majorGridlines/>
        <c:numFmt formatCode="0%" sourceLinked="1"/>
        <c:majorTickMark val="out"/>
        <c:minorTickMark val="none"/>
        <c:tickLblPos val="nextTo"/>
        <c:txPr>
          <a:bodyPr/>
          <a:lstStyle/>
          <a:p>
            <a:pPr algn="ctr">
              <a:defRPr lang="en-US" sz="1400" b="0" i="0" u="none" strike="noStrike" kern="1200" baseline="0">
                <a:solidFill>
                  <a:sysClr val="windowText" lastClr="000000"/>
                </a:solidFill>
                <a:latin typeface="+mn-lt"/>
                <a:ea typeface="+mn-ea"/>
                <a:cs typeface="+mn-cs"/>
              </a:defRPr>
            </a:pPr>
            <a:endParaRPr lang="en-US"/>
          </a:p>
        </c:txPr>
        <c:crossAx val="68101632"/>
        <c:crosses val="autoZero"/>
        <c:crossBetween val="between"/>
      </c:valAx>
    </c:plotArea>
    <c:legend>
      <c:legendPos val="r"/>
      <c:layout>
        <c:manualLayout>
          <c:xMode val="edge"/>
          <c:yMode val="edge"/>
          <c:x val="0.87697127793380314"/>
          <c:y val="0.27627860332674287"/>
          <c:w val="0.11077489274453385"/>
          <c:h val="0.42530235242048647"/>
        </c:manualLayout>
      </c:layout>
      <c:overlay val="0"/>
      <c:txPr>
        <a:bodyPr/>
        <a:lstStyle/>
        <a:p>
          <a:pPr>
            <a:defRPr lang="en-US"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073255207569169"/>
          <c:h val="0.833574992419439"/>
        </c:manualLayout>
      </c:layout>
      <c:barChart>
        <c:barDir val="col"/>
        <c:grouping val="stacked"/>
        <c:varyColors val="0"/>
        <c:ser>
          <c:idx val="0"/>
          <c:order val="0"/>
          <c:tx>
            <c:strRef>
              <c:f>Summary!$B$573</c:f>
              <c:strCache>
                <c:ptCount val="1"/>
                <c:pt idx="0">
                  <c:v>China</c:v>
                </c:pt>
              </c:strCache>
            </c:strRef>
          </c:tx>
          <c:invertIfNegative val="0"/>
          <c:cat>
            <c:numRef>
              <c:f>Summary!$C$572:$L$572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Summary!$C$573:$L$573</c:f>
              <c:numCache>
                <c:formatCode>_(* #,##0_);_(* \(#,##0\);_(* "-"??_);_(@_)</c:formatCode>
                <c:ptCount val="10"/>
                <c:pt idx="0">
                  <c:v>320980.17013724998</c:v>
                </c:pt>
                <c:pt idx="1">
                  <c:v>543319.73713999998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23-5D45-B254-3C9A988FF969}"/>
            </c:ext>
          </c:extLst>
        </c:ser>
        <c:ser>
          <c:idx val="1"/>
          <c:order val="1"/>
          <c:tx>
            <c:strRef>
              <c:f>Summary!$B$574</c:f>
              <c:strCache>
                <c:ptCount val="1"/>
                <c:pt idx="0">
                  <c:v>Rest of World</c:v>
                </c:pt>
              </c:strCache>
            </c:strRef>
          </c:tx>
          <c:spPr>
            <a:solidFill>
              <a:schemeClr val="accent2"/>
            </a:solidFill>
          </c:spPr>
          <c:invertIfNegative val="0"/>
          <c:cat>
            <c:numRef>
              <c:f>Summary!$C$572:$L$572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Summary!$C$574:$L$574</c:f>
              <c:numCache>
                <c:formatCode>_(* #,##0_);_(* \(#,##0\);_(* "-"??_);_(@_)</c:formatCode>
                <c:ptCount val="10"/>
                <c:pt idx="0">
                  <c:v>936230.01560775004</c:v>
                </c:pt>
                <c:pt idx="1">
                  <c:v>733574.95706000004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68125440"/>
        <c:axId val="68126976"/>
      </c:barChart>
      <c:catAx>
        <c:axId val="68125440"/>
        <c:scaling>
          <c:orientation val="minMax"/>
        </c:scaling>
        <c:delete val="0"/>
        <c:axPos val="b"/>
        <c:numFmt formatCode="General" sourceLinked="1"/>
        <c:majorTickMark val="out"/>
        <c:minorTickMark val="none"/>
        <c:tickLblPos val="nextTo"/>
        <c:txPr>
          <a:bodyPr/>
          <a:lstStyle/>
          <a:p>
            <a:pPr>
              <a:defRPr sz="1400" b="0"/>
            </a:pPr>
            <a:endParaRPr lang="en-US"/>
          </a:p>
        </c:txPr>
        <c:crossAx val="68126976"/>
        <c:crosses val="autoZero"/>
        <c:auto val="1"/>
        <c:lblAlgn val="ctr"/>
        <c:lblOffset val="100"/>
        <c:noMultiLvlLbl val="0"/>
      </c:catAx>
      <c:valAx>
        <c:axId val="68126976"/>
        <c:scaling>
          <c:orientation val="minMax"/>
        </c:scaling>
        <c:delete val="0"/>
        <c:axPos val="l"/>
        <c:majorGridlines/>
        <c:title>
          <c:tx>
            <c:rich>
              <a:bodyPr rot="-5400000" vert="horz"/>
              <a:lstStyle/>
              <a:p>
                <a:pPr>
                  <a:defRPr sz="1600" b="1"/>
                </a:pPr>
                <a:r>
                  <a:rPr lang="en-US" sz="1600" b="1"/>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68125440"/>
        <c:crosses val="autoZero"/>
        <c:crossBetween val="between"/>
      </c:valAx>
    </c:plotArea>
    <c:legend>
      <c:legendPos val="r"/>
      <c:layout>
        <c:manualLayout>
          <c:xMode val="edge"/>
          <c:yMode val="edge"/>
          <c:x val="0.8830171079850434"/>
          <c:y val="0.25302455460158391"/>
          <c:w val="0.10817970697177598"/>
          <c:h val="0.52570420840480836"/>
        </c:manualLayout>
      </c:layout>
      <c:overlay val="0"/>
      <c:spPr>
        <a:solidFill>
          <a:schemeClr val="bg1"/>
        </a:solidFill>
        <a:ln>
          <a:no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Backhaul Transceivers - All Speeds/Reaches</a:t>
            </a:r>
          </a:p>
        </c:rich>
      </c:tx>
      <c:layout/>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Summary!$N$573</c:f>
              <c:strCache>
                <c:ptCount val="1"/>
                <c:pt idx="0">
                  <c:v>China</c:v>
                </c:pt>
              </c:strCache>
            </c:strRef>
          </c:tx>
          <c:invertIfNegative val="0"/>
          <c:cat>
            <c:numRef>
              <c:f>Summary!$O$572:$X$572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Summary!$O$573:$X$573</c:f>
              <c:numCache>
                <c:formatCode>_("$"* #,##0_);_("$"* \(#,##0\);_("$"* "-"??_);_(@_)</c:formatCode>
                <c:ptCount val="10"/>
                <c:pt idx="0">
                  <c:v>10.453308885263413</c:v>
                </c:pt>
                <c:pt idx="1">
                  <c:v>46.506051363203028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CCF-A840-BA6A-C201D71B0334}"/>
            </c:ext>
          </c:extLst>
        </c:ser>
        <c:ser>
          <c:idx val="1"/>
          <c:order val="1"/>
          <c:tx>
            <c:strRef>
              <c:f>Summary!$N$574</c:f>
              <c:strCache>
                <c:ptCount val="1"/>
                <c:pt idx="0">
                  <c:v>Rest of World</c:v>
                </c:pt>
              </c:strCache>
            </c:strRef>
          </c:tx>
          <c:invertIfNegative val="0"/>
          <c:cat>
            <c:numRef>
              <c:f>Summary!$O$572:$X$572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Summary!$O$574:$X$574</c:f>
              <c:numCache>
                <c:formatCode>_("$"* #,##0_);_("$"* \(#,##0\);_("$"* "-"??_);_(@_)</c:formatCode>
                <c:ptCount val="10"/>
                <c:pt idx="0">
                  <c:v>111.80444617985084</c:v>
                </c:pt>
                <c:pt idx="1">
                  <c:v>57.192799185759782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68132864"/>
        <c:axId val="68134400"/>
      </c:barChart>
      <c:catAx>
        <c:axId val="68132864"/>
        <c:scaling>
          <c:orientation val="minMax"/>
        </c:scaling>
        <c:delete val="0"/>
        <c:axPos val="b"/>
        <c:numFmt formatCode="General" sourceLinked="1"/>
        <c:majorTickMark val="out"/>
        <c:minorTickMark val="none"/>
        <c:tickLblPos val="nextTo"/>
        <c:txPr>
          <a:bodyPr/>
          <a:lstStyle/>
          <a:p>
            <a:pPr>
              <a:defRPr sz="1400" b="1"/>
            </a:pPr>
            <a:endParaRPr lang="en-US"/>
          </a:p>
        </c:txPr>
        <c:crossAx val="68134400"/>
        <c:crosses val="autoZero"/>
        <c:auto val="1"/>
        <c:lblAlgn val="ctr"/>
        <c:lblOffset val="100"/>
        <c:noMultiLvlLbl val="0"/>
      </c:catAx>
      <c:valAx>
        <c:axId val="6813440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8132864"/>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DWDM Components</a:t>
            </a:r>
          </a:p>
        </c:rich>
      </c:tx>
      <c:layout/>
      <c:overlay val="1"/>
    </c:title>
    <c:autoTitleDeleted val="0"/>
    <c:plotArea>
      <c:layout>
        <c:manualLayout>
          <c:layoutTarget val="inner"/>
          <c:xMode val="edge"/>
          <c:yMode val="edge"/>
          <c:x val="0.14147340786785473"/>
          <c:y val="0.120388231560365"/>
          <c:w val="0.83160323878068254"/>
          <c:h val="0.77200477342946305"/>
        </c:manualLayout>
      </c:layout>
      <c:barChart>
        <c:barDir val="col"/>
        <c:grouping val="stacked"/>
        <c:varyColors val="0"/>
        <c:ser>
          <c:idx val="0"/>
          <c:order val="0"/>
          <c:tx>
            <c:strRef>
              <c:f>Summary!$B$100</c:f>
              <c:strCache>
                <c:ptCount val="1"/>
                <c:pt idx="0">
                  <c:v>Modulators, ≥100G</c:v>
                </c:pt>
              </c:strCache>
            </c:strRef>
          </c:tx>
          <c:spPr>
            <a:ln>
              <a:noFill/>
            </a:ln>
          </c:spPr>
          <c:invertIfNegative val="0"/>
          <c:cat>
            <c:numRef>
              <c:f>Summary!$C$98:$L$98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Summary!$C$100:$L$100</c:f>
              <c:numCache>
                <c:formatCode>_(* #,##0_);_(* \(#,##0\);_(* "-"??_);_(@_)</c:formatCode>
                <c:ptCount val="10"/>
                <c:pt idx="0">
                  <c:v>86832</c:v>
                </c:pt>
                <c:pt idx="1">
                  <c:v>100800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A4-304F-BB4F-7970F20E3705}"/>
            </c:ext>
          </c:extLst>
        </c:ser>
        <c:ser>
          <c:idx val="1"/>
          <c:order val="1"/>
          <c:tx>
            <c:strRef>
              <c:f>Summary!$B$101</c:f>
              <c:strCache>
                <c:ptCount val="1"/>
                <c:pt idx="0">
                  <c:v>Coherent Receivers, ≥100G</c:v>
                </c:pt>
              </c:strCache>
            </c:strRef>
          </c:tx>
          <c:spPr>
            <a:ln>
              <a:noFill/>
            </a:ln>
          </c:spPr>
          <c:invertIfNegative val="0"/>
          <c:cat>
            <c:numRef>
              <c:f>Summary!$C$98:$L$98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Summary!$C$101:$L$101</c:f>
              <c:numCache>
                <c:formatCode>_(* #,##0_);_(* \(#,##0\);_(* "-"??_);_(@_)</c:formatCode>
                <c:ptCount val="10"/>
                <c:pt idx="0">
                  <c:v>86832</c:v>
                </c:pt>
                <c:pt idx="1">
                  <c:v>100800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9A4-304F-BB4F-7970F20E3705}"/>
            </c:ext>
          </c:extLst>
        </c:ser>
        <c:ser>
          <c:idx val="2"/>
          <c:order val="2"/>
          <c:tx>
            <c:strRef>
              <c:f>Summary!$B$102</c:f>
              <c:strCache>
                <c:ptCount val="1"/>
                <c:pt idx="0">
                  <c:v>Tunable lasers</c:v>
                </c:pt>
              </c:strCache>
            </c:strRef>
          </c:tx>
          <c:invertIfNegative val="0"/>
          <c:cat>
            <c:numRef>
              <c:f>Summary!$C$98:$L$98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Summary!$C$102:$L$102</c:f>
              <c:numCache>
                <c:formatCode>_(* #,##0_);_(* \(#,##0\);_(* "-"??_);_(@_)</c:formatCode>
                <c:ptCount val="10"/>
                <c:pt idx="0">
                  <c:v>130248</c:v>
                </c:pt>
                <c:pt idx="1">
                  <c:v>151200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E99-6042-8D34-1665ACC6CBB3}"/>
            </c:ext>
          </c:extLst>
        </c:ser>
        <c:dLbls>
          <c:showLegendKey val="0"/>
          <c:showVal val="0"/>
          <c:showCatName val="0"/>
          <c:showSerName val="0"/>
          <c:showPercent val="0"/>
          <c:showBubbleSize val="0"/>
        </c:dLbls>
        <c:gapWidth val="150"/>
        <c:overlap val="100"/>
        <c:axId val="68358528"/>
        <c:axId val="68360064"/>
      </c:barChart>
      <c:catAx>
        <c:axId val="68358528"/>
        <c:scaling>
          <c:orientation val="minMax"/>
        </c:scaling>
        <c:delete val="0"/>
        <c:axPos val="b"/>
        <c:numFmt formatCode="General" sourceLinked="1"/>
        <c:majorTickMark val="out"/>
        <c:minorTickMark val="none"/>
        <c:tickLblPos val="nextTo"/>
        <c:txPr>
          <a:bodyPr/>
          <a:lstStyle/>
          <a:p>
            <a:pPr>
              <a:defRPr b="1"/>
            </a:pPr>
            <a:endParaRPr lang="en-US"/>
          </a:p>
        </c:txPr>
        <c:crossAx val="68360064"/>
        <c:crosses val="autoZero"/>
        <c:auto val="1"/>
        <c:lblAlgn val="ctr"/>
        <c:lblOffset val="100"/>
        <c:noMultiLvlLbl val="1"/>
      </c:catAx>
      <c:valAx>
        <c:axId val="68360064"/>
        <c:scaling>
          <c:orientation val="minMax"/>
          <c:min val="0"/>
        </c:scaling>
        <c:delete val="0"/>
        <c:axPos val="l"/>
        <c:majorGridlines/>
        <c:title>
          <c:tx>
            <c:rich>
              <a:bodyPr rot="-5400000" vert="horz"/>
              <a:lstStyle/>
              <a:p>
                <a:pPr>
                  <a:defRPr/>
                </a:pPr>
                <a:r>
                  <a:rPr lang="en-US"/>
                  <a:t>Units</a:t>
                </a:r>
              </a:p>
            </c:rich>
          </c:tx>
          <c:layout>
            <c:manualLayout>
              <c:xMode val="edge"/>
              <c:yMode val="edge"/>
              <c:x val="1.41479647863665E-2"/>
              <c:y val="0.43642150221489595"/>
            </c:manualLayout>
          </c:layout>
          <c:overlay val="0"/>
        </c:title>
        <c:numFmt formatCode="_(* #,##0_);_(* \(#,##0\);_(* &quot;-&quot;??_);_(@_)" sourceLinked="1"/>
        <c:majorTickMark val="out"/>
        <c:minorTickMark val="none"/>
        <c:tickLblPos val="nextTo"/>
        <c:crossAx val="68358528"/>
        <c:crosses val="autoZero"/>
        <c:crossBetween val="between"/>
      </c:valAx>
    </c:plotArea>
    <c:legend>
      <c:legendPos val="t"/>
      <c:layout>
        <c:manualLayout>
          <c:xMode val="edge"/>
          <c:yMode val="edge"/>
          <c:x val="0.25173799720429701"/>
          <c:y val="0.117855946528392"/>
          <c:w val="0.66432206956314754"/>
          <c:h val="8.0552906475704136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WSS</a:t>
            </a:r>
          </a:p>
        </c:rich>
      </c:tx>
      <c:layout>
        <c:manualLayout>
          <c:xMode val="edge"/>
          <c:yMode val="edge"/>
          <c:x val="0.43107907913261834"/>
          <c:y val="6.9045604893865492E-3"/>
        </c:manualLayout>
      </c:layout>
      <c:overlay val="1"/>
    </c:title>
    <c:autoTitleDeleted val="0"/>
    <c:plotArea>
      <c:layout>
        <c:manualLayout>
          <c:layoutTarget val="inner"/>
          <c:xMode val="edge"/>
          <c:yMode val="edge"/>
          <c:x val="0.12024627926321249"/>
          <c:y val="0.120388231560365"/>
          <c:w val="0.85000008357137247"/>
          <c:h val="0.77200477342946305"/>
        </c:manualLayout>
      </c:layout>
      <c:barChart>
        <c:barDir val="col"/>
        <c:grouping val="stacked"/>
        <c:varyColors val="0"/>
        <c:ser>
          <c:idx val="0"/>
          <c:order val="0"/>
          <c:spPr>
            <a:ln>
              <a:noFill/>
            </a:ln>
          </c:spPr>
          <c:invertIfNegative val="0"/>
          <c:cat>
            <c:numRef>
              <c:f>Summary!$C$98:$L$98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Summary!$C$103:$L$103</c:f>
              <c:numCache>
                <c:formatCode>_(* #,##0_);_(* \(#,##0\);_(* "-"??_);_(@_)</c:formatCode>
                <c:ptCount val="10"/>
                <c:pt idx="0">
                  <c:v>592.61</c:v>
                </c:pt>
                <c:pt idx="1">
                  <c:v>1810.08</c:v>
                </c:pt>
                <c:pt idx="2">
                  <c:v>4428.8500000000004</c:v>
                </c:pt>
                <c:pt idx="3">
                  <c:v>18609.12</c:v>
                </c:pt>
                <c:pt idx="4">
                  <c:v>19473.188000000002</c:v>
                </c:pt>
                <c:pt idx="5">
                  <c:v>31657.330800000003</c:v>
                </c:pt>
                <c:pt idx="6">
                  <c:v>39421.114000000009</c:v>
                </c:pt>
                <c:pt idx="7">
                  <c:v>48630.604110000015</c:v>
                </c:pt>
                <c:pt idx="8">
                  <c:v>60755.454558000012</c:v>
                </c:pt>
                <c:pt idx="9">
                  <c:v>72789.745557438029</c:v>
                </c:pt>
              </c:numCache>
            </c:numRef>
          </c:val>
          <c:extLst xmlns:c16r2="http://schemas.microsoft.com/office/drawing/2015/06/chart">
            <c:ext xmlns:c16="http://schemas.microsoft.com/office/drawing/2014/chart" uri="{C3380CC4-5D6E-409C-BE32-E72D297353CC}">
              <c16:uniqueId val="{00000001-B9A4-304F-BB4F-7970F20E3705}"/>
            </c:ext>
          </c:extLst>
        </c:ser>
        <c:dLbls>
          <c:showLegendKey val="0"/>
          <c:showVal val="0"/>
          <c:showCatName val="0"/>
          <c:showSerName val="0"/>
          <c:showPercent val="0"/>
          <c:showBubbleSize val="0"/>
        </c:dLbls>
        <c:gapWidth val="150"/>
        <c:overlap val="100"/>
        <c:axId val="68381312"/>
        <c:axId val="68391296"/>
      </c:barChart>
      <c:catAx>
        <c:axId val="68381312"/>
        <c:scaling>
          <c:orientation val="minMax"/>
        </c:scaling>
        <c:delete val="0"/>
        <c:axPos val="b"/>
        <c:numFmt formatCode="General" sourceLinked="1"/>
        <c:majorTickMark val="out"/>
        <c:minorTickMark val="none"/>
        <c:tickLblPos val="nextTo"/>
        <c:txPr>
          <a:bodyPr/>
          <a:lstStyle/>
          <a:p>
            <a:pPr>
              <a:defRPr b="1"/>
            </a:pPr>
            <a:endParaRPr lang="en-US"/>
          </a:p>
        </c:txPr>
        <c:crossAx val="68391296"/>
        <c:crosses val="autoZero"/>
        <c:auto val="1"/>
        <c:lblAlgn val="ctr"/>
        <c:lblOffset val="100"/>
        <c:noMultiLvlLbl val="1"/>
      </c:catAx>
      <c:valAx>
        <c:axId val="68391296"/>
        <c:scaling>
          <c:orientation val="minMax"/>
          <c:min val="0"/>
        </c:scaling>
        <c:delete val="0"/>
        <c:axPos val="l"/>
        <c:majorGridlines/>
        <c:title>
          <c:tx>
            <c:rich>
              <a:bodyPr rot="-5400000" vert="horz"/>
              <a:lstStyle/>
              <a:p>
                <a:pPr>
                  <a:defRPr/>
                </a:pPr>
                <a:r>
                  <a:rPr lang="en-US"/>
                  <a:t>Units</a:t>
                </a:r>
              </a:p>
            </c:rich>
          </c:tx>
          <c:layout>
            <c:manualLayout>
              <c:xMode val="edge"/>
              <c:yMode val="edge"/>
              <c:x val="1.145217516782524E-2"/>
              <c:y val="0.43642150221489595"/>
            </c:manualLayout>
          </c:layout>
          <c:overlay val="0"/>
        </c:title>
        <c:numFmt formatCode="_(* #,##0_);_(* \(#,##0\);_(* &quot;-&quot;??_);_(@_)" sourceLinked="1"/>
        <c:majorTickMark val="out"/>
        <c:minorTickMark val="none"/>
        <c:tickLblPos val="nextTo"/>
        <c:crossAx val="68381312"/>
        <c:crosses val="autoZero"/>
        <c:crossBetween val="between"/>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layout>
        <c:manualLayout>
          <c:xMode val="edge"/>
          <c:yMode val="edge"/>
          <c:x val="0.36200309708941603"/>
          <c:y val="5.9918647461560696E-3"/>
        </c:manualLayout>
      </c:layout>
      <c:overlay val="1"/>
    </c:title>
    <c:autoTitleDeleted val="0"/>
    <c:plotArea>
      <c:layout>
        <c:manualLayout>
          <c:layoutTarget val="inner"/>
          <c:xMode val="edge"/>
          <c:yMode val="edge"/>
          <c:x val="0.19824110531839201"/>
          <c:y val="0.18249828205688901"/>
          <c:w val="0.77665593804505995"/>
          <c:h val="0.72180998664569096"/>
        </c:manualLayout>
      </c:layout>
      <c:lineChart>
        <c:grouping val="standard"/>
        <c:varyColors val="0"/>
        <c:ser>
          <c:idx val="1"/>
          <c:order val="0"/>
          <c:tx>
            <c:strRef>
              <c:f>Summary!$B$444</c:f>
              <c:strCache>
                <c:ptCount val="1"/>
                <c:pt idx="0">
                  <c:v>GPON</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Summary!$C$444:$L$444</c:f>
              <c:numCache>
                <c:formatCode>_(* #,##0_);_(* \(#,##0\);_(* "-"??_);_(@_)</c:formatCode>
                <c:ptCount val="10"/>
                <c:pt idx="0">
                  <c:v>62994371.409235299</c:v>
                </c:pt>
                <c:pt idx="1">
                  <c:v>44968624.335061759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C44A-564A-8304-5B1EB37AC81B}"/>
            </c:ext>
          </c:extLst>
        </c:ser>
        <c:ser>
          <c:idx val="2"/>
          <c:order val="1"/>
          <c:tx>
            <c:strRef>
              <c:f>Summary!$B$445</c:f>
              <c:strCache>
                <c:ptCount val="1"/>
                <c:pt idx="0">
                  <c:v>EPON</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Summary!$C$445:$L$445</c:f>
              <c:numCache>
                <c:formatCode>_(* #,##0_);_(* \(#,##0\);_(* "-"??_);_(@_)</c:formatCode>
                <c:ptCount val="10"/>
                <c:pt idx="0">
                  <c:v>6984520.1999999983</c:v>
                </c:pt>
                <c:pt idx="1">
                  <c:v>4378662.6527999993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C44A-564A-8304-5B1EB37AC81B}"/>
            </c:ext>
          </c:extLst>
        </c:ser>
        <c:ser>
          <c:idx val="5"/>
          <c:order val="2"/>
          <c:tx>
            <c:strRef>
              <c:f>Summary!$B$446</c:f>
              <c:strCache>
                <c:ptCount val="1"/>
                <c:pt idx="0">
                  <c:v>10G PON</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Summary!$C$446:$L$446</c:f>
              <c:numCache>
                <c:formatCode>_(* #,##0_);_(* \(#,##0\);_(* "-"??_);_(@_)</c:formatCode>
                <c:ptCount val="10"/>
                <c:pt idx="0">
                  <c:v>154000</c:v>
                </c:pt>
                <c:pt idx="1">
                  <c:v>780027.86250000005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C44A-564A-8304-5B1EB37AC81B}"/>
            </c:ext>
          </c:extLst>
        </c:ser>
        <c:ser>
          <c:idx val="3"/>
          <c:order val="3"/>
          <c:tx>
            <c:strRef>
              <c:f>Summary!$B$447</c:f>
              <c:strCache>
                <c:ptCount val="1"/>
                <c:pt idx="0">
                  <c:v>NG PON2/Nx25G PON</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Summary!$C$447:$L$447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4-C44A-564A-8304-5B1EB37AC81B}"/>
            </c:ext>
          </c:extLst>
        </c:ser>
        <c:ser>
          <c:idx val="4"/>
          <c:order val="4"/>
          <c:tx>
            <c:strRef>
              <c:f>Summary!$B$448</c:f>
              <c:strCache>
                <c:ptCount val="1"/>
                <c:pt idx="0">
                  <c:v>Point-to-point</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Summary!$C$448:$L$448</c:f>
              <c:numCache>
                <c:formatCode>_(* #,##0_);_(* \(#,##0\);_(* "-"??_);_(@_)</c:formatCode>
                <c:ptCount val="10"/>
                <c:pt idx="0">
                  <c:v>495134.02880000009</c:v>
                </c:pt>
                <c:pt idx="1">
                  <c:v>420437.50000000012</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5-C44A-564A-8304-5B1EB37AC81B}"/>
            </c:ext>
          </c:extLst>
        </c:ser>
        <c:dLbls>
          <c:showLegendKey val="0"/>
          <c:showVal val="0"/>
          <c:showCatName val="0"/>
          <c:showSerName val="0"/>
          <c:showPercent val="0"/>
          <c:showBubbleSize val="0"/>
        </c:dLbls>
        <c:marker val="1"/>
        <c:smooth val="0"/>
        <c:axId val="545252096"/>
        <c:axId val="545254016"/>
      </c:lineChart>
      <c:catAx>
        <c:axId val="545252096"/>
        <c:scaling>
          <c:orientation val="minMax"/>
        </c:scaling>
        <c:delete val="0"/>
        <c:axPos val="b"/>
        <c:numFmt formatCode="General" sourceLinked="1"/>
        <c:majorTickMark val="out"/>
        <c:minorTickMark val="none"/>
        <c:tickLblPos val="nextTo"/>
        <c:txPr>
          <a:bodyPr/>
          <a:lstStyle/>
          <a:p>
            <a:pPr>
              <a:defRPr sz="1400" b="1"/>
            </a:pPr>
            <a:endParaRPr lang="en-US"/>
          </a:p>
        </c:txPr>
        <c:crossAx val="545254016"/>
        <c:crosses val="autoZero"/>
        <c:auto val="1"/>
        <c:lblAlgn val="ctr"/>
        <c:lblOffset val="100"/>
        <c:noMultiLvlLbl val="1"/>
      </c:catAx>
      <c:valAx>
        <c:axId val="545254016"/>
        <c:scaling>
          <c:orientation val="minMax"/>
          <c:min val="0"/>
        </c:scaling>
        <c:delete val="0"/>
        <c:axPos val="l"/>
        <c:majorGridlines/>
        <c:title>
          <c:tx>
            <c:rich>
              <a:bodyPr rot="-5400000" vert="horz"/>
              <a:lstStyle/>
              <a:p>
                <a:pPr>
                  <a:defRPr sz="1400"/>
                </a:pPr>
                <a:r>
                  <a:rPr lang="en-US" sz="1400"/>
                  <a:t>Units</a:t>
                </a:r>
              </a:p>
            </c:rich>
          </c:tx>
          <c:layout>
            <c:manualLayout>
              <c:xMode val="edge"/>
              <c:yMode val="edge"/>
              <c:x val="1.5742570066725001E-2"/>
              <c:y val="0.43546194165213897"/>
            </c:manualLayout>
          </c:layout>
          <c:overlay val="0"/>
        </c:title>
        <c:numFmt formatCode="_(* #,##0_);_(* \(#,##0\);_(* &quot;-&quot;??_);_(@_)" sourceLinked="1"/>
        <c:majorTickMark val="out"/>
        <c:minorTickMark val="none"/>
        <c:tickLblPos val="nextTo"/>
        <c:txPr>
          <a:bodyPr/>
          <a:lstStyle/>
          <a:p>
            <a:pPr>
              <a:defRPr sz="1400"/>
            </a:pPr>
            <a:endParaRPr lang="en-US"/>
          </a:p>
        </c:txPr>
        <c:crossAx val="545252096"/>
        <c:crosses val="autoZero"/>
        <c:crossBetween val="between"/>
      </c:valAx>
    </c:plotArea>
    <c:legend>
      <c:legendPos val="t"/>
      <c:layout>
        <c:manualLayout>
          <c:xMode val="edge"/>
          <c:yMode val="edge"/>
          <c:x val="6.9476788827033106E-2"/>
          <c:y val="8.3886106446184897E-2"/>
          <c:w val="0.86402382484681595"/>
          <c:h val="7.1659635661597401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revenues</a:t>
            </a:r>
            <a:endParaRPr lang="en-US"/>
          </a:p>
        </c:rich>
      </c:tx>
      <c:layout/>
      <c:overlay val="1"/>
    </c:title>
    <c:autoTitleDeleted val="0"/>
    <c:plotArea>
      <c:layout>
        <c:manualLayout>
          <c:layoutTarget val="inner"/>
          <c:xMode val="edge"/>
          <c:yMode val="edge"/>
          <c:x val="0.13581284023995013"/>
          <c:y val="0.120388231560365"/>
          <c:w val="0.8443395159434679"/>
          <c:h val="0.77200477342946305"/>
        </c:manualLayout>
      </c:layout>
      <c:barChart>
        <c:barDir val="col"/>
        <c:grouping val="stacked"/>
        <c:varyColors val="0"/>
        <c:ser>
          <c:idx val="0"/>
          <c:order val="0"/>
          <c:tx>
            <c:strRef>
              <c:f>Summary!$N$53</c:f>
              <c:strCache>
                <c:ptCount val="1"/>
                <c:pt idx="0">
                  <c:v>China</c:v>
                </c:pt>
              </c:strCache>
            </c:strRef>
          </c:tx>
          <c:invertIfNegative val="0"/>
          <c:cat>
            <c:numRef>
              <c:f>Summary!$O$52:$X$52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Summary!$O$53:$X$53</c:f>
              <c:numCache>
                <c:formatCode>_("$"* #,##0_);_("$"* \(#,##0\);_("$"* "-"??_);_(@_)</c:formatCode>
                <c:ptCount val="10"/>
                <c:pt idx="0">
                  <c:v>1872.8083643261416</c:v>
                </c:pt>
                <c:pt idx="1">
                  <c:v>1492.797807283378</c:v>
                </c:pt>
                <c:pt idx="2">
                  <c:v>10.921111333335626</c:v>
                </c:pt>
                <c:pt idx="3">
                  <c:v>13.552297526806322</c:v>
                </c:pt>
                <c:pt idx="4">
                  <c:v>8.8829694422876546</c:v>
                </c:pt>
                <c:pt idx="5">
                  <c:v>11.536689220288185</c:v>
                </c:pt>
                <c:pt idx="6">
                  <c:v>15.011959051941806</c:v>
                </c:pt>
                <c:pt idx="7">
                  <c:v>16.214403415477143</c:v>
                </c:pt>
                <c:pt idx="8">
                  <c:v>15.823849399009243</c:v>
                </c:pt>
                <c:pt idx="9">
                  <c:v>15.568040542529685</c:v>
                </c:pt>
              </c:numCache>
            </c:numRef>
          </c:val>
          <c:extLst xmlns:c16r2="http://schemas.microsoft.com/office/drawing/2015/06/chart">
            <c:ext xmlns:c16="http://schemas.microsoft.com/office/drawing/2014/chart" uri="{C3380CC4-5D6E-409C-BE32-E72D297353CC}">
              <c16:uniqueId val="{00000000-A483-D74D-A982-5D4443EE02DD}"/>
            </c:ext>
          </c:extLst>
        </c:ser>
        <c:ser>
          <c:idx val="1"/>
          <c:order val="1"/>
          <c:tx>
            <c:strRef>
              <c:f>Summary!$N$54</c:f>
              <c:strCache>
                <c:ptCount val="1"/>
                <c:pt idx="0">
                  <c:v>Rest of World</c:v>
                </c:pt>
              </c:strCache>
            </c:strRef>
          </c:tx>
          <c:invertIfNegative val="0"/>
          <c:cat>
            <c:numRef>
              <c:f>Summary!$O$52:$X$52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Summary!$O$54:$X$54</c:f>
              <c:numCache>
                <c:formatCode>_("$"* #,##0_);_("$"* \(#,##0\);_("$"* "-"??_);_(@_)</c:formatCode>
                <c:ptCount val="10"/>
                <c:pt idx="0">
                  <c:v>5421.2649050731688</c:v>
                </c:pt>
                <c:pt idx="1">
                  <c:v>5858.5179730114214</c:v>
                </c:pt>
                <c:pt idx="2">
                  <c:v>7359.1496941207215</c:v>
                </c:pt>
                <c:pt idx="3">
                  <c:v>6956.5311131523995</c:v>
                </c:pt>
                <c:pt idx="4">
                  <c:v>7312.3224696789639</c:v>
                </c:pt>
                <c:pt idx="5">
                  <c:v>7871.3837539779242</c:v>
                </c:pt>
                <c:pt idx="6">
                  <c:v>8816.9085830932163</c:v>
                </c:pt>
                <c:pt idx="7">
                  <c:v>10250.715318912527</c:v>
                </c:pt>
                <c:pt idx="8">
                  <c:v>11278.933125063541</c:v>
                </c:pt>
                <c:pt idx="9">
                  <c:v>12085.559022575326</c:v>
                </c:pt>
              </c:numCache>
            </c:numRef>
          </c:val>
          <c:extLst xmlns:c16r2="http://schemas.microsoft.com/office/drawing/2015/06/chart">
            <c:ext xmlns:c16="http://schemas.microsoft.com/office/drawing/2014/chart" uri="{C3380CC4-5D6E-409C-BE32-E72D297353CC}">
              <c16:uniqueId val="{00000001-A483-D74D-A982-5D4443EE02DD}"/>
            </c:ext>
          </c:extLst>
        </c:ser>
        <c:dLbls>
          <c:showLegendKey val="0"/>
          <c:showVal val="0"/>
          <c:showCatName val="0"/>
          <c:showSerName val="0"/>
          <c:showPercent val="0"/>
          <c:showBubbleSize val="0"/>
        </c:dLbls>
        <c:gapWidth val="150"/>
        <c:overlap val="100"/>
        <c:axId val="68421504"/>
        <c:axId val="68423040"/>
      </c:barChart>
      <c:catAx>
        <c:axId val="68421504"/>
        <c:scaling>
          <c:orientation val="minMax"/>
        </c:scaling>
        <c:delete val="0"/>
        <c:axPos val="b"/>
        <c:numFmt formatCode="General" sourceLinked="1"/>
        <c:majorTickMark val="out"/>
        <c:minorTickMark val="none"/>
        <c:tickLblPos val="nextTo"/>
        <c:txPr>
          <a:bodyPr/>
          <a:lstStyle/>
          <a:p>
            <a:pPr>
              <a:defRPr b="1"/>
            </a:pPr>
            <a:endParaRPr lang="en-US"/>
          </a:p>
        </c:txPr>
        <c:crossAx val="68423040"/>
        <c:crosses val="autoZero"/>
        <c:auto val="1"/>
        <c:lblAlgn val="ctr"/>
        <c:lblOffset val="100"/>
        <c:noMultiLvlLbl val="1"/>
      </c:catAx>
      <c:valAx>
        <c:axId val="68423040"/>
        <c:scaling>
          <c:orientation val="minMax"/>
          <c:min val="0"/>
        </c:scaling>
        <c:delete val="0"/>
        <c:axPos val="l"/>
        <c:majorGridlines/>
        <c:title>
          <c:tx>
            <c:rich>
              <a:bodyPr rot="-5400000" vert="horz"/>
              <a:lstStyle/>
              <a:p>
                <a:pPr>
                  <a:defRPr/>
                </a:pPr>
                <a:r>
                  <a:rPr lang="en-US"/>
                  <a:t>Revenues ($ mn)</a:t>
                </a:r>
              </a:p>
            </c:rich>
          </c:tx>
          <c:layout>
            <c:manualLayout>
              <c:xMode val="edge"/>
              <c:yMode val="edge"/>
              <c:x val="1.5563106693342649E-2"/>
              <c:y val="0.32184032089352627"/>
            </c:manualLayout>
          </c:layout>
          <c:overlay val="0"/>
        </c:title>
        <c:numFmt formatCode="_(&quot;$&quot;* #,##0_);_(&quot;$&quot;* \(#,##0\);_(&quot;$&quot;* &quot;-&quot;??_);_(@_)" sourceLinked="1"/>
        <c:majorTickMark val="out"/>
        <c:minorTickMark val="none"/>
        <c:tickLblPos val="nextTo"/>
        <c:crossAx val="68421504"/>
        <c:crosses val="autoZero"/>
        <c:crossBetween val="between"/>
      </c:valAx>
    </c:plotArea>
    <c:legend>
      <c:legendPos val="t"/>
      <c:layout>
        <c:manualLayout>
          <c:xMode val="edge"/>
          <c:yMode val="edge"/>
          <c:x val="0.40315821787948225"/>
          <c:y val="0.12821279529228582"/>
          <c:w val="0.23920834510296829"/>
          <c:h val="7.912272937819811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DWDM Components</a:t>
            </a:r>
          </a:p>
        </c:rich>
      </c:tx>
      <c:layout/>
      <c:overlay val="1"/>
    </c:title>
    <c:autoTitleDeleted val="0"/>
    <c:plotArea>
      <c:layout>
        <c:manualLayout>
          <c:layoutTarget val="inner"/>
          <c:xMode val="edge"/>
          <c:yMode val="edge"/>
          <c:x val="0.11600085354228405"/>
          <c:y val="0.120388231560365"/>
          <c:w val="0.86415150264113394"/>
          <c:h val="0.77200477342946305"/>
        </c:manualLayout>
      </c:layout>
      <c:barChart>
        <c:barDir val="col"/>
        <c:grouping val="stacked"/>
        <c:varyColors val="0"/>
        <c:ser>
          <c:idx val="0"/>
          <c:order val="0"/>
          <c:tx>
            <c:strRef>
              <c:f>Summary!$N$100</c:f>
              <c:strCache>
                <c:ptCount val="1"/>
                <c:pt idx="0">
                  <c:v>Modulators, ≥100G</c:v>
                </c:pt>
              </c:strCache>
            </c:strRef>
          </c:tx>
          <c:spPr>
            <a:ln>
              <a:noFill/>
            </a:ln>
          </c:spPr>
          <c:invertIfNegative val="0"/>
          <c:cat>
            <c:numRef>
              <c:f>Summary!$O$98:$X$98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Summary!$O$100:$X$100</c:f>
              <c:numCache>
                <c:formatCode>_("$"* #,##0_);_("$"* \(#,##0\);_("$"* "-"??_);_(@_)</c:formatCode>
                <c:ptCount val="10"/>
                <c:pt idx="0">
                  <c:v>108.51548593748967</c:v>
                </c:pt>
                <c:pt idx="1">
                  <c:v>113.84699578253594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A4-304F-BB4F-7970F20E3705}"/>
            </c:ext>
          </c:extLst>
        </c:ser>
        <c:ser>
          <c:idx val="1"/>
          <c:order val="1"/>
          <c:tx>
            <c:strRef>
              <c:f>Summary!$N$101</c:f>
              <c:strCache>
                <c:ptCount val="1"/>
                <c:pt idx="0">
                  <c:v>Coherent Receivers, ≥100G</c:v>
                </c:pt>
              </c:strCache>
            </c:strRef>
          </c:tx>
          <c:spPr>
            <a:ln>
              <a:noFill/>
            </a:ln>
          </c:spPr>
          <c:invertIfNegative val="0"/>
          <c:cat>
            <c:numRef>
              <c:f>Summary!$O$98:$X$98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Summary!$O$101:$X$101</c:f>
              <c:numCache>
                <c:formatCode>_("$"* #,##0_);_("$"* \(#,##0\);_("$"* "-"??_);_(@_)</c:formatCode>
                <c:ptCount val="10"/>
                <c:pt idx="0">
                  <c:v>84.103078082873651</c:v>
                </c:pt>
                <c:pt idx="1">
                  <c:v>90.45808679506095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9A4-304F-BB4F-7970F20E3705}"/>
            </c:ext>
          </c:extLst>
        </c:ser>
        <c:ser>
          <c:idx val="2"/>
          <c:order val="2"/>
          <c:tx>
            <c:strRef>
              <c:f>Summary!$N$102</c:f>
              <c:strCache>
                <c:ptCount val="1"/>
                <c:pt idx="0">
                  <c:v>Tunable lasers</c:v>
                </c:pt>
              </c:strCache>
            </c:strRef>
          </c:tx>
          <c:invertIfNegative val="0"/>
          <c:cat>
            <c:numRef>
              <c:f>Summary!$O$98:$X$98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Summary!$O$102:$X$102</c:f>
              <c:numCache>
                <c:formatCode>_("$"* #,##0_);_("$"* \(#,##0\);_("$"* "-"??_);_(@_)</c:formatCode>
                <c:ptCount val="10"/>
                <c:pt idx="0">
                  <c:v>68.269593302627982</c:v>
                </c:pt>
                <c:pt idx="1">
                  <c:v>75.512721226351388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786-E044-A5F6-4214C595287C}"/>
            </c:ext>
          </c:extLst>
        </c:ser>
        <c:dLbls>
          <c:showLegendKey val="0"/>
          <c:showVal val="0"/>
          <c:showCatName val="0"/>
          <c:showSerName val="0"/>
          <c:showPercent val="0"/>
          <c:showBubbleSize val="0"/>
        </c:dLbls>
        <c:gapWidth val="150"/>
        <c:overlap val="100"/>
        <c:axId val="68467328"/>
        <c:axId val="68469120"/>
      </c:barChart>
      <c:catAx>
        <c:axId val="68467328"/>
        <c:scaling>
          <c:orientation val="minMax"/>
        </c:scaling>
        <c:delete val="0"/>
        <c:axPos val="b"/>
        <c:numFmt formatCode="General" sourceLinked="1"/>
        <c:majorTickMark val="out"/>
        <c:minorTickMark val="none"/>
        <c:tickLblPos val="nextTo"/>
        <c:txPr>
          <a:bodyPr/>
          <a:lstStyle/>
          <a:p>
            <a:pPr>
              <a:defRPr b="1"/>
            </a:pPr>
            <a:endParaRPr lang="en-US"/>
          </a:p>
        </c:txPr>
        <c:crossAx val="68469120"/>
        <c:crosses val="autoZero"/>
        <c:auto val="1"/>
        <c:lblAlgn val="ctr"/>
        <c:lblOffset val="100"/>
        <c:noMultiLvlLbl val="1"/>
      </c:catAx>
      <c:valAx>
        <c:axId val="68469120"/>
        <c:scaling>
          <c:orientation val="minMax"/>
          <c:min val="0"/>
        </c:scaling>
        <c:delete val="0"/>
        <c:axPos val="l"/>
        <c:majorGridlines/>
        <c:title>
          <c:tx>
            <c:rich>
              <a:bodyPr rot="-5400000" vert="horz"/>
              <a:lstStyle/>
              <a:p>
                <a:pPr>
                  <a:defRPr/>
                </a:pPr>
                <a:r>
                  <a:rPr lang="en-US"/>
                  <a:t>Revenues ($ mn)</a:t>
                </a:r>
              </a:p>
            </c:rich>
          </c:tx>
          <c:layout>
            <c:manualLayout>
              <c:xMode val="edge"/>
              <c:yMode val="edge"/>
              <c:x val="1.0872078414461635E-2"/>
              <c:y val="0.34320993560817759"/>
            </c:manualLayout>
          </c:layout>
          <c:overlay val="0"/>
        </c:title>
        <c:numFmt formatCode="_(&quot;$&quot;* #,##0_);_(&quot;$&quot;* \(#,##0\);_(&quot;$&quot;* &quot;-&quot;??_);_(@_)" sourceLinked="1"/>
        <c:majorTickMark val="out"/>
        <c:minorTickMark val="none"/>
        <c:tickLblPos val="nextTo"/>
        <c:crossAx val="68467328"/>
        <c:crosses val="autoZero"/>
        <c:crossBetween val="between"/>
      </c:valAx>
    </c:plotArea>
    <c:legend>
      <c:legendPos val="t"/>
      <c:layout>
        <c:manualLayout>
          <c:xMode val="edge"/>
          <c:yMode val="edge"/>
          <c:x val="0.25173799720429701"/>
          <c:y val="0.117855946528392"/>
          <c:w val="0.66365052012036507"/>
          <c:h val="7.912272937819811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WSS</a:t>
            </a:r>
          </a:p>
        </c:rich>
      </c:tx>
      <c:layout>
        <c:manualLayout>
          <c:xMode val="edge"/>
          <c:yMode val="edge"/>
          <c:x val="0.43107907913261834"/>
          <c:y val="6.9045604893865492E-3"/>
        </c:manualLayout>
      </c:layout>
      <c:overlay val="1"/>
    </c:title>
    <c:autoTitleDeleted val="0"/>
    <c:plotArea>
      <c:layout>
        <c:manualLayout>
          <c:layoutTarget val="inner"/>
          <c:xMode val="edge"/>
          <c:yMode val="edge"/>
          <c:x val="0.12307656307716479"/>
          <c:y val="0.120388231560365"/>
          <c:w val="0.84716979975742013"/>
          <c:h val="0.77200477342946305"/>
        </c:manualLayout>
      </c:layout>
      <c:barChart>
        <c:barDir val="col"/>
        <c:grouping val="stacked"/>
        <c:varyColors val="0"/>
        <c:ser>
          <c:idx val="0"/>
          <c:order val="0"/>
          <c:spPr>
            <a:ln>
              <a:noFill/>
            </a:ln>
          </c:spPr>
          <c:invertIfNegative val="0"/>
          <c:cat>
            <c:numRef>
              <c:f>Summary!$O$98:$X$98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Summary!$O$103:$X$103</c:f>
              <c:numCache>
                <c:formatCode>_("$"* #,##0_);_("$"* \(#,##0\);_("$"* "-"??_);_(@_)</c:formatCode>
                <c:ptCount val="10"/>
                <c:pt idx="0">
                  <c:v>2.5566299174397882</c:v>
                </c:pt>
                <c:pt idx="1">
                  <c:v>7.5027701977813033</c:v>
                </c:pt>
                <c:pt idx="2">
                  <c:v>18.265915079081882</c:v>
                </c:pt>
                <c:pt idx="3">
                  <c:v>62.241884661578148</c:v>
                </c:pt>
                <c:pt idx="4">
                  <c:v>59.296239103569903</c:v>
                </c:pt>
                <c:pt idx="5">
                  <c:v>89.048985708017725</c:v>
                </c:pt>
                <c:pt idx="6">
                  <c:v>103.95701548296402</c:v>
                </c:pt>
                <c:pt idx="7">
                  <c:v>122.5274378991907</c:v>
                </c:pt>
                <c:pt idx="8">
                  <c:v>148.4484411429024</c:v>
                </c:pt>
                <c:pt idx="9">
                  <c:v>169.58939160842795</c:v>
                </c:pt>
              </c:numCache>
            </c:numRef>
          </c:val>
          <c:extLst xmlns:c16r2="http://schemas.microsoft.com/office/drawing/2015/06/chart">
            <c:ext xmlns:c16="http://schemas.microsoft.com/office/drawing/2014/chart" uri="{C3380CC4-5D6E-409C-BE32-E72D297353CC}">
              <c16:uniqueId val="{00000001-B9A4-304F-BB4F-7970F20E3705}"/>
            </c:ext>
          </c:extLst>
        </c:ser>
        <c:dLbls>
          <c:showLegendKey val="0"/>
          <c:showVal val="0"/>
          <c:showCatName val="0"/>
          <c:showSerName val="0"/>
          <c:showPercent val="0"/>
          <c:showBubbleSize val="0"/>
        </c:dLbls>
        <c:gapWidth val="150"/>
        <c:overlap val="100"/>
        <c:axId val="68494464"/>
        <c:axId val="68496000"/>
      </c:barChart>
      <c:catAx>
        <c:axId val="68494464"/>
        <c:scaling>
          <c:orientation val="minMax"/>
        </c:scaling>
        <c:delete val="0"/>
        <c:axPos val="b"/>
        <c:numFmt formatCode="General" sourceLinked="1"/>
        <c:majorTickMark val="out"/>
        <c:minorTickMark val="none"/>
        <c:tickLblPos val="nextTo"/>
        <c:txPr>
          <a:bodyPr/>
          <a:lstStyle/>
          <a:p>
            <a:pPr>
              <a:defRPr b="1"/>
            </a:pPr>
            <a:endParaRPr lang="en-US"/>
          </a:p>
        </c:txPr>
        <c:crossAx val="68496000"/>
        <c:crosses val="autoZero"/>
        <c:auto val="1"/>
        <c:lblAlgn val="ctr"/>
        <c:lblOffset val="100"/>
        <c:noMultiLvlLbl val="1"/>
      </c:catAx>
      <c:valAx>
        <c:axId val="68496000"/>
        <c:scaling>
          <c:orientation val="minMax"/>
          <c:min val="0"/>
        </c:scaling>
        <c:delete val="0"/>
        <c:axPos val="l"/>
        <c:majorGridlines/>
        <c:title>
          <c:tx>
            <c:rich>
              <a:bodyPr rot="-5400000" vert="horz"/>
              <a:lstStyle/>
              <a:p>
                <a:pPr>
                  <a:defRPr/>
                </a:pPr>
                <a:r>
                  <a:rPr lang="en-US"/>
                  <a:t>Revenues ($ mn)</a:t>
                </a:r>
              </a:p>
            </c:rich>
          </c:tx>
          <c:layout>
            <c:manualLayout>
              <c:xMode val="edge"/>
              <c:yMode val="edge"/>
              <c:x val="2.6438639391199264E-2"/>
              <c:y val="0.33910172211699263"/>
            </c:manualLayout>
          </c:layout>
          <c:overlay val="0"/>
        </c:title>
        <c:numFmt formatCode="_(&quot;$&quot;* #,##0_);_(&quot;$&quot;* \(#,##0\);_(&quot;$&quot;* &quot;-&quot;??_);_(@_)" sourceLinked="1"/>
        <c:majorTickMark val="out"/>
        <c:minorTickMark val="none"/>
        <c:tickLblPos val="nextTo"/>
        <c:crossAx val="68494464"/>
        <c:crosses val="autoZero"/>
        <c:crossBetween val="between"/>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- 100GbE</a:t>
            </a:r>
            <a:r>
              <a:rPr lang="en-US" baseline="0"/>
              <a:t> and above </a:t>
            </a:r>
            <a:r>
              <a:rPr lang="en-US"/>
              <a:t>- Ethernet</a:t>
            </a:r>
          </a:p>
        </c:rich>
      </c:tx>
      <c:layout/>
      <c:overlay val="1"/>
    </c:title>
    <c:autoTitleDeleted val="0"/>
    <c:plotArea>
      <c:layout>
        <c:manualLayout>
          <c:layoutTarget val="inner"/>
          <c:xMode val="edge"/>
          <c:yMode val="edge"/>
          <c:x val="0.12271930955249809"/>
          <c:y val="8.8065173284493398E-2"/>
          <c:w val="0.7416259141984477"/>
          <c:h val="0.82667437026685997"/>
        </c:manualLayout>
      </c:layout>
      <c:lineChart>
        <c:grouping val="standard"/>
        <c:varyColors val="0"/>
        <c:ser>
          <c:idx val="3"/>
          <c:order val="0"/>
          <c:tx>
            <c:strRef>
              <c:f>Summary!$N$710</c:f>
              <c:strCache>
                <c:ptCount val="1"/>
                <c:pt idx="0">
                  <c:v>100 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Summary!$O$710:$X$710</c:f>
              <c:numCache>
                <c:formatCode>_("$"* #,##0_);_("$"* \(#,##0\);_("$"* "-"??_);_(@_)</c:formatCode>
                <c:ptCount val="10"/>
                <c:pt idx="0">
                  <c:v>298.68033240387786</c:v>
                </c:pt>
                <c:pt idx="1">
                  <c:v>227.23482996170949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5-9AD3-2041-94B6-90FE9763115A}"/>
            </c:ext>
          </c:extLst>
        </c:ser>
        <c:ser>
          <c:idx val="7"/>
          <c:order val="1"/>
          <c:tx>
            <c:strRef>
              <c:f>Summary!$N$711</c:f>
              <c:strCache>
                <c:ptCount val="1"/>
                <c:pt idx="0">
                  <c:v>200 G</c:v>
                </c:pt>
              </c:strCache>
            </c:strRef>
          </c:tx>
          <c:spPr>
            <a:ln>
              <a:solidFill>
                <a:srgbClr val="00B050"/>
              </a:solidFill>
            </a:ln>
          </c:spPr>
          <c:marker>
            <c:spPr>
              <a:ln>
                <a:solidFill>
                  <a:srgbClr val="00B050"/>
                </a:solidFill>
              </a:ln>
            </c:spPr>
          </c:marker>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Summary!$O$711:$X$711</c:f>
              <c:numCache>
                <c:formatCode>_("$"* #,##0_);_("$"* \(#,##0\);_("$"* "-"??_);_(@_)</c:formatCode>
                <c:ptCount val="10"/>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9AD3-2041-94B6-90FE9763115A}"/>
            </c:ext>
          </c:extLst>
        </c:ser>
        <c:ser>
          <c:idx val="5"/>
          <c:order val="2"/>
          <c:tx>
            <c:strRef>
              <c:f>Summary!$N$712</c:f>
              <c:strCache>
                <c:ptCount val="1"/>
                <c:pt idx="0">
                  <c:v>400G</c:v>
                </c:pt>
              </c:strCache>
            </c:strRef>
          </c:tx>
          <c:cat>
            <c:numRef>
              <c:f>Summary!$O$704:$X$704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Summary!$O$712:$X$712</c:f>
              <c:numCache>
                <c:formatCode>_("$"* #,##0_);_("$"* \(#,##0\);_("$"* "-"??_);_(@_)</c:formatCode>
                <c:ptCount val="10"/>
                <c:pt idx="1">
                  <c:v>0.25340000000000007</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9AD3-2041-94B6-90FE9763115A}"/>
            </c:ext>
          </c:extLst>
        </c:ser>
        <c:dLbls>
          <c:showLegendKey val="0"/>
          <c:showVal val="0"/>
          <c:showCatName val="0"/>
          <c:showSerName val="0"/>
          <c:showPercent val="0"/>
          <c:showBubbleSize val="0"/>
        </c:dLbls>
        <c:marker val="1"/>
        <c:smooth val="0"/>
        <c:axId val="68527616"/>
        <c:axId val="68529152"/>
      </c:lineChart>
      <c:catAx>
        <c:axId val="68527616"/>
        <c:scaling>
          <c:orientation val="minMax"/>
        </c:scaling>
        <c:delete val="0"/>
        <c:axPos val="b"/>
        <c:numFmt formatCode="General" sourceLinked="1"/>
        <c:majorTickMark val="out"/>
        <c:minorTickMark val="none"/>
        <c:tickLblPos val="nextTo"/>
        <c:txPr>
          <a:bodyPr/>
          <a:lstStyle/>
          <a:p>
            <a:pPr>
              <a:defRPr b="1"/>
            </a:pPr>
            <a:endParaRPr lang="en-US"/>
          </a:p>
        </c:txPr>
        <c:crossAx val="68529152"/>
        <c:crosses val="autoZero"/>
        <c:auto val="1"/>
        <c:lblAlgn val="ctr"/>
        <c:lblOffset val="100"/>
        <c:tickLblSkip val="1"/>
        <c:noMultiLvlLbl val="1"/>
      </c:catAx>
      <c:valAx>
        <c:axId val="68529152"/>
        <c:scaling>
          <c:orientation val="minMax"/>
          <c:min val="0"/>
        </c:scaling>
        <c:delete val="0"/>
        <c:axPos val="l"/>
        <c:majorGridlines/>
        <c:title>
          <c:tx>
            <c:rich>
              <a:bodyPr rot="-5400000" vert="horz"/>
              <a:lstStyle/>
              <a:p>
                <a:pPr>
                  <a:defRPr/>
                </a:pPr>
                <a:r>
                  <a:rPr lang="en-US"/>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crossAx val="68527616"/>
        <c:crosses val="autoZero"/>
        <c:crossBetween val="between"/>
      </c:valAx>
    </c:plotArea>
    <c:legend>
      <c:legendPos val="r"/>
      <c:layout>
        <c:manualLayout>
          <c:xMode val="edge"/>
          <c:yMode val="edge"/>
          <c:x val="0.88007357438436529"/>
          <c:y val="0.13093151169493999"/>
          <c:w val="0.1060921249916793"/>
          <c:h val="0.759092979380671"/>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'Ethernet-Cloud'!$D$251</c:f>
              <c:strCache>
                <c:ptCount val="1"/>
                <c:pt idx="0">
                  <c:v>China</c:v>
                </c:pt>
              </c:strCache>
            </c:strRef>
          </c:tx>
          <c:cat>
            <c:numRef>
              <c:f>'Ethernet-Cloud'!$E$250:$N$250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'Ethernet-Cloud'!$E$251:$N$251</c:f>
              <c:numCache>
                <c:formatCode>0%</c:formatCode>
                <c:ptCount val="10"/>
              </c:numCache>
            </c:numRef>
          </c:val>
          <c:smooth val="0"/>
          <c:extLst xmlns:c16r2="http://schemas.microsoft.com/office/drawing/2015/06/chart">
            <c:ext xmlns:c16="http://schemas.microsoft.com/office/drawing/2014/chart" uri="{C3380CC4-5D6E-409C-BE32-E72D297353CC}">
              <c16:uniqueId val="{00000000-5FE9-6B48-BE43-F6E9F9F44FEE}"/>
            </c:ext>
          </c:extLst>
        </c:ser>
        <c:ser>
          <c:idx val="2"/>
          <c:order val="1"/>
          <c:tx>
            <c:strRef>
              <c:f>'Ethernet-Cloud'!$D$252</c:f>
              <c:strCache>
                <c:ptCount val="1"/>
                <c:pt idx="0">
                  <c:v>ROW</c:v>
                </c:pt>
              </c:strCache>
            </c:strRef>
          </c:tx>
          <c:cat>
            <c:numRef>
              <c:f>'Ethernet-Cloud'!$E$250:$N$250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'Ethernet-Cloud'!$E$252:$N$252</c:f>
              <c:numCache>
                <c:formatCode>0%</c:formatCode>
                <c:ptCount val="10"/>
              </c:numCache>
            </c:numRef>
          </c:val>
          <c:smooth val="0"/>
          <c:extLst xmlns:c16r2="http://schemas.microsoft.com/office/drawing/2015/06/chart">
            <c:ext xmlns:c16="http://schemas.microsoft.com/office/drawing/2014/chart" uri="{C3380CC4-5D6E-409C-BE32-E72D297353CC}">
              <c16:uniqueId val="{00000001-5FE9-6B48-BE43-F6E9F9F44FEE}"/>
            </c:ext>
          </c:extLst>
        </c:ser>
        <c:dLbls>
          <c:showLegendKey val="0"/>
          <c:showVal val="0"/>
          <c:showCatName val="0"/>
          <c:showSerName val="0"/>
          <c:showPercent val="0"/>
          <c:showBubbleSize val="0"/>
        </c:dLbls>
        <c:marker val="1"/>
        <c:smooth val="0"/>
        <c:axId val="69176320"/>
        <c:axId val="69178112"/>
      </c:lineChart>
      <c:catAx>
        <c:axId val="69176320"/>
        <c:scaling>
          <c:orientation val="minMax"/>
        </c:scaling>
        <c:delete val="0"/>
        <c:axPos val="b"/>
        <c:numFmt formatCode="General" sourceLinked="1"/>
        <c:majorTickMark val="out"/>
        <c:minorTickMark val="none"/>
        <c:tickLblPos val="nextTo"/>
        <c:crossAx val="69178112"/>
        <c:crosses val="autoZero"/>
        <c:auto val="1"/>
        <c:lblAlgn val="ctr"/>
        <c:lblOffset val="100"/>
        <c:noMultiLvlLbl val="0"/>
      </c:catAx>
      <c:valAx>
        <c:axId val="69178112"/>
        <c:scaling>
          <c:orientation val="minMax"/>
        </c:scaling>
        <c:delete val="0"/>
        <c:axPos val="l"/>
        <c:majorGridlines/>
        <c:numFmt formatCode="0%" sourceLinked="1"/>
        <c:majorTickMark val="out"/>
        <c:minorTickMark val="none"/>
        <c:tickLblPos val="nextTo"/>
        <c:crossAx val="6917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Spending vs. Revenue</a:t>
            </a:r>
          </a:p>
        </c:rich>
      </c:tx>
      <c:layout/>
      <c:overlay val="0"/>
      <c:spPr>
        <a:noFill/>
        <a:ln>
          <a:noFill/>
        </a:ln>
        <a:effectLst/>
      </c:spPr>
    </c:title>
    <c:autoTitleDeleted val="0"/>
    <c:plotArea>
      <c:layout>
        <c:manualLayout>
          <c:layoutTarget val="inner"/>
          <c:xMode val="edge"/>
          <c:yMode val="edge"/>
          <c:x val="0.10019546887012885"/>
          <c:y val="0.2799821357812271"/>
          <c:w val="0.84628274511411483"/>
          <c:h val="0.60334753343452441"/>
        </c:manualLayout>
      </c:layout>
      <c:scatterChart>
        <c:scatterStyle val="smoothMarker"/>
        <c:varyColors val="0"/>
        <c:ser>
          <c:idx val="1"/>
          <c:order val="0"/>
          <c:tx>
            <c:strRef>
              <c:f>ICPs!$B$41</c:f>
              <c:strCache>
                <c:ptCount val="1"/>
                <c:pt idx="0">
                  <c:v>Top 3 in 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ICPs!$C$41:$M$41</c:f>
              <c:numCache>
                <c:formatCode>0%</c:formatCode>
                <c:ptCount val="11"/>
                <c:pt idx="0">
                  <c:v>9.7808824366798358E-2</c:v>
                </c:pt>
                <c:pt idx="1">
                  <c:v>0.11723192631977407</c:v>
                </c:pt>
              </c:numCache>
            </c:numRef>
          </c:yVal>
          <c:smooth val="1"/>
          <c:extLst xmlns:c16r2="http://schemas.microsoft.com/office/drawing/2015/06/chart">
            <c:ext xmlns:c16="http://schemas.microsoft.com/office/drawing/2014/chart" uri="{C3380CC4-5D6E-409C-BE32-E72D297353CC}">
              <c16:uniqueId val="{00000000-4438-AC4B-883D-B1C3FB1CA31F}"/>
            </c:ext>
          </c:extLst>
        </c:ser>
        <c:ser>
          <c:idx val="0"/>
          <c:order val="1"/>
          <c:tx>
            <c:strRef>
              <c:f>ICPs!$B$42</c:f>
              <c:strCache>
                <c:ptCount val="1"/>
                <c:pt idx="0">
                  <c:v>Top 3 in US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ICPs!$C$42:$M$42</c:f>
              <c:numCache>
                <c:formatCode>0%</c:formatCode>
                <c:ptCount val="11"/>
                <c:pt idx="0">
                  <c:v>8.0748091603053435E-2</c:v>
                </c:pt>
                <c:pt idx="1">
                  <c:v>6.5267077698371118E-2</c:v>
                </c:pt>
              </c:numCache>
            </c:numRef>
          </c:yVal>
          <c:smooth val="1"/>
          <c:extLst xmlns:c16r2="http://schemas.microsoft.com/office/drawing/2015/06/chart">
            <c:ext xmlns:c16="http://schemas.microsoft.com/office/drawing/2014/chart" uri="{C3380CC4-5D6E-409C-BE32-E72D297353CC}">
              <c16:uniqueId val="{00000001-4438-AC4B-883D-B1C3FB1CA31F}"/>
            </c:ext>
          </c:extLst>
        </c:ser>
        <c:dLbls>
          <c:showLegendKey val="0"/>
          <c:showVal val="0"/>
          <c:showCatName val="0"/>
          <c:showSerName val="0"/>
          <c:showPercent val="0"/>
          <c:showBubbleSize val="0"/>
        </c:dLbls>
        <c:axId val="70374528"/>
        <c:axId val="70376448"/>
      </c:scatterChart>
      <c:valAx>
        <c:axId val="70374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sz="1100"/>
            </a:pPr>
            <a:endParaRPr lang="en-US"/>
          </a:p>
        </c:txPr>
        <c:crossAx val="70376448"/>
        <c:crosses val="autoZero"/>
        <c:crossBetween val="midCat"/>
      </c:valAx>
      <c:valAx>
        <c:axId val="7037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sz="1100"/>
            </a:pPr>
            <a:endParaRPr lang="en-US"/>
          </a:p>
        </c:txPr>
        <c:crossAx val="70374528"/>
        <c:crosses val="autoZero"/>
        <c:crossBetween val="midCat"/>
      </c:valAx>
      <c:spPr>
        <a:noFill/>
        <a:ln>
          <a:noFill/>
        </a:ln>
        <a:effectLst/>
      </c:spPr>
    </c:plotArea>
    <c:legend>
      <c:legendPos val="t"/>
      <c:layout/>
      <c:overlay val="0"/>
      <c:spPr>
        <a:noFill/>
        <a:ln>
          <a:noFill/>
        </a:ln>
        <a:effectLst/>
      </c:spPr>
      <c:txPr>
        <a:bodyPr rot="0" vert="horz"/>
        <a:lstStyle/>
        <a:p>
          <a:pPr>
            <a:defRPr sz="11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Revenue</a:t>
            </a:r>
            <a:r>
              <a:rPr lang="en-US" baseline="0">
                <a:solidFill>
                  <a:sysClr val="windowText" lastClr="000000"/>
                </a:solidFill>
              </a:rPr>
              <a:t> of Top 3 Cloud Companies ($millions)</a:t>
            </a:r>
            <a:endParaRPr lang="en-US">
              <a:solidFill>
                <a:sysClr val="windowText" lastClr="000000"/>
              </a:solidFill>
            </a:endParaRPr>
          </a:p>
        </c:rich>
      </c:tx>
      <c:layout/>
      <c:overlay val="0"/>
      <c:spPr>
        <a:noFill/>
        <a:ln>
          <a:noFill/>
        </a:ln>
        <a:effectLst/>
      </c:spPr>
    </c:title>
    <c:autoTitleDeleted val="0"/>
    <c:plotArea>
      <c:layout>
        <c:manualLayout>
          <c:layoutTarget val="inner"/>
          <c:xMode val="edge"/>
          <c:yMode val="edge"/>
          <c:x val="0.15638555930435599"/>
          <c:y val="0.13349514563106801"/>
          <c:w val="0.81295241305987298"/>
          <c:h val="0.62931197920648296"/>
        </c:manualLayout>
      </c:layout>
      <c:barChart>
        <c:barDir val="col"/>
        <c:grouping val="clustered"/>
        <c:varyColors val="0"/>
        <c:ser>
          <c:idx val="1"/>
          <c:order val="0"/>
          <c:tx>
            <c:strRef>
              <c:f>ICPs!$B$73</c:f>
              <c:strCache>
                <c:ptCount val="1"/>
                <c:pt idx="0">
                  <c:v>US</c:v>
                </c:pt>
              </c:strCache>
            </c:strRef>
          </c:tx>
          <c:spPr>
            <a:solidFill>
              <a:schemeClr val="accent2"/>
            </a:solidFill>
            <a:ln>
              <a:noFill/>
            </a:ln>
            <a:effectLst/>
          </c:spPr>
          <c:invertIfNegative val="0"/>
          <c:cat>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ICPs!$C$73:$M$73</c:f>
              <c:numCache>
                <c:formatCode>_("$"* #,##0_);_("$"* \(#,##0\);_("$"* "-"??_);_(@_)</c:formatCode>
                <c:ptCount val="11"/>
                <c:pt idx="0">
                  <c:v>65.5</c:v>
                </c:pt>
                <c:pt idx="1">
                  <c:v>89.692999999999998</c:v>
                </c:pt>
              </c:numCache>
            </c:numRef>
          </c:val>
          <c:extLst xmlns:c16r2="http://schemas.microsoft.com/office/drawing/2015/06/chart">
            <c:ext xmlns:c16="http://schemas.microsoft.com/office/drawing/2014/chart" uri="{C3380CC4-5D6E-409C-BE32-E72D297353CC}">
              <c16:uniqueId val="{00000000-8AE2-A14D-A984-BD1B7D670345}"/>
            </c:ext>
          </c:extLst>
        </c:ser>
        <c:ser>
          <c:idx val="0"/>
          <c:order val="1"/>
          <c:tx>
            <c:strRef>
              <c:f>ICPs!$B$72</c:f>
              <c:strCache>
                <c:ptCount val="1"/>
                <c:pt idx="0">
                  <c:v>China</c:v>
                </c:pt>
              </c:strCache>
            </c:strRef>
          </c:tx>
          <c:spPr>
            <a:solidFill>
              <a:schemeClr val="accent1"/>
            </a:solidFill>
            <a:ln>
              <a:noFill/>
            </a:ln>
            <a:effectLst/>
          </c:spPr>
          <c:invertIfNegative val="0"/>
          <c:cat>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ICPs!$C$72:$M$72</c:f>
              <c:numCache>
                <c:formatCode>_("$"* #,##0_);_("$"* \(#,##0\);_("$"* "-"??_);_(@_)</c:formatCode>
                <c:ptCount val="11"/>
                <c:pt idx="0">
                  <c:v>5.2990042134652136</c:v>
                </c:pt>
                <c:pt idx="1">
                  <c:v>9.3760972004434713</c:v>
                </c:pt>
              </c:numCache>
            </c:numRef>
          </c:val>
          <c:extLst xmlns:c16r2="http://schemas.microsoft.com/office/drawing/2015/06/chart">
            <c:ext xmlns:c16="http://schemas.microsoft.com/office/drawing/2014/chart" uri="{C3380CC4-5D6E-409C-BE32-E72D297353CC}">
              <c16:uniqueId val="{00000001-8AE2-A14D-A984-BD1B7D670345}"/>
            </c:ext>
          </c:extLst>
        </c:ser>
        <c:dLbls>
          <c:showLegendKey val="0"/>
          <c:showVal val="0"/>
          <c:showCatName val="0"/>
          <c:showSerName val="0"/>
          <c:showPercent val="0"/>
          <c:showBubbleSize val="0"/>
        </c:dLbls>
        <c:gapWidth val="219"/>
        <c:overlap val="-27"/>
        <c:axId val="70554368"/>
        <c:axId val="70555904"/>
      </c:barChart>
      <c:catAx>
        <c:axId val="7055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555904"/>
        <c:crosses val="autoZero"/>
        <c:auto val="1"/>
        <c:lblAlgn val="ctr"/>
        <c:lblOffset val="100"/>
        <c:noMultiLvlLbl val="0"/>
      </c:catAx>
      <c:valAx>
        <c:axId val="70555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554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72278511396201E-2"/>
          <c:y val="0.20067991938011301"/>
          <c:w val="0.86503899166554199"/>
          <c:h val="0.67302911201411597"/>
        </c:manualLayout>
      </c:layout>
      <c:scatterChart>
        <c:scatterStyle val="smoothMarker"/>
        <c:varyColors val="0"/>
        <c:ser>
          <c:idx val="0"/>
          <c:order val="0"/>
          <c:tx>
            <c:strRef>
              <c:f>ICPs!$B$104</c:f>
              <c:strCache>
                <c:ptCount val="1"/>
                <c:pt idx="0">
                  <c:v>Ratio of GDP per Capita US/China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ICPs!$C$104:$M$104</c:f>
              <c:numCache>
                <c:formatCode>0.0</c:formatCode>
                <c:ptCount val="11"/>
                <c:pt idx="0">
                  <c:v>10.608552631578947</c:v>
                </c:pt>
                <c:pt idx="1">
                  <c:v>9.8500302358395491</c:v>
                </c:pt>
              </c:numCache>
            </c:numRef>
          </c:yVal>
          <c:smooth val="1"/>
          <c:extLst xmlns:c16r2="http://schemas.microsoft.com/office/drawing/2015/06/chart">
            <c:ext xmlns:c16="http://schemas.microsoft.com/office/drawing/2014/chart" uri="{C3380CC4-5D6E-409C-BE32-E72D297353CC}">
              <c16:uniqueId val="{00000000-E41B-4D40-8808-AD3766CADA2E}"/>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ICPs!$C$74:$M$74</c:f>
              <c:numCache>
                <c:formatCode>0.0</c:formatCode>
                <c:ptCount val="11"/>
                <c:pt idx="0">
                  <c:v>12.360812968134468</c:v>
                </c:pt>
                <c:pt idx="1">
                  <c:v>9.5661337636045083</c:v>
                </c:pt>
              </c:numCache>
            </c:numRef>
          </c:yVal>
          <c:smooth val="1"/>
          <c:extLst xmlns:c16r2="http://schemas.microsoft.com/office/drawing/2015/06/chart">
            <c:ext xmlns:c16="http://schemas.microsoft.com/office/drawing/2014/chart" uri="{C3380CC4-5D6E-409C-BE32-E72D297353CC}">
              <c16:uniqueId val="{00000001-E41B-4D40-8808-AD3766CADA2E}"/>
            </c:ext>
          </c:extLst>
        </c:ser>
        <c:dLbls>
          <c:showLegendKey val="0"/>
          <c:showVal val="0"/>
          <c:showCatName val="0"/>
          <c:showSerName val="0"/>
          <c:showPercent val="0"/>
          <c:showBubbleSize val="0"/>
        </c:dLbls>
        <c:axId val="70573440"/>
        <c:axId val="70575616"/>
      </c:scatterChart>
      <c:valAx>
        <c:axId val="70573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0575616"/>
        <c:crosses val="autoZero"/>
        <c:crossBetween val="midCat"/>
      </c:valAx>
      <c:valAx>
        <c:axId val="70575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0573440"/>
        <c:crosses val="autoZero"/>
        <c:crossBetween val="midCat"/>
      </c:valAx>
      <c:spPr>
        <a:noFill/>
        <a:ln>
          <a:noFill/>
        </a:ln>
        <a:effectLst/>
      </c:spPr>
    </c:plotArea>
    <c:legend>
      <c:legendPos val="t"/>
      <c:layout/>
      <c:overlay val="0"/>
      <c:spPr>
        <a:noFill/>
        <a:ln>
          <a:noFill/>
        </a:ln>
        <a:effectLst/>
      </c:spPr>
      <c:txPr>
        <a:bodyPr rot="0" vert="horz"/>
        <a:lstStyle/>
        <a:p>
          <a:pPr>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chemeClr val="tx2"/>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682358279546E-2"/>
          <c:y val="0.20504160940601601"/>
          <c:w val="0.88796928675103903"/>
          <c:h val="0.66897350740571104"/>
        </c:manualLayout>
      </c:layout>
      <c:scatterChart>
        <c:scatterStyle val="smoothMarker"/>
        <c:varyColors val="0"/>
        <c:ser>
          <c:idx val="0"/>
          <c:order val="0"/>
          <c:tx>
            <c:strRef>
              <c:f>ICPs!$B$102</c:f>
              <c:strCache>
                <c:ptCount val="1"/>
                <c:pt idx="0">
                  <c:v>Ratio of GDP per Capita (average for Europe, Japan and US)/China</c:v>
                </c:pt>
              </c:strCache>
            </c:strRef>
          </c:tx>
          <c:spPr>
            <a:ln w="19050" cap="rnd">
              <a:solidFill>
                <a:srgbClr val="00B050"/>
              </a:solidFill>
              <a:round/>
            </a:ln>
            <a:effectLst/>
          </c:spPr>
          <c:marker>
            <c:symbol val="circle"/>
            <c:size val="5"/>
            <c:spPr>
              <a:solidFill>
                <a:schemeClr val="accent1"/>
              </a:solidFill>
              <a:ln w="9525">
                <a:solidFill>
                  <a:srgbClr val="00B050"/>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ICPs!$C$102:$M$102</c:f>
              <c:numCache>
                <c:formatCode>0.0</c:formatCode>
                <c:ptCount val="11"/>
                <c:pt idx="0">
                  <c:v>0</c:v>
                </c:pt>
                <c:pt idx="1">
                  <c:v>0</c:v>
                </c:pt>
              </c:numCache>
            </c:numRef>
          </c:yVal>
          <c:smooth val="1"/>
          <c:extLst xmlns:c16r2="http://schemas.microsoft.com/office/drawing/2015/06/chart">
            <c:ext xmlns:c16="http://schemas.microsoft.com/office/drawing/2014/chart" uri="{C3380CC4-5D6E-409C-BE32-E72D297353CC}">
              <c16:uniqueId val="{00000000-6313-9D43-B70E-B73EB749C074}"/>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ICPs!$C$74:$M$74</c:f>
              <c:numCache>
                <c:formatCode>0.0</c:formatCode>
                <c:ptCount val="11"/>
                <c:pt idx="0">
                  <c:v>12.360812968134468</c:v>
                </c:pt>
                <c:pt idx="1">
                  <c:v>9.5661337636045083</c:v>
                </c:pt>
              </c:numCache>
            </c:numRef>
          </c:yVal>
          <c:smooth val="1"/>
          <c:extLst xmlns:c16r2="http://schemas.microsoft.com/office/drawing/2015/06/chart">
            <c:ext xmlns:c16="http://schemas.microsoft.com/office/drawing/2014/chart" uri="{C3380CC4-5D6E-409C-BE32-E72D297353CC}">
              <c16:uniqueId val="{00000001-6313-9D43-B70E-B73EB749C074}"/>
            </c:ext>
          </c:extLst>
        </c:ser>
        <c:dLbls>
          <c:showLegendKey val="0"/>
          <c:showVal val="0"/>
          <c:showCatName val="0"/>
          <c:showSerName val="0"/>
          <c:showPercent val="0"/>
          <c:showBubbleSize val="0"/>
        </c:dLbls>
        <c:axId val="70809856"/>
        <c:axId val="70824320"/>
      </c:scatterChart>
      <c:valAx>
        <c:axId val="708098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24320"/>
        <c:crosses val="autoZero"/>
        <c:crossBetween val="midCat"/>
      </c:valAx>
      <c:valAx>
        <c:axId val="7082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09856"/>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72278511396201E-2"/>
          <c:y val="0.195820072392587"/>
          <c:w val="0.86503899166554199"/>
          <c:h val="0.67788895900164203"/>
        </c:manualLayout>
      </c:layout>
      <c:scatterChart>
        <c:scatterStyle val="smoothMarker"/>
        <c:varyColors val="0"/>
        <c:ser>
          <c:idx val="0"/>
          <c:order val="0"/>
          <c:tx>
            <c:strRef>
              <c:f>ICPs!$B$136</c:f>
              <c:strCache>
                <c:ptCount val="1"/>
                <c:pt idx="0">
                  <c:v>Ratio of GDP per Capita US/China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ICPs!$C$126:$M$126</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ICPs!$C$136:$M$136</c:f>
              <c:numCache>
                <c:formatCode>0.0</c:formatCode>
                <c:ptCount val="11"/>
                <c:pt idx="0">
                  <c:v>5.1830778920848202</c:v>
                </c:pt>
                <c:pt idx="1">
                  <c:v>5.6658408175905857</c:v>
                </c:pt>
              </c:numCache>
            </c:numRef>
          </c:yVal>
          <c:smooth val="1"/>
          <c:extLst xmlns:c16r2="http://schemas.microsoft.com/office/drawing/2015/06/chart">
            <c:ext xmlns:c16="http://schemas.microsoft.com/office/drawing/2014/chart" uri="{C3380CC4-5D6E-409C-BE32-E72D297353CC}">
              <c16:uniqueId val="{00000000-C6A6-E941-9C5B-B5667BB72159}"/>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ICPs!$C$74:$M$74</c:f>
              <c:numCache>
                <c:formatCode>0.0</c:formatCode>
                <c:ptCount val="11"/>
                <c:pt idx="0">
                  <c:v>12.360812968134468</c:v>
                </c:pt>
                <c:pt idx="1">
                  <c:v>9.5661337636045083</c:v>
                </c:pt>
              </c:numCache>
            </c:numRef>
          </c:yVal>
          <c:smooth val="1"/>
          <c:extLst xmlns:c16r2="http://schemas.microsoft.com/office/drawing/2015/06/chart">
            <c:ext xmlns:c16="http://schemas.microsoft.com/office/drawing/2014/chart" uri="{C3380CC4-5D6E-409C-BE32-E72D297353CC}">
              <c16:uniqueId val="{00000001-C6A6-E941-9C5B-B5667BB72159}"/>
            </c:ext>
          </c:extLst>
        </c:ser>
        <c:dLbls>
          <c:showLegendKey val="0"/>
          <c:showVal val="0"/>
          <c:showCatName val="0"/>
          <c:showSerName val="0"/>
          <c:showPercent val="0"/>
          <c:showBubbleSize val="0"/>
        </c:dLbls>
        <c:axId val="70849664"/>
        <c:axId val="70851584"/>
      </c:scatterChart>
      <c:valAx>
        <c:axId val="70849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51584"/>
        <c:crosses val="autoZero"/>
        <c:crossBetween val="midCat"/>
      </c:valAx>
      <c:valAx>
        <c:axId val="70851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49664"/>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layout/>
      <c:overlay val="1"/>
    </c:title>
    <c:autoTitleDeleted val="0"/>
    <c:plotArea>
      <c:layout>
        <c:manualLayout>
          <c:layoutTarget val="inner"/>
          <c:xMode val="edge"/>
          <c:yMode val="edge"/>
          <c:x val="0.195814565814767"/>
          <c:y val="0.20533867984777199"/>
          <c:w val="0.76924307630420696"/>
          <c:h val="0.71181574942605697"/>
        </c:manualLayout>
      </c:layout>
      <c:lineChart>
        <c:grouping val="standard"/>
        <c:varyColors val="0"/>
        <c:ser>
          <c:idx val="1"/>
          <c:order val="0"/>
          <c:tx>
            <c:strRef>
              <c:f>Summary!$N$444</c:f>
              <c:strCache>
                <c:ptCount val="1"/>
                <c:pt idx="0">
                  <c:v>GPON</c:v>
                </c:pt>
              </c:strCache>
            </c:strRef>
          </c:tx>
          <c:cat>
            <c:numRef>
              <c:f>Summary!$O$442:$X$442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Summary!$O$444:$X$444</c:f>
              <c:numCache>
                <c:formatCode>_("$"* #,##0_);_("$"* \(#,##0\);_("$"* "-"??_);_(@_)</c:formatCode>
                <c:ptCount val="10"/>
                <c:pt idx="0">
                  <c:v>704.89584010939382</c:v>
                </c:pt>
                <c:pt idx="1">
                  <c:v>481.50864754431825</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1-AC9C-8243-9A6F-079F9B8E5137}"/>
            </c:ext>
          </c:extLst>
        </c:ser>
        <c:ser>
          <c:idx val="2"/>
          <c:order val="1"/>
          <c:tx>
            <c:strRef>
              <c:f>Summary!$N$445</c:f>
              <c:strCache>
                <c:ptCount val="1"/>
                <c:pt idx="0">
                  <c:v>EPON</c:v>
                </c:pt>
              </c:strCache>
            </c:strRef>
          </c:tx>
          <c:cat>
            <c:numRef>
              <c:f>Summary!$O$442:$X$442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Summary!$O$445:$X$445</c:f>
              <c:numCache>
                <c:formatCode>_("$"* #,##0_);_("$"* \(#,##0\);_("$"* "-"??_);_(@_)</c:formatCode>
                <c:ptCount val="10"/>
                <c:pt idx="0">
                  <c:v>59.541827717662414</c:v>
                </c:pt>
                <c:pt idx="1">
                  <c:v>29.086334285753459</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2-AC9C-8243-9A6F-079F9B8E5137}"/>
            </c:ext>
          </c:extLst>
        </c:ser>
        <c:ser>
          <c:idx val="5"/>
          <c:order val="2"/>
          <c:tx>
            <c:strRef>
              <c:f>Summary!$N$446</c:f>
              <c:strCache>
                <c:ptCount val="1"/>
                <c:pt idx="0">
                  <c:v>10G PON</c:v>
                </c:pt>
              </c:strCache>
            </c:strRef>
          </c:tx>
          <c:cat>
            <c:numRef>
              <c:f>Summary!$O$442:$X$442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Summary!$O$446:$X$446</c:f>
              <c:numCache>
                <c:formatCode>_("$"* #,##0_);_("$"* \(#,##0\);_("$"* "-"??_);_(@_)</c:formatCode>
                <c:ptCount val="10"/>
                <c:pt idx="0">
                  <c:v>14.29</c:v>
                </c:pt>
                <c:pt idx="1">
                  <c:v>108.51612975</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C9C-8243-9A6F-079F9B8E5137}"/>
            </c:ext>
          </c:extLst>
        </c:ser>
        <c:ser>
          <c:idx val="3"/>
          <c:order val="3"/>
          <c:tx>
            <c:strRef>
              <c:f>Summary!$N$447</c:f>
              <c:strCache>
                <c:ptCount val="1"/>
                <c:pt idx="0">
                  <c:v>NG PON2/Nx25G PON</c:v>
                </c:pt>
              </c:strCache>
            </c:strRef>
          </c:tx>
          <c:cat>
            <c:numRef>
              <c:f>Summary!$O$442:$X$442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Summary!$O$447:$X$447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4-AC9C-8243-9A6F-079F9B8E5137}"/>
            </c:ext>
          </c:extLst>
        </c:ser>
        <c:ser>
          <c:idx val="4"/>
          <c:order val="4"/>
          <c:tx>
            <c:strRef>
              <c:f>Summary!$N$448</c:f>
              <c:strCache>
                <c:ptCount val="1"/>
                <c:pt idx="0">
                  <c:v>Point-to-point</c:v>
                </c:pt>
              </c:strCache>
            </c:strRef>
          </c:tx>
          <c:cat>
            <c:numRef>
              <c:f>Summary!$O$442:$X$442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Summary!$O$448:$X$448</c:f>
              <c:numCache>
                <c:formatCode>_("$"* #,##0_);_("$"* \(#,##0\);_("$"* "-"??_);_(@_)</c:formatCode>
                <c:ptCount val="10"/>
                <c:pt idx="0">
                  <c:v>13.613688128000003</c:v>
                </c:pt>
                <c:pt idx="1">
                  <c:v>10.430337750000003</c:v>
                </c:pt>
                <c:pt idx="2">
                  <c:v>0</c:v>
                </c:pt>
                <c:pt idx="3">
                  <c:v>0</c:v>
                </c:pt>
                <c:pt idx="4">
                  <c:v>0</c:v>
                </c:pt>
                <c:pt idx="5">
                  <c:v>0</c:v>
                </c:pt>
                <c:pt idx="6">
                  <c:v>0</c:v>
                </c:pt>
                <c:pt idx="7">
                  <c:v>0</c:v>
                </c:pt>
                <c:pt idx="8">
                  <c:v>0</c:v>
                </c:pt>
                <c:pt idx="9">
                  <c:v>0</c:v>
                </c:pt>
              </c:numCache>
            </c:numRef>
          </c:val>
          <c:smooth val="1"/>
          <c:extLst xmlns:c16r2="http://schemas.microsoft.com/office/drawing/2015/06/chart">
            <c:ext xmlns:c16="http://schemas.microsoft.com/office/drawing/2014/chart" uri="{C3380CC4-5D6E-409C-BE32-E72D297353CC}">
              <c16:uniqueId val="{00000005-AC9C-8243-9A6F-079F9B8E5137}"/>
            </c:ext>
          </c:extLst>
        </c:ser>
        <c:dLbls>
          <c:showLegendKey val="0"/>
          <c:showVal val="0"/>
          <c:showCatName val="0"/>
          <c:showSerName val="0"/>
          <c:showPercent val="0"/>
          <c:showBubbleSize val="0"/>
        </c:dLbls>
        <c:marker val="1"/>
        <c:smooth val="0"/>
        <c:axId val="566225920"/>
        <c:axId val="566484352"/>
      </c:lineChart>
      <c:catAx>
        <c:axId val="566225920"/>
        <c:scaling>
          <c:orientation val="minMax"/>
        </c:scaling>
        <c:delete val="0"/>
        <c:axPos val="b"/>
        <c:numFmt formatCode="General" sourceLinked="1"/>
        <c:majorTickMark val="out"/>
        <c:minorTickMark val="none"/>
        <c:tickLblPos val="nextTo"/>
        <c:txPr>
          <a:bodyPr/>
          <a:lstStyle/>
          <a:p>
            <a:pPr>
              <a:defRPr sz="1400" b="1"/>
            </a:pPr>
            <a:endParaRPr lang="en-US"/>
          </a:p>
        </c:txPr>
        <c:crossAx val="566484352"/>
        <c:crosses val="autoZero"/>
        <c:auto val="1"/>
        <c:lblAlgn val="ctr"/>
        <c:lblOffset val="100"/>
        <c:noMultiLvlLbl val="1"/>
      </c:catAx>
      <c:valAx>
        <c:axId val="566484352"/>
        <c:scaling>
          <c:orientation val="minMax"/>
          <c:min val="0"/>
        </c:scaling>
        <c:delete val="0"/>
        <c:axPos val="l"/>
        <c:majorGridlines/>
        <c:title>
          <c:tx>
            <c:rich>
              <a:bodyPr rot="-5400000" vert="horz"/>
              <a:lstStyle/>
              <a:p>
                <a:pPr>
                  <a:defRPr sz="1600"/>
                </a:pPr>
                <a:r>
                  <a:rPr lang="en-US" sz="1600"/>
                  <a:t>Sales ($M)</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566225920"/>
        <c:crosses val="autoZero"/>
        <c:crossBetween val="between"/>
      </c:valAx>
    </c:plotArea>
    <c:legend>
      <c:legendPos val="t"/>
      <c:layout>
        <c:manualLayout>
          <c:xMode val="edge"/>
          <c:yMode val="edge"/>
          <c:x val="9.2487472945220597E-2"/>
          <c:y val="0.10251442870404"/>
          <c:w val="0.89721130544998395"/>
          <c:h val="6.9103699113741604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682358279546E-2"/>
          <c:y val="0.20988967781340701"/>
          <c:w val="0.88796928675103903"/>
          <c:h val="0.66412543899831999"/>
        </c:manualLayout>
      </c:layout>
      <c:scatterChart>
        <c:scatterStyle val="smoothMarker"/>
        <c:varyColors val="0"/>
        <c:ser>
          <c:idx val="0"/>
          <c:order val="0"/>
          <c:tx>
            <c:strRef>
              <c:f>ICPs!$B$134</c:f>
              <c:strCache>
                <c:ptCount val="1"/>
                <c:pt idx="0">
                  <c:v>Ratio GDP per Capita (avg for Europe, Japan and US)/China</c:v>
                </c:pt>
              </c:strCache>
            </c:strRef>
          </c:tx>
          <c:spPr>
            <a:ln w="19050" cap="rnd">
              <a:solidFill>
                <a:srgbClr val="00B050"/>
              </a:solidFill>
              <a:round/>
            </a:ln>
            <a:effectLst/>
          </c:spPr>
          <c:marker>
            <c:symbol val="circle"/>
            <c:size val="5"/>
            <c:spPr>
              <a:solidFill>
                <a:schemeClr val="accent1"/>
              </a:solidFill>
              <a:ln w="9525">
                <a:solidFill>
                  <a:srgbClr val="00B050"/>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ICPs!$C$134:$M$134</c:f>
              <c:numCache>
                <c:formatCode>0.0</c:formatCode>
                <c:ptCount val="11"/>
                <c:pt idx="0">
                  <c:v>0</c:v>
                </c:pt>
                <c:pt idx="1">
                  <c:v>0</c:v>
                </c:pt>
              </c:numCache>
            </c:numRef>
          </c:yVal>
          <c:smooth val="1"/>
          <c:extLst xmlns:c16r2="http://schemas.microsoft.com/office/drawing/2015/06/chart">
            <c:ext xmlns:c16="http://schemas.microsoft.com/office/drawing/2014/chart" uri="{C3380CC4-5D6E-409C-BE32-E72D297353CC}">
              <c16:uniqueId val="{00000000-2C58-AE4D-BA52-6F169E59E43E}"/>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ICPs!$C$74:$M$74</c:f>
              <c:numCache>
                <c:formatCode>0.0</c:formatCode>
                <c:ptCount val="11"/>
                <c:pt idx="0">
                  <c:v>12.360812968134468</c:v>
                </c:pt>
                <c:pt idx="1">
                  <c:v>9.5661337636045083</c:v>
                </c:pt>
              </c:numCache>
            </c:numRef>
          </c:yVal>
          <c:smooth val="1"/>
          <c:extLst xmlns:c16r2="http://schemas.microsoft.com/office/drawing/2015/06/chart">
            <c:ext xmlns:c16="http://schemas.microsoft.com/office/drawing/2014/chart" uri="{C3380CC4-5D6E-409C-BE32-E72D297353CC}">
              <c16:uniqueId val="{00000001-2C58-AE4D-BA52-6F169E59E43E}"/>
            </c:ext>
          </c:extLst>
        </c:ser>
        <c:dLbls>
          <c:showLegendKey val="0"/>
          <c:showVal val="0"/>
          <c:showCatName val="0"/>
          <c:showSerName val="0"/>
          <c:showPercent val="0"/>
          <c:showBubbleSize val="0"/>
        </c:dLbls>
        <c:axId val="70914048"/>
        <c:axId val="70915968"/>
      </c:scatterChart>
      <c:valAx>
        <c:axId val="7091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915968"/>
        <c:crosses val="autoZero"/>
        <c:crossBetween val="midCat"/>
      </c:valAx>
      <c:valAx>
        <c:axId val="70915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914048"/>
        <c:crosses val="autoZero"/>
        <c:crossBetween val="midCat"/>
        <c:majorUnit val="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1"/>
          <c:order val="0"/>
          <c:tx>
            <c:strRef>
              <c:f>ICPs!$B$41</c:f>
              <c:strCache>
                <c:ptCount val="1"/>
                <c:pt idx="0">
                  <c:v>Top 3 in 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ICPs!$C$41:$M$41</c:f>
              <c:numCache>
                <c:formatCode>0%</c:formatCode>
                <c:ptCount val="11"/>
                <c:pt idx="0">
                  <c:v>9.7808824366798358E-2</c:v>
                </c:pt>
                <c:pt idx="1">
                  <c:v>0.11723192631977407</c:v>
                </c:pt>
              </c:numCache>
            </c:numRef>
          </c:yVal>
          <c:smooth val="1"/>
          <c:extLst xmlns:c16r2="http://schemas.microsoft.com/office/drawing/2015/06/chart">
            <c:ext xmlns:c16="http://schemas.microsoft.com/office/drawing/2014/chart" uri="{C3380CC4-5D6E-409C-BE32-E72D297353CC}">
              <c16:uniqueId val="{00000000-99B4-C94A-B7A9-7CD6F11E3FF9}"/>
            </c:ext>
          </c:extLst>
        </c:ser>
        <c:ser>
          <c:idx val="0"/>
          <c:order val="1"/>
          <c:tx>
            <c:strRef>
              <c:f>ICPs!$B$42</c:f>
              <c:strCache>
                <c:ptCount val="1"/>
                <c:pt idx="0">
                  <c:v>Top 3 in US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ICPs!$C$42:$M$42</c:f>
              <c:numCache>
                <c:formatCode>0%</c:formatCode>
                <c:ptCount val="11"/>
                <c:pt idx="0">
                  <c:v>8.0748091603053435E-2</c:v>
                </c:pt>
                <c:pt idx="1">
                  <c:v>6.5267077698371118E-2</c:v>
                </c:pt>
              </c:numCache>
            </c:numRef>
          </c:yVal>
          <c:smooth val="1"/>
          <c:extLst xmlns:c16r2="http://schemas.microsoft.com/office/drawing/2015/06/chart">
            <c:ext xmlns:c16="http://schemas.microsoft.com/office/drawing/2014/chart" uri="{C3380CC4-5D6E-409C-BE32-E72D297353CC}">
              <c16:uniqueId val="{00000001-99B4-C94A-B7A9-7CD6F11E3FF9}"/>
            </c:ext>
          </c:extLst>
        </c:ser>
        <c:dLbls>
          <c:showLegendKey val="0"/>
          <c:showVal val="0"/>
          <c:showCatName val="0"/>
          <c:showSerName val="0"/>
          <c:showPercent val="0"/>
          <c:showBubbleSize val="0"/>
        </c:dLbls>
        <c:axId val="70957696"/>
        <c:axId val="70980352"/>
      </c:scatterChart>
      <c:valAx>
        <c:axId val="70957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0980352"/>
        <c:crosses val="autoZero"/>
        <c:crossBetween val="midCat"/>
      </c:valAx>
      <c:valAx>
        <c:axId val="70980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0957696"/>
        <c:crosses val="autoZero"/>
        <c:crossBetween val="midCat"/>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a:t>
            </a:r>
            <a:r>
              <a:rPr lang="en-US" baseline="0"/>
              <a:t> revenue</a:t>
            </a:r>
            <a:endParaRPr lang="en-US"/>
          </a:p>
        </c:rich>
      </c:tx>
      <c:layout/>
      <c:overlay val="0"/>
      <c:spPr>
        <a:noFill/>
        <a:ln>
          <a:noFill/>
        </a:ln>
        <a:effectLst/>
      </c:spPr>
    </c:title>
    <c:autoTitleDeleted val="0"/>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ICPs!$C$20:$M$20</c:f>
              <c:numCache>
                <c:formatCode>_("$"* #,##0.0_);_("$"* \(#,##0.0\);_("$"* "-"??_);_(@_)</c:formatCode>
                <c:ptCount val="11"/>
                <c:pt idx="0">
                  <c:v>1.1620623275143012</c:v>
                </c:pt>
                <c:pt idx="1">
                  <c:v>1.8899611369569584</c:v>
                </c:pt>
              </c:numCache>
            </c:numRef>
          </c:val>
          <c:extLst xmlns:c16r2="http://schemas.microsoft.com/office/drawing/2015/06/chart">
            <c:ext xmlns:c16="http://schemas.microsoft.com/office/drawing/2014/chart" uri="{C3380CC4-5D6E-409C-BE32-E72D297353CC}">
              <c16:uniqueId val="{00000000-7DE5-D241-8DAB-39F64D89BC40}"/>
            </c:ext>
          </c:extLst>
        </c:ser>
        <c:ser>
          <c:idx val="1"/>
          <c:order val="1"/>
          <c:tx>
            <c:strRef>
              <c:f>ICPs!$B$21</c:f>
              <c:strCache>
                <c:ptCount val="1"/>
                <c:pt idx="0">
                  <c:v>Top 3 in US</c:v>
                </c:pt>
              </c:strCache>
            </c:strRef>
          </c:tx>
          <c:spPr>
            <a:solidFill>
              <a:schemeClr val="accent2"/>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ICPs!$C$21:$M$21</c:f>
              <c:numCache>
                <c:formatCode>_("$"* #,##0.0_);_("$"* \(#,##0.0\);_("$"* "-"??_);_(@_)</c:formatCode>
                <c:ptCount val="11"/>
                <c:pt idx="0">
                  <c:v>0</c:v>
                </c:pt>
                <c:pt idx="1">
                  <c:v>0</c:v>
                </c:pt>
              </c:numCache>
            </c:numRef>
          </c:val>
          <c:extLst xmlns:c16r2="http://schemas.microsoft.com/office/drawing/2015/06/chart">
            <c:ext xmlns:c16="http://schemas.microsoft.com/office/drawing/2014/chart" uri="{C3380CC4-5D6E-409C-BE32-E72D297353CC}">
              <c16:uniqueId val="{00000001-7DE5-D241-8DAB-39F64D89BC40}"/>
            </c:ext>
          </c:extLst>
        </c:ser>
        <c:dLbls>
          <c:showLegendKey val="0"/>
          <c:showVal val="0"/>
          <c:showCatName val="0"/>
          <c:showSerName val="0"/>
          <c:showPercent val="0"/>
          <c:showBubbleSize val="0"/>
        </c:dLbls>
        <c:gapWidth val="219"/>
        <c:overlap val="-27"/>
        <c:axId val="71018368"/>
        <c:axId val="71019904"/>
      </c:barChart>
      <c:catAx>
        <c:axId val="7101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9904"/>
        <c:crosses val="autoZero"/>
        <c:auto val="1"/>
        <c:lblAlgn val="ctr"/>
        <c:lblOffset val="100"/>
        <c:noMultiLvlLbl val="0"/>
      </c:catAx>
      <c:valAx>
        <c:axId val="71019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8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ICPs!$C$20:$M$20</c:f>
              <c:numCache>
                <c:formatCode>_("$"* #,##0.0_);_("$"* \(#,##0.0\);_("$"* "-"??_);_(@_)</c:formatCode>
                <c:ptCount val="11"/>
                <c:pt idx="0">
                  <c:v>1.1620623275143012</c:v>
                </c:pt>
                <c:pt idx="1">
                  <c:v>1.8899611369569584</c:v>
                </c:pt>
              </c:numCache>
            </c:numRef>
          </c:val>
          <c:extLst xmlns:c16r2="http://schemas.microsoft.com/office/drawing/2015/06/chart">
            <c:ext xmlns:c16="http://schemas.microsoft.com/office/drawing/2014/chart" uri="{C3380CC4-5D6E-409C-BE32-E72D297353CC}">
              <c16:uniqueId val="{00000000-1BD4-1440-984A-2CB77562188C}"/>
            </c:ext>
          </c:extLst>
        </c:ser>
        <c:ser>
          <c:idx val="1"/>
          <c:order val="1"/>
          <c:tx>
            <c:strRef>
              <c:f>ICPs!$B$21</c:f>
              <c:strCache>
                <c:ptCount val="1"/>
                <c:pt idx="0">
                  <c:v>Top 3 in US</c:v>
                </c:pt>
              </c:strCache>
            </c:strRef>
          </c:tx>
          <c:spPr>
            <a:solidFill>
              <a:schemeClr val="accent2"/>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ICPs!$C$21:$M$21</c:f>
              <c:numCache>
                <c:formatCode>_("$"* #,##0.0_);_("$"* \(#,##0.0\);_("$"* "-"??_);_(@_)</c:formatCode>
                <c:ptCount val="11"/>
                <c:pt idx="0">
                  <c:v>0</c:v>
                </c:pt>
                <c:pt idx="1">
                  <c:v>0</c:v>
                </c:pt>
              </c:numCache>
            </c:numRef>
          </c:val>
          <c:extLst xmlns:c16r2="http://schemas.microsoft.com/office/drawing/2015/06/chart">
            <c:ext xmlns:c16="http://schemas.microsoft.com/office/drawing/2014/chart" uri="{C3380CC4-5D6E-409C-BE32-E72D297353CC}">
              <c16:uniqueId val="{00000001-1BD4-1440-984A-2CB77562188C}"/>
            </c:ext>
          </c:extLst>
        </c:ser>
        <c:dLbls>
          <c:showLegendKey val="0"/>
          <c:showVal val="0"/>
          <c:showCatName val="0"/>
          <c:showSerName val="0"/>
          <c:showPercent val="0"/>
          <c:showBubbleSize val="0"/>
        </c:dLbls>
        <c:gapWidth val="219"/>
        <c:overlap val="-27"/>
        <c:axId val="71038080"/>
        <c:axId val="71039616"/>
      </c:barChart>
      <c:catAx>
        <c:axId val="7103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1039616"/>
        <c:crosses val="autoZero"/>
        <c:auto val="1"/>
        <c:lblAlgn val="ctr"/>
        <c:lblOffset val="100"/>
        <c:noMultiLvlLbl val="0"/>
      </c:catAx>
      <c:valAx>
        <c:axId val="71039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Normalized Revenue ($M)</a:t>
                </a:r>
              </a:p>
            </c:rich>
          </c:tx>
          <c:layout>
            <c:manualLayout>
              <c:xMode val="edge"/>
              <c:yMode val="edge"/>
              <c:x val="1.39130450024561E-2"/>
              <c:y val="0.27451561122367002"/>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71038080"/>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36510504340339"/>
          <c:y val="0.13349514563106801"/>
          <c:w val="0.76197276934104397"/>
          <c:h val="0.7531339041666969"/>
        </c:manualLayout>
      </c:layout>
      <c:barChart>
        <c:barDir val="col"/>
        <c:grouping val="clustered"/>
        <c:varyColors val="0"/>
        <c:ser>
          <c:idx val="1"/>
          <c:order val="0"/>
          <c:tx>
            <c:strRef>
              <c:f>ICPs!$B$21</c:f>
              <c:strCache>
                <c:ptCount val="1"/>
                <c:pt idx="0">
                  <c:v>Top 3 in US</c:v>
                </c:pt>
              </c:strCache>
            </c:strRef>
          </c:tx>
          <c:spPr>
            <a:solidFill>
              <a:schemeClr val="accent2"/>
            </a:solidFill>
            <a:ln>
              <a:noFill/>
            </a:ln>
            <a:effectLst/>
          </c:spPr>
          <c:invertIfNegative val="0"/>
          <c:cat>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ICPs!$C$73:$M$73</c:f>
              <c:numCache>
                <c:formatCode>_("$"* #,##0_);_("$"* \(#,##0\);_("$"* "-"??_);_(@_)</c:formatCode>
                <c:ptCount val="11"/>
                <c:pt idx="0">
                  <c:v>65.5</c:v>
                </c:pt>
                <c:pt idx="1">
                  <c:v>89.692999999999998</c:v>
                </c:pt>
              </c:numCache>
            </c:numRef>
          </c:val>
          <c:extLst xmlns:c16r2="http://schemas.microsoft.com/office/drawing/2015/06/chart">
            <c:ext xmlns:c16="http://schemas.microsoft.com/office/drawing/2014/chart" uri="{C3380CC4-5D6E-409C-BE32-E72D297353CC}">
              <c16:uniqueId val="{00000000-64EA-8E4B-88F3-8E307E79340C}"/>
            </c:ext>
          </c:extLst>
        </c:ser>
        <c:ser>
          <c:idx val="0"/>
          <c:order val="1"/>
          <c:tx>
            <c:strRef>
              <c:f>ICPs!$B$20</c:f>
              <c:strCache>
                <c:ptCount val="1"/>
                <c:pt idx="0">
                  <c:v>Top 3 in China</c:v>
                </c:pt>
              </c:strCache>
            </c:strRef>
          </c:tx>
          <c:spPr>
            <a:solidFill>
              <a:schemeClr val="accent1"/>
            </a:solidFill>
            <a:ln>
              <a:noFill/>
            </a:ln>
            <a:effectLst/>
          </c:spPr>
          <c:invertIfNegative val="0"/>
          <c:cat>
            <c:strRef>
              <c:f>ICPs!$C$71:$M$71</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ICPs!$C$72:$M$72</c:f>
              <c:numCache>
                <c:formatCode>_("$"* #,##0_);_("$"* \(#,##0\);_("$"* "-"??_);_(@_)</c:formatCode>
                <c:ptCount val="11"/>
                <c:pt idx="0">
                  <c:v>5.2990042134652136</c:v>
                </c:pt>
                <c:pt idx="1">
                  <c:v>9.3760972004434713</c:v>
                </c:pt>
              </c:numCache>
            </c:numRef>
          </c:val>
          <c:extLst xmlns:c16r2="http://schemas.microsoft.com/office/drawing/2015/06/chart">
            <c:ext xmlns:c16="http://schemas.microsoft.com/office/drawing/2014/chart" uri="{C3380CC4-5D6E-409C-BE32-E72D297353CC}">
              <c16:uniqueId val="{00000001-64EA-8E4B-88F3-8E307E79340C}"/>
            </c:ext>
          </c:extLst>
        </c:ser>
        <c:dLbls>
          <c:showLegendKey val="0"/>
          <c:showVal val="0"/>
          <c:showCatName val="0"/>
          <c:showSerName val="0"/>
          <c:showPercent val="0"/>
          <c:showBubbleSize val="0"/>
        </c:dLbls>
        <c:gapWidth val="219"/>
        <c:overlap val="-27"/>
        <c:axId val="71152000"/>
        <c:axId val="71153536"/>
      </c:barChart>
      <c:catAx>
        <c:axId val="7115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b="0"/>
            </a:pPr>
            <a:endParaRPr lang="en-US"/>
          </a:p>
        </c:txPr>
        <c:crossAx val="71153536"/>
        <c:crosses val="autoZero"/>
        <c:auto val="1"/>
        <c:lblAlgn val="ctr"/>
        <c:lblOffset val="100"/>
        <c:noMultiLvlLbl val="0"/>
      </c:catAx>
      <c:valAx>
        <c:axId val="71153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US" sz="1200" b="0"/>
                  <a:t>Revenue ($ billiona)</a:t>
                </a:r>
              </a:p>
            </c:rich>
          </c:tx>
          <c:layout>
            <c:manualLayout>
              <c:xMode val="edge"/>
              <c:yMode val="edge"/>
              <c:x val="2.8891524929339472E-2"/>
              <c:y val="0.34370487154931106"/>
            </c:manualLayout>
          </c:layout>
          <c:overlay val="0"/>
        </c:title>
        <c:numFmt formatCode="&quot;$&quot;#,##0" sourceLinked="0"/>
        <c:majorTickMark val="none"/>
        <c:minorTickMark val="none"/>
        <c:tickLblPos val="nextTo"/>
        <c:spPr>
          <a:noFill/>
          <a:ln>
            <a:noFill/>
          </a:ln>
          <a:effectLst/>
        </c:spPr>
        <c:txPr>
          <a:bodyPr rot="-60000000" vert="horz"/>
          <a:lstStyle/>
          <a:p>
            <a:pPr>
              <a:defRPr sz="1100" b="0"/>
            </a:pPr>
            <a:endParaRPr lang="en-US"/>
          </a:p>
        </c:txPr>
        <c:crossAx val="71152000"/>
        <c:crosses val="autoZero"/>
        <c:crossBetween val="between"/>
      </c:valAx>
      <c:spPr>
        <a:noFill/>
        <a:ln>
          <a:noFill/>
        </a:ln>
        <a:effectLst/>
      </c:spPr>
    </c:plotArea>
    <c:legend>
      <c:legendPos val="t"/>
      <c:overlay val="0"/>
      <c:spPr>
        <a:noFill/>
        <a:ln>
          <a:noFill/>
        </a:ln>
        <a:effectLst/>
      </c:spPr>
      <c:txPr>
        <a:bodyPr rot="0" vert="horz"/>
        <a:lstStyle/>
        <a:p>
          <a:pPr>
            <a:defRPr sz="1200" b="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Spending</a:t>
            </a:r>
          </a:p>
        </c:rich>
      </c:tx>
      <c:layout/>
      <c:overlay val="0"/>
      <c:spPr>
        <a:noFill/>
        <a:ln>
          <a:noFill/>
        </a:ln>
        <a:effectLst/>
      </c:spPr>
    </c:title>
    <c:autoTitleDeleted val="0"/>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ICPs!$C$24:$M$24</c:f>
              <c:numCache>
                <c:formatCode>_("$"* #,##0_);_("$"* \(#,##0\);_("$"* "-"??_);_(@_)</c:formatCode>
                <c:ptCount val="11"/>
                <c:pt idx="0">
                  <c:v>1.0827246846061056</c:v>
                </c:pt>
                <c:pt idx="1">
                  <c:v>2.1462883829214388</c:v>
                </c:pt>
              </c:numCache>
            </c:numRef>
          </c:val>
          <c:extLst xmlns:c16r2="http://schemas.microsoft.com/office/drawing/2015/06/chart">
            <c:ext xmlns:c16="http://schemas.microsoft.com/office/drawing/2014/chart" uri="{C3380CC4-5D6E-409C-BE32-E72D297353CC}">
              <c16:uniqueId val="{00000000-3201-AC4E-B2D1-ACA7BABBCE51}"/>
            </c:ext>
          </c:extLst>
        </c:ser>
        <c:ser>
          <c:idx val="1"/>
          <c:order val="1"/>
          <c:tx>
            <c:strRef>
              <c:f>ICPs!$B$25</c:f>
              <c:strCache>
                <c:ptCount val="1"/>
                <c:pt idx="0">
                  <c:v>Top 3 in US</c:v>
                </c:pt>
              </c:strCache>
            </c:strRef>
          </c:tx>
          <c:spPr>
            <a:solidFill>
              <a:schemeClr val="accent2"/>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ICPs!$C$25:$M$25</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1-3201-AC4E-B2D1-ACA7BABBCE51}"/>
            </c:ext>
          </c:extLst>
        </c:ser>
        <c:dLbls>
          <c:showLegendKey val="0"/>
          <c:showVal val="0"/>
          <c:showCatName val="0"/>
          <c:showSerName val="0"/>
          <c:showPercent val="0"/>
          <c:showBubbleSize val="0"/>
        </c:dLbls>
        <c:gapWidth val="219"/>
        <c:overlap val="-27"/>
        <c:axId val="71437696"/>
        <c:axId val="71443584"/>
      </c:barChart>
      <c:catAx>
        <c:axId val="7143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43584"/>
        <c:crosses val="autoZero"/>
        <c:auto val="1"/>
        <c:lblAlgn val="ctr"/>
        <c:lblOffset val="100"/>
        <c:noMultiLvlLbl val="0"/>
      </c:catAx>
      <c:valAx>
        <c:axId val="714435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376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ICPs!$C$24:$M$24</c:f>
              <c:numCache>
                <c:formatCode>_("$"* #,##0_);_("$"* \(#,##0\);_("$"* "-"??_);_(@_)</c:formatCode>
                <c:ptCount val="11"/>
                <c:pt idx="0">
                  <c:v>1.0827246846061056</c:v>
                </c:pt>
                <c:pt idx="1">
                  <c:v>2.1462883829214388</c:v>
                </c:pt>
              </c:numCache>
            </c:numRef>
          </c:val>
          <c:extLst xmlns:c16r2="http://schemas.microsoft.com/office/drawing/2015/06/chart">
            <c:ext xmlns:c16="http://schemas.microsoft.com/office/drawing/2014/chart" uri="{C3380CC4-5D6E-409C-BE32-E72D297353CC}">
              <c16:uniqueId val="{00000000-BC6C-574C-AAED-D9B1FAC035BD}"/>
            </c:ext>
          </c:extLst>
        </c:ser>
        <c:ser>
          <c:idx val="1"/>
          <c:order val="1"/>
          <c:tx>
            <c:strRef>
              <c:f>ICPs!$B$25</c:f>
              <c:strCache>
                <c:ptCount val="1"/>
                <c:pt idx="0">
                  <c:v>Top 3 in US</c:v>
                </c:pt>
              </c:strCache>
            </c:strRef>
          </c:tx>
          <c:spPr>
            <a:solidFill>
              <a:schemeClr val="accent2"/>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ICPs!$C$25:$M$25</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1-BC6C-574C-AAED-D9B1FAC035BD}"/>
            </c:ext>
          </c:extLst>
        </c:ser>
        <c:dLbls>
          <c:showLegendKey val="0"/>
          <c:showVal val="0"/>
          <c:showCatName val="0"/>
          <c:showSerName val="0"/>
          <c:showPercent val="0"/>
          <c:showBubbleSize val="0"/>
        </c:dLbls>
        <c:gapWidth val="219"/>
        <c:overlap val="-27"/>
        <c:axId val="71572096"/>
        <c:axId val="71573888"/>
      </c:barChart>
      <c:catAx>
        <c:axId val="7157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a:pPr>
            <a:endParaRPr lang="en-US"/>
          </a:p>
        </c:txPr>
        <c:crossAx val="71573888"/>
        <c:crosses val="autoZero"/>
        <c:auto val="1"/>
        <c:lblAlgn val="ctr"/>
        <c:lblOffset val="100"/>
        <c:noMultiLvlLbl val="0"/>
      </c:catAx>
      <c:valAx>
        <c:axId val="71573888"/>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Adjusted Spending ($B)</a:t>
                </a:r>
              </a:p>
            </c:rich>
          </c:tx>
          <c:layout>
            <c:manualLayout>
              <c:xMode val="edge"/>
              <c:yMode val="edge"/>
              <c:x val="1.8006453967145456E-2"/>
              <c:y val="0.25106296720953736"/>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71572096"/>
        <c:crosses val="autoZero"/>
        <c:crossBetween val="between"/>
      </c:valAx>
      <c:spPr>
        <a:noFill/>
        <a:ln>
          <a:noFill/>
        </a:ln>
        <a:effectLst/>
      </c:spPr>
    </c:plotArea>
    <c:legend>
      <c:legendPos val="t"/>
      <c:layout>
        <c:manualLayout>
          <c:xMode val="edge"/>
          <c:yMode val="edge"/>
          <c:x val="0.30920553444301918"/>
          <c:y val="2.515664302096288E-2"/>
          <c:w val="0.40201446120382323"/>
          <c:h val="0.11444456806341061"/>
        </c:manualLayout>
      </c:layout>
      <c:overlay val="0"/>
      <c:spPr>
        <a:noFill/>
        <a:ln>
          <a:noFill/>
        </a:ln>
        <a:effectLst/>
      </c:spPr>
      <c:txPr>
        <a:bodyPr rot="0" vert="horz"/>
        <a:lstStyle/>
        <a:p>
          <a:pPr>
            <a:defRPr sz="12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Spending</a:t>
            </a:r>
          </a:p>
        </c:rich>
      </c:tx>
      <c:layout/>
      <c:overlay val="0"/>
      <c:spPr>
        <a:noFill/>
        <a:ln>
          <a:noFill/>
        </a:ln>
        <a:effectLst/>
      </c:spPr>
    </c:title>
    <c:autoTitleDeleted val="0"/>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ICPs!$C$12:$M$12</c:f>
              <c:numCache>
                <c:formatCode>_("$"* #,##0_);_("$"* \(#,##0\);_("$"* "-"??_);_(@_)</c:formatCode>
                <c:ptCount val="11"/>
                <c:pt idx="0">
                  <c:v>0.51828937243374351</c:v>
                </c:pt>
                <c:pt idx="1">
                  <c:v>1.0991779361694289</c:v>
                </c:pt>
              </c:numCache>
            </c:numRef>
          </c:val>
          <c:extLst xmlns:c16r2="http://schemas.microsoft.com/office/drawing/2015/06/chart">
            <c:ext xmlns:c16="http://schemas.microsoft.com/office/drawing/2014/chart" uri="{C3380CC4-5D6E-409C-BE32-E72D297353CC}">
              <c16:uniqueId val="{00000000-DF2E-A441-96EC-CA16FA40A8BB}"/>
            </c:ext>
          </c:extLst>
        </c:ser>
        <c:ser>
          <c:idx val="1"/>
          <c:order val="1"/>
          <c:tx>
            <c:strRef>
              <c:f>ICPs!$B$25</c:f>
              <c:strCache>
                <c:ptCount val="1"/>
                <c:pt idx="0">
                  <c:v>Top 3 in US</c:v>
                </c:pt>
              </c:strCache>
            </c:strRef>
          </c:tx>
          <c:spPr>
            <a:solidFill>
              <a:schemeClr val="accent2"/>
            </a:solidFill>
            <a:ln>
              <a:noFill/>
            </a:ln>
            <a:effectLst/>
          </c:spPr>
          <c:invertIfNegative val="0"/>
          <c:cat>
            <c:strRef>
              <c:f>ICPs!$C$40:$M$40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ICPs!$C$13:$M$13</c:f>
              <c:numCache>
                <c:formatCode>_("$"* #,##0_);_("$"* \(#,##0\);_("$"* "-"??_);_(@_)</c:formatCode>
                <c:ptCount val="11"/>
                <c:pt idx="0">
                  <c:v>5.2889999999999997</c:v>
                </c:pt>
                <c:pt idx="1">
                  <c:v>5.8540000000000001</c:v>
                </c:pt>
              </c:numCache>
            </c:numRef>
          </c:val>
          <c:extLst xmlns:c16r2="http://schemas.microsoft.com/office/drawing/2015/06/chart">
            <c:ext xmlns:c16="http://schemas.microsoft.com/office/drawing/2014/chart" uri="{C3380CC4-5D6E-409C-BE32-E72D297353CC}">
              <c16:uniqueId val="{00000001-DF2E-A441-96EC-CA16FA40A8BB}"/>
            </c:ext>
          </c:extLst>
        </c:ser>
        <c:dLbls>
          <c:showLegendKey val="0"/>
          <c:showVal val="0"/>
          <c:showCatName val="0"/>
          <c:showSerName val="0"/>
          <c:showPercent val="0"/>
          <c:showBubbleSize val="0"/>
        </c:dLbls>
        <c:gapWidth val="219"/>
        <c:overlap val="-27"/>
        <c:axId val="71587712"/>
        <c:axId val="71589248"/>
      </c:barChart>
      <c:catAx>
        <c:axId val="715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89248"/>
        <c:crosses val="autoZero"/>
        <c:auto val="1"/>
        <c:lblAlgn val="ctr"/>
        <c:lblOffset val="100"/>
        <c:noMultiLvlLbl val="0"/>
      </c:catAx>
      <c:valAx>
        <c:axId val="715892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5877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ICPs!$C$10:$M$10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ICPs!$C$12:$M$12</c:f>
              <c:numCache>
                <c:formatCode>_("$"* #,##0_);_("$"* \(#,##0\);_("$"* "-"??_);_(@_)</c:formatCode>
                <c:ptCount val="11"/>
                <c:pt idx="0">
                  <c:v>0.51828937243374351</c:v>
                </c:pt>
                <c:pt idx="1">
                  <c:v>1.0991779361694289</c:v>
                </c:pt>
              </c:numCache>
            </c:numRef>
          </c:val>
          <c:extLst xmlns:c16r2="http://schemas.microsoft.com/office/drawing/2015/06/chart">
            <c:ext xmlns:c16="http://schemas.microsoft.com/office/drawing/2014/chart" uri="{C3380CC4-5D6E-409C-BE32-E72D297353CC}">
              <c16:uniqueId val="{00000000-9ADC-994A-AA6E-EAC6BE95DE06}"/>
            </c:ext>
          </c:extLst>
        </c:ser>
        <c:ser>
          <c:idx val="1"/>
          <c:order val="1"/>
          <c:tx>
            <c:strRef>
              <c:f>ICPs!$B$25</c:f>
              <c:strCache>
                <c:ptCount val="1"/>
                <c:pt idx="0">
                  <c:v>Top 3 in US</c:v>
                </c:pt>
              </c:strCache>
            </c:strRef>
          </c:tx>
          <c:spPr>
            <a:solidFill>
              <a:schemeClr val="accent2"/>
            </a:solidFill>
            <a:ln>
              <a:noFill/>
            </a:ln>
            <a:effectLst/>
          </c:spPr>
          <c:invertIfNegative val="0"/>
          <c:cat>
            <c:strRef>
              <c:f>ICPs!$C$10:$M$10</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ICPs!$C$13:$M$13</c:f>
              <c:numCache>
                <c:formatCode>_("$"* #,##0_);_("$"* \(#,##0\);_("$"* "-"??_);_(@_)</c:formatCode>
                <c:ptCount val="11"/>
                <c:pt idx="0">
                  <c:v>5.2889999999999997</c:v>
                </c:pt>
                <c:pt idx="1">
                  <c:v>5.8540000000000001</c:v>
                </c:pt>
              </c:numCache>
            </c:numRef>
          </c:val>
          <c:extLst xmlns:c16r2="http://schemas.microsoft.com/office/drawing/2015/06/chart">
            <c:ext xmlns:c16="http://schemas.microsoft.com/office/drawing/2014/chart" uri="{C3380CC4-5D6E-409C-BE32-E72D297353CC}">
              <c16:uniqueId val="{00000001-9ADC-994A-AA6E-EAC6BE95DE06}"/>
            </c:ext>
          </c:extLst>
        </c:ser>
        <c:dLbls>
          <c:showLegendKey val="0"/>
          <c:showVal val="0"/>
          <c:showCatName val="0"/>
          <c:showSerName val="0"/>
          <c:showPercent val="0"/>
          <c:showBubbleSize val="0"/>
        </c:dLbls>
        <c:gapWidth val="219"/>
        <c:overlap val="-27"/>
        <c:axId val="71661056"/>
        <c:axId val="71662592"/>
      </c:barChart>
      <c:catAx>
        <c:axId val="7166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71662592"/>
        <c:crosses val="autoZero"/>
        <c:auto val="1"/>
        <c:lblAlgn val="ctr"/>
        <c:lblOffset val="100"/>
        <c:noMultiLvlLbl val="0"/>
      </c:catAx>
      <c:valAx>
        <c:axId val="71662592"/>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Spending</a:t>
                </a:r>
                <a:r>
                  <a:rPr lang="en-US" sz="1200" baseline="0"/>
                  <a:t> ($ billions)</a:t>
                </a:r>
                <a:endParaRPr lang="en-US" sz="1200"/>
              </a:p>
            </c:rich>
          </c:tx>
          <c:layout>
            <c:manualLayout>
              <c:xMode val="edge"/>
              <c:yMode val="edge"/>
              <c:x val="1.8571413672628666E-2"/>
              <c:y val="0.34525119348311933"/>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71661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Revenue of Service Providers ($M)</a:t>
            </a:r>
          </a:p>
        </c:rich>
      </c:tx>
      <c:layout/>
      <c:overlay val="0"/>
      <c:spPr>
        <a:noFill/>
        <a:ln>
          <a:noFill/>
        </a:ln>
        <a:effectLst/>
      </c:spPr>
    </c:title>
    <c:autoTitleDeleted val="0"/>
    <c:plotArea>
      <c:layout>
        <c:manualLayout>
          <c:layoutTarget val="inner"/>
          <c:xMode val="edge"/>
          <c:yMode val="edge"/>
          <c:x val="0.101850087118041"/>
          <c:y val="0.26138352568942602"/>
          <c:w val="0.86714832111640305"/>
          <c:h val="0.64477330744615802"/>
        </c:manualLayout>
      </c:layout>
      <c:barChart>
        <c:barDir val="col"/>
        <c:grouping val="clustered"/>
        <c:varyColors val="0"/>
        <c:ser>
          <c:idx val="0"/>
          <c:order val="0"/>
          <c:tx>
            <c:strRef>
              <c:f>CSPs!$B$40</c:f>
              <c:strCache>
                <c:ptCount val="1"/>
                <c:pt idx="0">
                  <c:v>Top 3 in China</c:v>
                </c:pt>
              </c:strCache>
            </c:strRef>
          </c:tx>
          <c:spPr>
            <a:solidFill>
              <a:schemeClr val="accent1"/>
            </a:solidFill>
            <a:ln>
              <a:noFill/>
            </a:ln>
            <a:effectLst/>
          </c:spPr>
          <c:invertIfNegative val="0"/>
          <c:cat>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CSPs!$F$40:$P$40</c:f>
              <c:numCache>
                <c:formatCode>"$"#,##0_);\("$"#,##0\)</c:formatCode>
                <c:ptCount val="11"/>
                <c:pt idx="0">
                  <c:v>131824.7303</c:v>
                </c:pt>
                <c:pt idx="1">
                  <c:v>154680.44560000001</c:v>
                </c:pt>
              </c:numCache>
            </c:numRef>
          </c:val>
          <c:extLst xmlns:c16r2="http://schemas.microsoft.com/office/drawing/2015/06/chart">
            <c:ext xmlns:c16="http://schemas.microsoft.com/office/drawing/2014/chart" uri="{C3380CC4-5D6E-409C-BE32-E72D297353CC}">
              <c16:uniqueId val="{00000000-9D76-8F47-8F7F-1251D16B1C16}"/>
            </c:ext>
          </c:extLst>
        </c:ser>
        <c:ser>
          <c:idx val="1"/>
          <c:order val="1"/>
          <c:tx>
            <c:strRef>
              <c:f>CSPs!$B$41</c:f>
              <c:strCache>
                <c:ptCount val="1"/>
                <c:pt idx="0">
                  <c:v>Top 12 in Europe, Japan and US</c:v>
                </c:pt>
              </c:strCache>
            </c:strRef>
          </c:tx>
          <c:spPr>
            <a:solidFill>
              <a:schemeClr val="accent2"/>
            </a:solidFill>
            <a:ln>
              <a:noFill/>
            </a:ln>
            <a:effectLst/>
          </c:spPr>
          <c:invertIfNegative val="0"/>
          <c:cat>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CSPs!$F$41:$P$41</c:f>
              <c:numCache>
                <c:formatCode>"$"#,##0_);\("$"#,##0\)</c:formatCode>
                <c:ptCount val="11"/>
                <c:pt idx="0">
                  <c:v>818787.00415190868</c:v>
                </c:pt>
                <c:pt idx="1">
                  <c:v>866090.46096694958</c:v>
                </c:pt>
              </c:numCache>
            </c:numRef>
          </c:val>
          <c:extLst xmlns:c16r2="http://schemas.microsoft.com/office/drawing/2015/06/chart">
            <c:ext xmlns:c16="http://schemas.microsoft.com/office/drawing/2014/chart" uri="{C3380CC4-5D6E-409C-BE32-E72D297353CC}">
              <c16:uniqueId val="{00000001-9D76-8F47-8F7F-1251D16B1C16}"/>
            </c:ext>
          </c:extLst>
        </c:ser>
        <c:dLbls>
          <c:showLegendKey val="0"/>
          <c:showVal val="0"/>
          <c:showCatName val="0"/>
          <c:showSerName val="0"/>
          <c:showPercent val="0"/>
          <c:showBubbleSize val="0"/>
        </c:dLbls>
        <c:gapWidth val="219"/>
        <c:overlap val="-27"/>
        <c:axId val="72221824"/>
        <c:axId val="72223360"/>
      </c:barChart>
      <c:catAx>
        <c:axId val="7222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2223360"/>
        <c:crosses val="autoZero"/>
        <c:auto val="1"/>
        <c:lblAlgn val="ctr"/>
        <c:lblOffset val="100"/>
        <c:noMultiLvlLbl val="0"/>
      </c:catAx>
      <c:valAx>
        <c:axId val="72223360"/>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vert="horz"/>
          <a:lstStyle/>
          <a:p>
            <a:pPr>
              <a:defRPr/>
            </a:pPr>
            <a:endParaRPr lang="en-US"/>
          </a:p>
        </c:txPr>
        <c:crossAx val="72221824"/>
        <c:crosses val="autoZero"/>
        <c:crossBetween val="between"/>
        <c:majorUnit val="200000"/>
      </c:valAx>
      <c:spPr>
        <a:noFill/>
        <a:ln>
          <a:noFill/>
        </a:ln>
        <a:effectLst/>
      </c:spPr>
    </c:plotArea>
    <c:legend>
      <c:legendPos val="b"/>
      <c:layout>
        <c:manualLayout>
          <c:xMode val="edge"/>
          <c:yMode val="edge"/>
          <c:x val="0.167303382392332"/>
          <c:y val="0.14018768201920001"/>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69232223745423"/>
          <c:y val="8.6695108788997499E-2"/>
          <c:w val="0.67981836762613768"/>
          <c:h val="0.82549612914306802"/>
        </c:manualLayout>
      </c:layout>
      <c:barChart>
        <c:barDir val="col"/>
        <c:grouping val="stacked"/>
        <c:varyColors val="0"/>
        <c:ser>
          <c:idx val="0"/>
          <c:order val="0"/>
          <c:tx>
            <c:strRef>
              <c:f>Summary!$B$380</c:f>
              <c:strCache>
                <c:ptCount val="1"/>
                <c:pt idx="0">
                  <c:v>China</c:v>
                </c:pt>
              </c:strCache>
            </c:strRef>
          </c:tx>
          <c:invertIfNegative val="0"/>
          <c:cat>
            <c:numRef>
              <c:f>Summary!$C$379:$L$379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Summary!$C$380:$L$380</c:f>
              <c:numCache>
                <c:formatCode>_(* #,##0_);_(* \(#,##0\);_(* "-"??_);_(@_)</c:formatCode>
                <c:ptCount val="10"/>
                <c:pt idx="0">
                  <c:v>70628025.638035297</c:v>
                </c:pt>
                <c:pt idx="1">
                  <c:v>50547752.350361757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016-2448-95CC-F43B2AC7D870}"/>
            </c:ext>
          </c:extLst>
        </c:ser>
        <c:ser>
          <c:idx val="1"/>
          <c:order val="1"/>
          <c:tx>
            <c:strRef>
              <c:f>Summary!$B$381</c:f>
              <c:strCache>
                <c:ptCount val="1"/>
                <c:pt idx="0">
                  <c:v>Rest of World</c:v>
                </c:pt>
              </c:strCache>
            </c:strRef>
          </c:tx>
          <c:spPr>
            <a:solidFill>
              <a:schemeClr val="accent2"/>
            </a:solidFill>
          </c:spPr>
          <c:invertIfNegative val="0"/>
          <c:cat>
            <c:numRef>
              <c:f>Summary!$C$379:$L$379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Summary!$C$381:$L$381</c:f>
              <c:numCache>
                <c:formatCode>_(* #,##0_);_(* \(#,##0\);_(* "-"??_);_(@_)</c:formatCode>
                <c:ptCount val="10"/>
                <c:pt idx="0">
                  <c:v>33297968.543307733</c:v>
                </c:pt>
                <c:pt idx="1">
                  <c:v>28593895.924461801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16-2448-95CC-F43B2AC7D870}"/>
            </c:ext>
          </c:extLst>
        </c:ser>
        <c:dLbls>
          <c:showLegendKey val="0"/>
          <c:showVal val="0"/>
          <c:showCatName val="0"/>
          <c:showSerName val="0"/>
          <c:showPercent val="0"/>
          <c:showBubbleSize val="0"/>
        </c:dLbls>
        <c:gapWidth val="150"/>
        <c:overlap val="100"/>
        <c:axId val="42898944"/>
        <c:axId val="42900480"/>
      </c:barChart>
      <c:catAx>
        <c:axId val="42898944"/>
        <c:scaling>
          <c:orientation val="minMax"/>
        </c:scaling>
        <c:delete val="0"/>
        <c:axPos val="b"/>
        <c:numFmt formatCode="General" sourceLinked="1"/>
        <c:majorTickMark val="out"/>
        <c:minorTickMark val="none"/>
        <c:tickLblPos val="nextTo"/>
        <c:txPr>
          <a:bodyPr/>
          <a:lstStyle/>
          <a:p>
            <a:pPr>
              <a:defRPr sz="1400" b="0"/>
            </a:pPr>
            <a:endParaRPr lang="en-US"/>
          </a:p>
        </c:txPr>
        <c:crossAx val="42900480"/>
        <c:crosses val="autoZero"/>
        <c:auto val="1"/>
        <c:lblAlgn val="ctr"/>
        <c:lblOffset val="100"/>
        <c:noMultiLvlLbl val="0"/>
      </c:catAx>
      <c:valAx>
        <c:axId val="42900480"/>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42898944"/>
        <c:crosses val="autoZero"/>
        <c:crossBetween val="between"/>
      </c:valAx>
    </c:plotArea>
    <c:legend>
      <c:legendPos val="r"/>
      <c:layout>
        <c:manualLayout>
          <c:xMode val="edge"/>
          <c:yMode val="edge"/>
          <c:x val="0.87015589955453776"/>
          <c:y val="0.3125858034377676"/>
          <c:w val="0.12170614305781506"/>
          <c:h val="0.36566159051964942"/>
        </c:manualLayout>
      </c:layout>
      <c:overlay val="0"/>
      <c:spPr>
        <a:solidFill>
          <a:schemeClr val="bg1"/>
        </a:solidFill>
        <a:ln>
          <a:no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CSPs!$E$42</c:f>
              <c:strCache>
                <c:ptCount val="1"/>
                <c:pt idx="0">
                  <c:v>Ratio of Revenue of Top 12 CSPs in Europe, Japan and US to Top 3 CSPs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CSPs!$F$42:$P$42</c:f>
              <c:numCache>
                <c:formatCode>0.00</c:formatCode>
                <c:ptCount val="11"/>
                <c:pt idx="0">
                  <c:v>6.2111790578941823</c:v>
                </c:pt>
                <c:pt idx="1">
                  <c:v>5.5992239846957714</c:v>
                </c:pt>
              </c:numCache>
            </c:numRef>
          </c:yVal>
          <c:smooth val="1"/>
          <c:extLst xmlns:c16r2="http://schemas.microsoft.com/office/drawing/2015/06/chart">
            <c:ext xmlns:c16="http://schemas.microsoft.com/office/drawing/2014/chart" uri="{C3380CC4-5D6E-409C-BE32-E72D297353CC}">
              <c16:uniqueId val="{00000000-9DFB-0642-922D-256E1996A780}"/>
            </c:ext>
          </c:extLst>
        </c:ser>
        <c:ser>
          <c:idx val="1"/>
          <c:order val="1"/>
          <c:tx>
            <c:strRef>
              <c:f>CSPs!$E$53</c:f>
              <c:strCache>
                <c:ptCount val="1"/>
                <c:pt idx="0">
                  <c:v>Ratio of GDP per Capita (average for Europe, Japan and US)/China</c:v>
                </c:pt>
              </c:strCache>
            </c:strRef>
          </c:tx>
          <c:spPr>
            <a:ln w="19050" cap="rnd">
              <a:solidFill>
                <a:srgbClr val="00B050"/>
              </a:solidFill>
              <a:round/>
            </a:ln>
            <a:effectLst/>
          </c:spPr>
          <c:marker>
            <c:symbol val="circle"/>
            <c:size val="5"/>
            <c:spPr>
              <a:solidFill>
                <a:srgbClr val="00B050"/>
              </a:solidFill>
              <a:ln w="9525">
                <a:solidFill>
                  <a:srgbClr val="00B050"/>
                </a:solidFill>
              </a:ln>
              <a:effectLst/>
            </c:spPr>
          </c:marker>
          <c:xVal>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xVal>
          <c:yVal>
            <c:numRef>
              <c:f>CSPs!$F$53:$P$53</c:f>
              <c:numCache>
                <c:formatCode>0.0</c:formatCode>
                <c:ptCount val="11"/>
                <c:pt idx="0">
                  <c:v>0</c:v>
                </c:pt>
                <c:pt idx="1">
                  <c:v>0</c:v>
                </c:pt>
              </c:numCache>
            </c:numRef>
          </c:yVal>
          <c:smooth val="1"/>
          <c:extLst xmlns:c16r2="http://schemas.microsoft.com/office/drawing/2015/06/chart">
            <c:ext xmlns:c16="http://schemas.microsoft.com/office/drawing/2014/chart" uri="{C3380CC4-5D6E-409C-BE32-E72D297353CC}">
              <c16:uniqueId val="{00000001-9DFB-0642-922D-256E1996A780}"/>
            </c:ext>
          </c:extLst>
        </c:ser>
        <c:dLbls>
          <c:showLegendKey val="0"/>
          <c:showVal val="0"/>
          <c:showCatName val="0"/>
          <c:showSerName val="0"/>
          <c:showPercent val="0"/>
          <c:showBubbleSize val="0"/>
        </c:dLbls>
        <c:axId val="72245248"/>
        <c:axId val="72247168"/>
      </c:scatterChart>
      <c:valAx>
        <c:axId val="72245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2247168"/>
        <c:crosses val="autoZero"/>
        <c:crossBetween val="midCat"/>
      </c:valAx>
      <c:valAx>
        <c:axId val="72247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72245248"/>
        <c:crosses val="autoZero"/>
        <c:crossBetween val="midCat"/>
      </c:valAx>
      <c:spPr>
        <a:noFill/>
        <a:ln>
          <a:noFill/>
        </a:ln>
        <a:effectLst/>
      </c:spPr>
    </c:plotArea>
    <c:legend>
      <c:legendPos val="t"/>
      <c:layout>
        <c:manualLayout>
          <c:xMode val="edge"/>
          <c:yMode val="edge"/>
          <c:x val="5.9864874033862203E-2"/>
          <c:y val="2.84135824381688E-2"/>
          <c:w val="0.88026997271178098"/>
          <c:h val="0.25926797364174098"/>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Normalized by GDP per Capita ($M)</a:t>
            </a:r>
          </a:p>
        </c:rich>
      </c:tx>
      <c:layout/>
      <c:overlay val="0"/>
      <c:spPr>
        <a:noFill/>
        <a:ln>
          <a:noFill/>
        </a:ln>
        <a:effectLst/>
      </c:spPr>
    </c:title>
    <c:autoTitleDeleted val="0"/>
    <c:plotArea>
      <c:layout>
        <c:manualLayout>
          <c:layoutTarget val="inner"/>
          <c:xMode val="edge"/>
          <c:yMode val="edge"/>
          <c:x val="7.9080927384077002E-2"/>
          <c:y val="0.23189814814814799"/>
          <c:w val="0.884807961504812"/>
          <c:h val="0.67285469524642805"/>
        </c:manualLayout>
      </c:layout>
      <c:barChart>
        <c:barDir val="col"/>
        <c:grouping val="clustered"/>
        <c:varyColors val="0"/>
        <c:ser>
          <c:idx val="0"/>
          <c:order val="0"/>
          <c:tx>
            <c:strRef>
              <c:f>CSPs!$B$57</c:f>
              <c:strCache>
                <c:ptCount val="1"/>
                <c:pt idx="0">
                  <c:v>Top 3 in China</c:v>
                </c:pt>
              </c:strCache>
            </c:strRef>
          </c:tx>
          <c:spPr>
            <a:solidFill>
              <a:schemeClr val="accent1"/>
            </a:solidFill>
            <a:ln>
              <a:noFill/>
            </a:ln>
            <a:effectLst/>
          </c:spPr>
          <c:invertIfNegative val="0"/>
          <c:cat>
            <c:strRef>
              <c:f>CSPs!$H$9:$P$9</c:f>
              <c:strCache>
                <c:ptCount val="9"/>
                <c:pt idx="0">
                  <c:v>2012</c:v>
                </c:pt>
                <c:pt idx="1">
                  <c:v>2013</c:v>
                </c:pt>
                <c:pt idx="2">
                  <c:v>2014</c:v>
                </c:pt>
                <c:pt idx="3">
                  <c:v>2015</c:v>
                </c:pt>
                <c:pt idx="4">
                  <c:v>2016</c:v>
                </c:pt>
                <c:pt idx="5">
                  <c:v>2017</c:v>
                </c:pt>
                <c:pt idx="6">
                  <c:v>2018</c:v>
                </c:pt>
                <c:pt idx="7">
                  <c:v>2019</c:v>
                </c:pt>
                <c:pt idx="8">
                  <c:v>2020E</c:v>
                </c:pt>
              </c:strCache>
            </c:strRef>
          </c:cat>
          <c:val>
            <c:numRef>
              <c:f>CSPs!$H$57:$P$57</c:f>
              <c:numCache>
                <c:formatCode>"$"#,##0.00_);\("$"#,##0.00\)</c:formatCode>
                <c:ptCount val="9"/>
              </c:numCache>
            </c:numRef>
          </c:val>
          <c:extLst xmlns:c16r2="http://schemas.microsoft.com/office/drawing/2015/06/chart">
            <c:ext xmlns:c16="http://schemas.microsoft.com/office/drawing/2014/chart" uri="{C3380CC4-5D6E-409C-BE32-E72D297353CC}">
              <c16:uniqueId val="{00000000-6D46-844C-8152-C59F6331459B}"/>
            </c:ext>
          </c:extLst>
        </c:ser>
        <c:ser>
          <c:idx val="1"/>
          <c:order val="1"/>
          <c:tx>
            <c:strRef>
              <c:f>CSPs!$B$58</c:f>
              <c:strCache>
                <c:ptCount val="1"/>
                <c:pt idx="0">
                  <c:v>Top 12 in Europe, Japan and US</c:v>
                </c:pt>
              </c:strCache>
            </c:strRef>
          </c:tx>
          <c:spPr>
            <a:solidFill>
              <a:schemeClr val="accent2"/>
            </a:solidFill>
            <a:ln>
              <a:noFill/>
            </a:ln>
            <a:effectLst/>
          </c:spPr>
          <c:invertIfNegative val="0"/>
          <c:cat>
            <c:strRef>
              <c:f>CSPs!$H$9:$P$9</c:f>
              <c:strCache>
                <c:ptCount val="9"/>
                <c:pt idx="0">
                  <c:v>2012</c:v>
                </c:pt>
                <c:pt idx="1">
                  <c:v>2013</c:v>
                </c:pt>
                <c:pt idx="2">
                  <c:v>2014</c:v>
                </c:pt>
                <c:pt idx="3">
                  <c:v>2015</c:v>
                </c:pt>
                <c:pt idx="4">
                  <c:v>2016</c:v>
                </c:pt>
                <c:pt idx="5">
                  <c:v>2017</c:v>
                </c:pt>
                <c:pt idx="6">
                  <c:v>2018</c:v>
                </c:pt>
                <c:pt idx="7">
                  <c:v>2019</c:v>
                </c:pt>
                <c:pt idx="8">
                  <c:v>2020E</c:v>
                </c:pt>
              </c:strCache>
            </c:strRef>
          </c:cat>
          <c:val>
            <c:numRef>
              <c:f>CSPs!$H$58:$P$58</c:f>
              <c:numCache>
                <c:formatCode>"$"#,##0.00_);\("$"#,##0.00\)</c:formatCode>
                <c:ptCount val="9"/>
              </c:numCache>
            </c:numRef>
          </c:val>
          <c:extLst xmlns:c16r2="http://schemas.microsoft.com/office/drawing/2015/06/chart">
            <c:ext xmlns:c16="http://schemas.microsoft.com/office/drawing/2014/chart" uri="{C3380CC4-5D6E-409C-BE32-E72D297353CC}">
              <c16:uniqueId val="{00000001-6D46-844C-8152-C59F6331459B}"/>
            </c:ext>
          </c:extLst>
        </c:ser>
        <c:dLbls>
          <c:showLegendKey val="0"/>
          <c:showVal val="0"/>
          <c:showCatName val="0"/>
          <c:showSerName val="0"/>
          <c:showPercent val="0"/>
          <c:showBubbleSize val="0"/>
        </c:dLbls>
        <c:gapWidth val="219"/>
        <c:overlap val="-27"/>
        <c:axId val="72276992"/>
        <c:axId val="72278784"/>
      </c:barChart>
      <c:catAx>
        <c:axId val="7227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78784"/>
        <c:crosses val="autoZero"/>
        <c:auto val="1"/>
        <c:lblAlgn val="ctr"/>
        <c:lblOffset val="100"/>
        <c:noMultiLvlLbl val="0"/>
      </c:catAx>
      <c:valAx>
        <c:axId val="72278784"/>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76992"/>
        <c:crosses val="autoZero"/>
        <c:crossBetween val="between"/>
        <c:majorUnit val="10"/>
      </c:valAx>
      <c:spPr>
        <a:noFill/>
        <a:ln>
          <a:noFill/>
        </a:ln>
        <a:effectLst/>
      </c:spPr>
    </c:plotArea>
    <c:legend>
      <c:legendPos val="b"/>
      <c:layout>
        <c:manualLayout>
          <c:xMode val="edge"/>
          <c:yMode val="edge"/>
          <c:x val="0.21808639545056899"/>
          <c:y val="0.12557815689705401"/>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Capex</a:t>
            </a:r>
            <a:r>
              <a:rPr lang="en-US" baseline="0"/>
              <a:t> of Service Providers ($M)</a:t>
            </a:r>
            <a:endParaRPr lang="en-US"/>
          </a:p>
        </c:rich>
      </c:tx>
      <c:layout/>
      <c:overlay val="0"/>
      <c:spPr>
        <a:noFill/>
        <a:ln>
          <a:noFill/>
        </a:ln>
        <a:effectLst/>
      </c:spPr>
    </c:title>
    <c:autoTitleDeleted val="0"/>
    <c:plotArea>
      <c:layout>
        <c:manualLayout>
          <c:layoutTarget val="inner"/>
          <c:xMode val="edge"/>
          <c:yMode val="edge"/>
          <c:x val="0.13753915135608"/>
          <c:y val="0.25041666666666701"/>
          <c:w val="0.83136351706036704"/>
          <c:h val="0.65896580635753799"/>
        </c:manualLayout>
      </c:layout>
      <c:barChart>
        <c:barDir val="col"/>
        <c:grouping val="clustered"/>
        <c:varyColors val="0"/>
        <c:ser>
          <c:idx val="0"/>
          <c:order val="0"/>
          <c:tx>
            <c:strRef>
              <c:f>CSPs!$B$45</c:f>
              <c:strCache>
                <c:ptCount val="1"/>
                <c:pt idx="0">
                  <c:v>Top 3 in China</c:v>
                </c:pt>
              </c:strCache>
            </c:strRef>
          </c:tx>
          <c:spPr>
            <a:solidFill>
              <a:schemeClr val="accent1"/>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CSPs!$H$45:$P$45</c:f>
              <c:numCache>
                <c:formatCode>"$"#,##0_);\("$"#,##0\)</c:formatCode>
                <c:ptCount val="9"/>
              </c:numCache>
            </c:numRef>
          </c:val>
          <c:extLst xmlns:c16r2="http://schemas.microsoft.com/office/drawing/2015/06/chart">
            <c:ext xmlns:c16="http://schemas.microsoft.com/office/drawing/2014/chart" uri="{C3380CC4-5D6E-409C-BE32-E72D297353CC}">
              <c16:uniqueId val="{00000000-D038-FD4C-965E-1222D9C44194}"/>
            </c:ext>
          </c:extLst>
        </c:ser>
        <c:ser>
          <c:idx val="1"/>
          <c:order val="1"/>
          <c:tx>
            <c:strRef>
              <c:f>CSPs!$B$46</c:f>
              <c:strCache>
                <c:ptCount val="1"/>
                <c:pt idx="0">
                  <c:v>Top 12 in Europe, Japan and US</c:v>
                </c:pt>
              </c:strCache>
            </c:strRef>
          </c:tx>
          <c:spPr>
            <a:solidFill>
              <a:schemeClr val="accent2"/>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CSPs!$H$46:$P$46</c:f>
              <c:numCache>
                <c:formatCode>"$"#,##0_);\("$"#,##0\)</c:formatCode>
                <c:ptCount val="9"/>
              </c:numCache>
            </c:numRef>
          </c:val>
          <c:extLst xmlns:c16r2="http://schemas.microsoft.com/office/drawing/2015/06/chart">
            <c:ext xmlns:c16="http://schemas.microsoft.com/office/drawing/2014/chart" uri="{C3380CC4-5D6E-409C-BE32-E72D297353CC}">
              <c16:uniqueId val="{00000001-D038-FD4C-965E-1222D9C44194}"/>
            </c:ext>
          </c:extLst>
        </c:ser>
        <c:dLbls>
          <c:showLegendKey val="0"/>
          <c:showVal val="0"/>
          <c:showCatName val="0"/>
          <c:showSerName val="0"/>
          <c:showPercent val="0"/>
          <c:showBubbleSize val="0"/>
        </c:dLbls>
        <c:gapWidth val="219"/>
        <c:overlap val="-27"/>
        <c:axId val="72296704"/>
        <c:axId val="72298496"/>
      </c:barChart>
      <c:catAx>
        <c:axId val="722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98496"/>
        <c:crosses val="autoZero"/>
        <c:auto val="1"/>
        <c:lblAlgn val="ctr"/>
        <c:lblOffset val="100"/>
        <c:noMultiLvlLbl val="0"/>
      </c:catAx>
      <c:valAx>
        <c:axId val="72298496"/>
        <c:scaling>
          <c:orientation val="minMax"/>
          <c:max val="15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96704"/>
        <c:crosses val="autoZero"/>
        <c:crossBetween val="between"/>
        <c:majorUnit val="50000"/>
      </c:valAx>
      <c:spPr>
        <a:noFill/>
        <a:ln>
          <a:noFill/>
        </a:ln>
        <a:effectLst/>
      </c:spPr>
    </c:plotArea>
    <c:legend>
      <c:legendPos val="b"/>
      <c:layout>
        <c:manualLayout>
          <c:xMode val="edge"/>
          <c:yMode val="edge"/>
          <c:x val="0.237530839895013"/>
          <c:y val="0.13946704578594299"/>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Ratio</a:t>
            </a:r>
            <a:r>
              <a:rPr lang="en-US" baseline="0"/>
              <a:t> of Capex to Revenue of CSPs (%)</a:t>
            </a:r>
            <a:endParaRPr lang="en-US"/>
          </a:p>
        </c:rich>
      </c:tx>
      <c:layout/>
      <c:overlay val="0"/>
      <c:spPr>
        <a:noFill/>
        <a:ln>
          <a:noFill/>
        </a:ln>
        <a:effectLst/>
      </c:spPr>
    </c:title>
    <c:autoTitleDeleted val="0"/>
    <c:plotArea>
      <c:layout>
        <c:manualLayout>
          <c:layoutTarget val="inner"/>
          <c:xMode val="edge"/>
          <c:yMode val="edge"/>
          <c:x val="9.4428040244969397E-2"/>
          <c:y val="0.27298665791776"/>
          <c:w val="0.84412751531058605"/>
          <c:h val="0.61729913969087202"/>
        </c:manualLayout>
      </c:layout>
      <c:scatterChart>
        <c:scatterStyle val="smoothMarker"/>
        <c:varyColors val="0"/>
        <c:ser>
          <c:idx val="0"/>
          <c:order val="0"/>
          <c:tx>
            <c:strRef>
              <c:f>CSPs!$B$57</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CSPs!$F$61:$P$61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CSPs!$F$50:$P$50</c:f>
              <c:numCache>
                <c:formatCode>0%</c:formatCode>
                <c:ptCount val="11"/>
                <c:pt idx="0">
                  <c:v>0.27536550644433277</c:v>
                </c:pt>
                <c:pt idx="1">
                  <c:v>0.2604159126164251</c:v>
                </c:pt>
              </c:numCache>
            </c:numRef>
          </c:yVal>
          <c:smooth val="1"/>
          <c:extLst xmlns:c16r2="http://schemas.microsoft.com/office/drawing/2015/06/chart">
            <c:ext xmlns:c16="http://schemas.microsoft.com/office/drawing/2014/chart" uri="{C3380CC4-5D6E-409C-BE32-E72D297353CC}">
              <c16:uniqueId val="{00000000-9D48-FC42-A8A0-9F49993B903F}"/>
            </c:ext>
          </c:extLst>
        </c:ser>
        <c:ser>
          <c:idx val="1"/>
          <c:order val="1"/>
          <c:tx>
            <c:strRef>
              <c:f>CSPs!$B$58</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CSPs!$F$61:$P$61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CSPs!$F$51:$P$51</c:f>
              <c:numCache>
                <c:formatCode>0%</c:formatCode>
                <c:ptCount val="11"/>
                <c:pt idx="0">
                  <c:v>0.15169929173626887</c:v>
                </c:pt>
                <c:pt idx="1">
                  <c:v>0.1523780928961414</c:v>
                </c:pt>
              </c:numCache>
            </c:numRef>
          </c:yVal>
          <c:smooth val="1"/>
          <c:extLst xmlns:c16r2="http://schemas.microsoft.com/office/drawing/2015/06/chart">
            <c:ext xmlns:c16="http://schemas.microsoft.com/office/drawing/2014/chart" uri="{C3380CC4-5D6E-409C-BE32-E72D297353CC}">
              <c16:uniqueId val="{00000001-9D48-FC42-A8A0-9F49993B903F}"/>
            </c:ext>
          </c:extLst>
        </c:ser>
        <c:dLbls>
          <c:showLegendKey val="0"/>
          <c:showVal val="0"/>
          <c:showCatName val="0"/>
          <c:showSerName val="0"/>
          <c:showPercent val="0"/>
          <c:showBubbleSize val="0"/>
        </c:dLbls>
        <c:axId val="72316032"/>
        <c:axId val="72317952"/>
      </c:scatterChart>
      <c:valAx>
        <c:axId val="72316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17952"/>
        <c:crosses val="autoZero"/>
        <c:crossBetween val="midCat"/>
      </c:valAx>
      <c:valAx>
        <c:axId val="7231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16032"/>
        <c:crosses val="autoZero"/>
        <c:crossBetween val="midCat"/>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CSPs!$B$62</c:f>
              <c:strCache>
                <c:ptCount val="1"/>
                <c:pt idx="0">
                  <c:v>China Mobile</c:v>
                </c:pt>
              </c:strCache>
            </c:strRef>
          </c:tx>
          <c:spPr>
            <a:solidFill>
              <a:schemeClr val="accent1"/>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CSPs!$H$62:$P$62</c:f>
              <c:numCache>
                <c:formatCode>\$#,##0</c:formatCode>
                <c:ptCount val="9"/>
              </c:numCache>
            </c:numRef>
          </c:val>
          <c:extLst xmlns:c16r2="http://schemas.microsoft.com/office/drawing/2015/06/chart">
            <c:ext xmlns:c16="http://schemas.microsoft.com/office/drawing/2014/chart" uri="{C3380CC4-5D6E-409C-BE32-E72D297353CC}">
              <c16:uniqueId val="{00000000-87E4-8249-A562-60A913D11EE8}"/>
            </c:ext>
          </c:extLst>
        </c:ser>
        <c:ser>
          <c:idx val="1"/>
          <c:order val="1"/>
          <c:tx>
            <c:strRef>
              <c:f>CSPs!$B$63</c:f>
              <c:strCache>
                <c:ptCount val="1"/>
                <c:pt idx="0">
                  <c:v>China Telecom</c:v>
                </c:pt>
              </c:strCache>
            </c:strRef>
          </c:tx>
          <c:spPr>
            <a:solidFill>
              <a:schemeClr val="accent2"/>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CSPs!$H$63:$P$63</c:f>
              <c:numCache>
                <c:formatCode>\$#,##0</c:formatCode>
                <c:ptCount val="9"/>
              </c:numCache>
            </c:numRef>
          </c:val>
          <c:extLst xmlns:c16r2="http://schemas.microsoft.com/office/drawing/2015/06/chart">
            <c:ext xmlns:c16="http://schemas.microsoft.com/office/drawing/2014/chart" uri="{C3380CC4-5D6E-409C-BE32-E72D297353CC}">
              <c16:uniqueId val="{00000001-87E4-8249-A562-60A913D11EE8}"/>
            </c:ext>
          </c:extLst>
        </c:ser>
        <c:ser>
          <c:idx val="2"/>
          <c:order val="2"/>
          <c:tx>
            <c:strRef>
              <c:f>CSPs!$B$64</c:f>
              <c:strCache>
                <c:ptCount val="1"/>
                <c:pt idx="0">
                  <c:v>China Unicom</c:v>
                </c:pt>
              </c:strCache>
            </c:strRef>
          </c:tx>
          <c:spPr>
            <a:solidFill>
              <a:schemeClr val="accent3"/>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CSPs!$H$64:$P$64</c:f>
              <c:numCache>
                <c:formatCode>"$"#,##0_);\("$"#,##0\)</c:formatCode>
                <c:ptCount val="9"/>
              </c:numCache>
            </c:numRef>
          </c:val>
          <c:extLst xmlns:c16r2="http://schemas.microsoft.com/office/drawing/2015/06/chart">
            <c:ext xmlns:c16="http://schemas.microsoft.com/office/drawing/2014/chart" uri="{C3380CC4-5D6E-409C-BE32-E72D297353CC}">
              <c16:uniqueId val="{00000002-87E4-8249-A562-60A913D11EE8}"/>
            </c:ext>
          </c:extLst>
        </c:ser>
        <c:dLbls>
          <c:showLegendKey val="0"/>
          <c:showVal val="0"/>
          <c:showCatName val="0"/>
          <c:showSerName val="0"/>
          <c:showPercent val="0"/>
          <c:showBubbleSize val="0"/>
        </c:dLbls>
        <c:gapWidth val="219"/>
        <c:overlap val="-27"/>
        <c:axId val="72349568"/>
        <c:axId val="72351104"/>
      </c:barChart>
      <c:catAx>
        <c:axId val="7234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51104"/>
        <c:crosses val="autoZero"/>
        <c:auto val="1"/>
        <c:lblAlgn val="ctr"/>
        <c:lblOffset val="100"/>
        <c:noMultiLvlLbl val="0"/>
      </c:catAx>
      <c:valAx>
        <c:axId val="72351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($M)</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495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3080103813799"/>
          <c:y val="0.12359253419428683"/>
          <c:w val="0.7660667627719131"/>
          <c:h val="0.76507153588398635"/>
        </c:manualLayout>
      </c:layout>
      <c:barChart>
        <c:barDir val="col"/>
        <c:grouping val="clustered"/>
        <c:varyColors val="0"/>
        <c:ser>
          <c:idx val="0"/>
          <c:order val="0"/>
          <c:tx>
            <c:strRef>
              <c:f>CSPs!$B$40</c:f>
              <c:strCache>
                <c:ptCount val="1"/>
                <c:pt idx="0">
                  <c:v>Top 3 in China</c:v>
                </c:pt>
              </c:strCache>
            </c:strRef>
          </c:tx>
          <c:spPr>
            <a:solidFill>
              <a:schemeClr val="accent1"/>
            </a:solidFill>
            <a:ln>
              <a:noFill/>
            </a:ln>
            <a:effectLst/>
          </c:spPr>
          <c:invertIfNegative val="0"/>
          <c:cat>
            <c:strRef>
              <c:f>CSPs!$H$9:$P$9</c:f>
              <c:strCache>
                <c:ptCount val="9"/>
                <c:pt idx="0">
                  <c:v>2012</c:v>
                </c:pt>
                <c:pt idx="1">
                  <c:v>2013</c:v>
                </c:pt>
                <c:pt idx="2">
                  <c:v>2014</c:v>
                </c:pt>
                <c:pt idx="3">
                  <c:v>2015</c:v>
                </c:pt>
                <c:pt idx="4">
                  <c:v>2016</c:v>
                </c:pt>
                <c:pt idx="5">
                  <c:v>2017</c:v>
                </c:pt>
                <c:pt idx="6">
                  <c:v>2018</c:v>
                </c:pt>
                <c:pt idx="7">
                  <c:v>2019</c:v>
                </c:pt>
                <c:pt idx="8">
                  <c:v>2020E</c:v>
                </c:pt>
              </c:strCache>
            </c:strRef>
          </c:cat>
          <c:val>
            <c:numRef>
              <c:f>CSPs!$H$40:$P$40</c:f>
              <c:numCache>
                <c:formatCode>"$"#,##0_);\("$"#,##0\)</c:formatCode>
                <c:ptCount val="9"/>
              </c:numCache>
            </c:numRef>
          </c:val>
          <c:extLst xmlns:c16r2="http://schemas.microsoft.com/office/drawing/2015/06/chart">
            <c:ext xmlns:c16="http://schemas.microsoft.com/office/drawing/2014/chart" uri="{C3380CC4-5D6E-409C-BE32-E72D297353CC}">
              <c16:uniqueId val="{00000000-0A9B-E048-9F34-4CB0811AA73D}"/>
            </c:ext>
          </c:extLst>
        </c:ser>
        <c:ser>
          <c:idx val="1"/>
          <c:order val="1"/>
          <c:tx>
            <c:strRef>
              <c:f>CSPs!$B$41</c:f>
              <c:strCache>
                <c:ptCount val="1"/>
                <c:pt idx="0">
                  <c:v>Top 12 in Europe, Japan and US</c:v>
                </c:pt>
              </c:strCache>
            </c:strRef>
          </c:tx>
          <c:spPr>
            <a:solidFill>
              <a:schemeClr val="accent2"/>
            </a:solidFill>
            <a:ln>
              <a:noFill/>
            </a:ln>
            <a:effectLst/>
          </c:spPr>
          <c:invertIfNegative val="0"/>
          <c:cat>
            <c:strRef>
              <c:f>CSPs!$H$9:$P$9</c:f>
              <c:strCache>
                <c:ptCount val="9"/>
                <c:pt idx="0">
                  <c:v>2012</c:v>
                </c:pt>
                <c:pt idx="1">
                  <c:v>2013</c:v>
                </c:pt>
                <c:pt idx="2">
                  <c:v>2014</c:v>
                </c:pt>
                <c:pt idx="3">
                  <c:v>2015</c:v>
                </c:pt>
                <c:pt idx="4">
                  <c:v>2016</c:v>
                </c:pt>
                <c:pt idx="5">
                  <c:v>2017</c:v>
                </c:pt>
                <c:pt idx="6">
                  <c:v>2018</c:v>
                </c:pt>
                <c:pt idx="7">
                  <c:v>2019</c:v>
                </c:pt>
                <c:pt idx="8">
                  <c:v>2020E</c:v>
                </c:pt>
              </c:strCache>
            </c:strRef>
          </c:cat>
          <c:val>
            <c:numRef>
              <c:f>CSPs!$H$41:$P$41</c:f>
              <c:numCache>
                <c:formatCode>"$"#,##0_);\("$"#,##0\)</c:formatCode>
                <c:ptCount val="9"/>
              </c:numCache>
            </c:numRef>
          </c:val>
          <c:extLst xmlns:c16r2="http://schemas.microsoft.com/office/drawing/2015/06/chart">
            <c:ext xmlns:c16="http://schemas.microsoft.com/office/drawing/2014/chart" uri="{C3380CC4-5D6E-409C-BE32-E72D297353CC}">
              <c16:uniqueId val="{00000001-0A9B-E048-9F34-4CB0811AA73D}"/>
            </c:ext>
          </c:extLst>
        </c:ser>
        <c:dLbls>
          <c:showLegendKey val="0"/>
          <c:showVal val="0"/>
          <c:showCatName val="0"/>
          <c:showSerName val="0"/>
          <c:showPercent val="0"/>
          <c:showBubbleSize val="0"/>
        </c:dLbls>
        <c:gapWidth val="219"/>
        <c:overlap val="-27"/>
        <c:axId val="72909952"/>
        <c:axId val="72911488"/>
      </c:barChart>
      <c:catAx>
        <c:axId val="729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2911488"/>
        <c:crosses val="autoZero"/>
        <c:auto val="1"/>
        <c:lblAlgn val="ctr"/>
        <c:lblOffset val="100"/>
        <c:noMultiLvlLbl val="0"/>
      </c:catAx>
      <c:valAx>
        <c:axId val="72911488"/>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Revenue ($M)</a:t>
                </a:r>
              </a:p>
            </c:rich>
          </c:tx>
          <c:layout/>
          <c:overlay val="0"/>
        </c:title>
        <c:numFmt formatCode="&quot;$&quot;#,##0" sourceLinked="0"/>
        <c:majorTickMark val="none"/>
        <c:minorTickMark val="none"/>
        <c:tickLblPos val="nextTo"/>
        <c:spPr>
          <a:noFill/>
          <a:ln>
            <a:noFill/>
          </a:ln>
          <a:effectLst/>
        </c:spPr>
        <c:txPr>
          <a:bodyPr rot="-60000000" vert="horz"/>
          <a:lstStyle/>
          <a:p>
            <a:pPr>
              <a:defRPr/>
            </a:pPr>
            <a:endParaRPr lang="en-US"/>
          </a:p>
        </c:txPr>
        <c:crossAx val="72909952"/>
        <c:crosses val="autoZero"/>
        <c:crossBetween val="between"/>
        <c:majorUnit val="200000"/>
      </c:valAx>
      <c:spPr>
        <a:noFill/>
        <a:ln>
          <a:noFill/>
        </a:ln>
        <a:effectLst/>
      </c:spPr>
    </c:plotArea>
    <c:legend>
      <c:legendPos val="b"/>
      <c:layout>
        <c:manualLayout>
          <c:xMode val="edge"/>
          <c:yMode val="edge"/>
          <c:x val="0.16458252890532454"/>
          <c:y val="2.8746926293367198E-2"/>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6449897774891"/>
          <c:y val="0.16245365714827817"/>
          <c:w val="0.81436253852068641"/>
          <c:h val="0.74692876932050201"/>
        </c:manualLayout>
      </c:layout>
      <c:barChart>
        <c:barDir val="col"/>
        <c:grouping val="clustered"/>
        <c:varyColors val="0"/>
        <c:ser>
          <c:idx val="0"/>
          <c:order val="0"/>
          <c:tx>
            <c:strRef>
              <c:f>CSPs!$B$57</c:f>
              <c:strCache>
                <c:ptCount val="1"/>
                <c:pt idx="0">
                  <c:v>Top 3 in China</c:v>
                </c:pt>
              </c:strCache>
            </c:strRef>
          </c:tx>
          <c:spPr>
            <a:solidFill>
              <a:schemeClr val="accent1"/>
            </a:solidFill>
            <a:ln>
              <a:noFill/>
            </a:ln>
            <a:effectLst/>
          </c:spPr>
          <c:invertIfNegative val="0"/>
          <c:cat>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CSPs!$F$57:$P$57</c:f>
              <c:numCache>
                <c:formatCode>"$"#,##0.00_);\("$"#,##0.00\)</c:formatCode>
                <c:ptCount val="11"/>
                <c:pt idx="0">
                  <c:v>28.908932083333333</c:v>
                </c:pt>
                <c:pt idx="1">
                  <c:v>31.179287562991334</c:v>
                </c:pt>
              </c:numCache>
            </c:numRef>
          </c:val>
          <c:extLst xmlns:c16r2="http://schemas.microsoft.com/office/drawing/2015/06/chart">
            <c:ext xmlns:c16="http://schemas.microsoft.com/office/drawing/2014/chart" uri="{C3380CC4-5D6E-409C-BE32-E72D297353CC}">
              <c16:uniqueId val="{00000000-8585-5A40-A6AB-4DDBC3A5FC2C}"/>
            </c:ext>
          </c:extLst>
        </c:ser>
        <c:ser>
          <c:idx val="1"/>
          <c:order val="1"/>
          <c:tx>
            <c:strRef>
              <c:f>CSPs!$B$58</c:f>
              <c:strCache>
                <c:ptCount val="1"/>
                <c:pt idx="0">
                  <c:v>Top 12 in Europe, Japan and US</c:v>
                </c:pt>
              </c:strCache>
            </c:strRef>
          </c:tx>
          <c:spPr>
            <a:solidFill>
              <a:schemeClr val="accent2"/>
            </a:solidFill>
            <a:ln>
              <a:noFill/>
            </a:ln>
            <a:effectLst/>
          </c:spPr>
          <c:invertIfNegative val="0"/>
          <c:cat>
            <c:strRef>
              <c:f>CSPs!$F$9:$P$9</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CSPs!$F$58:$P$58</c:f>
              <c:numCache>
                <c:formatCode>"$"#,##0.00_);\("$"#,##0.00\)</c:formatCode>
                <c:ptCount val="11"/>
                <c:pt idx="0">
                  <c:v>0</c:v>
                </c:pt>
                <c:pt idx="1">
                  <c:v>0</c:v>
                </c:pt>
              </c:numCache>
            </c:numRef>
          </c:val>
          <c:extLst xmlns:c16r2="http://schemas.microsoft.com/office/drawing/2015/06/chart">
            <c:ext xmlns:c16="http://schemas.microsoft.com/office/drawing/2014/chart" uri="{C3380CC4-5D6E-409C-BE32-E72D297353CC}">
              <c16:uniqueId val="{00000001-8585-5A40-A6AB-4DDBC3A5FC2C}"/>
            </c:ext>
          </c:extLst>
        </c:ser>
        <c:dLbls>
          <c:showLegendKey val="0"/>
          <c:showVal val="0"/>
          <c:showCatName val="0"/>
          <c:showSerName val="0"/>
          <c:showPercent val="0"/>
          <c:showBubbleSize val="0"/>
        </c:dLbls>
        <c:gapWidth val="219"/>
        <c:overlap val="-27"/>
        <c:axId val="72962432"/>
        <c:axId val="72963968"/>
      </c:barChart>
      <c:catAx>
        <c:axId val="7296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2963968"/>
        <c:crosses val="autoZero"/>
        <c:auto val="1"/>
        <c:lblAlgn val="ctr"/>
        <c:lblOffset val="100"/>
        <c:noMultiLvlLbl val="0"/>
      </c:catAx>
      <c:valAx>
        <c:axId val="7296396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Normalized Revenue ($M)</a:t>
                </a:r>
              </a:p>
            </c:rich>
          </c:tx>
          <c:layout>
            <c:manualLayout>
              <c:xMode val="edge"/>
              <c:yMode val="edge"/>
              <c:x val="1.6694939232455255E-2"/>
              <c:y val="0.27285415039320937"/>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2962432"/>
        <c:crosses val="autoZero"/>
        <c:crossBetween val="between"/>
        <c:majorUnit val="10"/>
      </c:valAx>
      <c:spPr>
        <a:noFill/>
        <a:ln>
          <a:noFill/>
        </a:ln>
        <a:effectLst/>
      </c:spPr>
    </c:plotArea>
    <c:legend>
      <c:legendPos val="b"/>
      <c:layout>
        <c:manualLayout>
          <c:xMode val="edge"/>
          <c:yMode val="edge"/>
          <c:x val="0.14669058873318352"/>
          <c:y val="3.2985485248078927E-2"/>
          <c:w val="0.6940313649287404"/>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0581802274699"/>
          <c:y val="0.13930555555555599"/>
          <c:w val="0.78969685039370097"/>
          <c:h val="0.77007691746865004"/>
        </c:manualLayout>
      </c:layout>
      <c:barChart>
        <c:barDir val="col"/>
        <c:grouping val="clustered"/>
        <c:varyColors val="0"/>
        <c:ser>
          <c:idx val="0"/>
          <c:order val="0"/>
          <c:tx>
            <c:strRef>
              <c:f>CSPs!$B$45</c:f>
              <c:strCache>
                <c:ptCount val="1"/>
                <c:pt idx="0">
                  <c:v>Top 3 in China</c:v>
                </c:pt>
              </c:strCache>
            </c:strRef>
          </c:tx>
          <c:spPr>
            <a:solidFill>
              <a:schemeClr val="accent1"/>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CSPs!$H$45:$P$45</c:f>
              <c:numCache>
                <c:formatCode>"$"#,##0_);\("$"#,##0\)</c:formatCode>
                <c:ptCount val="9"/>
              </c:numCache>
            </c:numRef>
          </c:val>
          <c:extLst xmlns:c16r2="http://schemas.microsoft.com/office/drawing/2015/06/chart">
            <c:ext xmlns:c16="http://schemas.microsoft.com/office/drawing/2014/chart" uri="{C3380CC4-5D6E-409C-BE32-E72D297353CC}">
              <c16:uniqueId val="{00000000-ECDD-E646-AE7B-375E6CD7924D}"/>
            </c:ext>
          </c:extLst>
        </c:ser>
        <c:ser>
          <c:idx val="1"/>
          <c:order val="1"/>
          <c:tx>
            <c:strRef>
              <c:f>CSPs!$B$46</c:f>
              <c:strCache>
                <c:ptCount val="1"/>
                <c:pt idx="0">
                  <c:v>Top 12 in Europe, Japan and US</c:v>
                </c:pt>
              </c:strCache>
            </c:strRef>
          </c:tx>
          <c:spPr>
            <a:solidFill>
              <a:schemeClr val="accent2"/>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CSPs!$H$46:$P$46</c:f>
              <c:numCache>
                <c:formatCode>"$"#,##0_);\("$"#,##0\)</c:formatCode>
                <c:ptCount val="9"/>
              </c:numCache>
            </c:numRef>
          </c:val>
          <c:extLst xmlns:c16r2="http://schemas.microsoft.com/office/drawing/2015/06/chart">
            <c:ext xmlns:c16="http://schemas.microsoft.com/office/drawing/2014/chart" uri="{C3380CC4-5D6E-409C-BE32-E72D297353CC}">
              <c16:uniqueId val="{00000001-ECDD-E646-AE7B-375E6CD7924D}"/>
            </c:ext>
          </c:extLst>
        </c:ser>
        <c:dLbls>
          <c:showLegendKey val="0"/>
          <c:showVal val="0"/>
          <c:showCatName val="0"/>
          <c:showSerName val="0"/>
          <c:showPercent val="0"/>
          <c:showBubbleSize val="0"/>
        </c:dLbls>
        <c:gapWidth val="219"/>
        <c:overlap val="-27"/>
        <c:axId val="72994176"/>
        <c:axId val="72995968"/>
      </c:barChart>
      <c:catAx>
        <c:axId val="7299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2995968"/>
        <c:crosses val="autoZero"/>
        <c:auto val="1"/>
        <c:lblAlgn val="ctr"/>
        <c:lblOffset val="100"/>
        <c:noMultiLvlLbl val="0"/>
      </c:catAx>
      <c:valAx>
        <c:axId val="72995968"/>
        <c:scaling>
          <c:orientation val="minMax"/>
          <c:max val="1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a:t>
                </a:r>
                <a:r>
                  <a:rPr lang="en-US" baseline="0"/>
                  <a:t> ($M)</a:t>
                </a:r>
                <a:endParaRPr lang="en-US"/>
              </a:p>
            </c:rich>
          </c:tx>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2994176"/>
        <c:crosses val="autoZero"/>
        <c:crossBetween val="between"/>
        <c:majorUnit val="50000"/>
      </c:valAx>
      <c:spPr>
        <a:noFill/>
        <a:ln>
          <a:noFill/>
        </a:ln>
        <a:effectLst/>
      </c:spPr>
    </c:plotArea>
    <c:legend>
      <c:legendPos val="b"/>
      <c:layout>
        <c:manualLayout>
          <c:xMode val="edge"/>
          <c:yMode val="edge"/>
          <c:x val="0.23197528433945799"/>
          <c:y val="2.3726305045202699E-2"/>
          <c:w val="0.56382699037620299"/>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87248468941401"/>
          <c:y val="0.14000078448292769"/>
          <c:w val="0.77468307086614197"/>
          <c:h val="0.75028507549247314"/>
        </c:manualLayout>
      </c:layout>
      <c:scatterChart>
        <c:scatterStyle val="smoothMarker"/>
        <c:varyColors val="0"/>
        <c:ser>
          <c:idx val="0"/>
          <c:order val="0"/>
          <c:tx>
            <c:strRef>
              <c:f>CSPs!$B$57</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CSPs!$H$9:$P$9</c:f>
              <c:strCache>
                <c:ptCount val="9"/>
                <c:pt idx="0">
                  <c:v>2012</c:v>
                </c:pt>
                <c:pt idx="1">
                  <c:v>2013</c:v>
                </c:pt>
                <c:pt idx="2">
                  <c:v>2014</c:v>
                </c:pt>
                <c:pt idx="3">
                  <c:v>2015</c:v>
                </c:pt>
                <c:pt idx="4">
                  <c:v>2016</c:v>
                </c:pt>
                <c:pt idx="5">
                  <c:v>2017</c:v>
                </c:pt>
                <c:pt idx="6">
                  <c:v>2018</c:v>
                </c:pt>
                <c:pt idx="7">
                  <c:v>2019</c:v>
                </c:pt>
                <c:pt idx="8">
                  <c:v>2020E</c:v>
                </c:pt>
              </c:strCache>
            </c:strRef>
          </c:xVal>
          <c:yVal>
            <c:numRef>
              <c:f>CSPs!$H$50:$P$50</c:f>
              <c:numCache>
                <c:formatCode>0%</c:formatCode>
                <c:ptCount val="9"/>
              </c:numCache>
            </c:numRef>
          </c:yVal>
          <c:smooth val="1"/>
          <c:extLst xmlns:c16r2="http://schemas.microsoft.com/office/drawing/2015/06/chart">
            <c:ext xmlns:c16="http://schemas.microsoft.com/office/drawing/2014/chart" uri="{C3380CC4-5D6E-409C-BE32-E72D297353CC}">
              <c16:uniqueId val="{00000000-BA2A-A742-A41D-8CA5368C2E9E}"/>
            </c:ext>
          </c:extLst>
        </c:ser>
        <c:ser>
          <c:idx val="1"/>
          <c:order val="1"/>
          <c:tx>
            <c:strRef>
              <c:f>CSPs!$B$58</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xVal>
          <c:yVal>
            <c:numRef>
              <c:f>CSPs!$H$51:$P$51</c:f>
              <c:numCache>
                <c:formatCode>0%</c:formatCode>
                <c:ptCount val="9"/>
              </c:numCache>
            </c:numRef>
          </c:yVal>
          <c:smooth val="1"/>
          <c:extLst xmlns:c16r2="http://schemas.microsoft.com/office/drawing/2015/06/chart">
            <c:ext xmlns:c16="http://schemas.microsoft.com/office/drawing/2014/chart" uri="{C3380CC4-5D6E-409C-BE32-E72D297353CC}">
              <c16:uniqueId val="{00000001-BA2A-A742-A41D-8CA5368C2E9E}"/>
            </c:ext>
          </c:extLst>
        </c:ser>
        <c:dLbls>
          <c:showLegendKey val="0"/>
          <c:showVal val="0"/>
          <c:showCatName val="0"/>
          <c:showSerName val="0"/>
          <c:showPercent val="0"/>
          <c:showBubbleSize val="0"/>
        </c:dLbls>
        <c:axId val="73017600"/>
        <c:axId val="73023872"/>
      </c:scatterChart>
      <c:valAx>
        <c:axId val="73017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3023872"/>
        <c:crosses val="autoZero"/>
        <c:crossBetween val="midCat"/>
      </c:valAx>
      <c:valAx>
        <c:axId val="73023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Ratio of Capex to Revenue (%)</a:t>
                </a:r>
              </a:p>
            </c:rich>
          </c:tx>
          <c:layout>
            <c:manualLayout>
              <c:xMode val="edge"/>
              <c:yMode val="edge"/>
              <c:x val="3.0930862106332391E-2"/>
              <c:y val="0.2383161073957128"/>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3017600"/>
        <c:crosses val="autoZero"/>
        <c:crossBetween val="midCat"/>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CSPs!$B$72</c:f>
              <c:strCache>
                <c:ptCount val="1"/>
                <c:pt idx="0">
                  <c:v>Top 3 in China</c:v>
                </c:pt>
              </c:strCache>
            </c:strRef>
          </c:tx>
          <c:spPr>
            <a:solidFill>
              <a:schemeClr val="accent1"/>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CSPs!$H$72:$P$72</c:f>
              <c:numCache>
                <c:formatCode>"$"#,##0_);\("$"#,##0\)</c:formatCode>
                <c:ptCount val="9"/>
              </c:numCache>
            </c:numRef>
          </c:val>
          <c:extLst xmlns:c16r2="http://schemas.microsoft.com/office/drawing/2015/06/chart">
            <c:ext xmlns:c16="http://schemas.microsoft.com/office/drawing/2014/chart" uri="{C3380CC4-5D6E-409C-BE32-E72D297353CC}">
              <c16:uniqueId val="{00000000-122F-EC41-A08B-B99657AB4C66}"/>
            </c:ext>
          </c:extLst>
        </c:ser>
        <c:ser>
          <c:idx val="1"/>
          <c:order val="1"/>
          <c:tx>
            <c:strRef>
              <c:f>CSPs!$B$73</c:f>
              <c:strCache>
                <c:ptCount val="1"/>
                <c:pt idx="0">
                  <c:v>Top 12 in Europe, Japan and US</c:v>
                </c:pt>
              </c:strCache>
            </c:strRef>
          </c:tx>
          <c:spPr>
            <a:solidFill>
              <a:schemeClr val="accent2"/>
            </a:solidFill>
            <a:ln>
              <a:noFill/>
            </a:ln>
            <a:effectLst/>
          </c:spPr>
          <c:invertIfNegative val="0"/>
          <c:cat>
            <c:numRef>
              <c:f>CSPs!$H$61:$P$61</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CSPs!$H$73:$P$73</c:f>
              <c:numCache>
                <c:formatCode>"$"#,##0_);\("$"#,##0\)</c:formatCode>
                <c:ptCount val="9"/>
              </c:numCache>
            </c:numRef>
          </c:val>
          <c:extLst xmlns:c16r2="http://schemas.microsoft.com/office/drawing/2015/06/char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73045888"/>
        <c:axId val="73047424"/>
      </c:barChart>
      <c:catAx>
        <c:axId val="7304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3047424"/>
        <c:crosses val="autoZero"/>
        <c:auto val="1"/>
        <c:lblAlgn val="ctr"/>
        <c:lblOffset val="100"/>
        <c:noMultiLvlLbl val="0"/>
      </c:catAx>
      <c:valAx>
        <c:axId val="73047424"/>
        <c:scaling>
          <c:orientation val="minMax"/>
          <c:max val="1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3045888"/>
        <c:crosses val="autoZero"/>
        <c:crossBetween val="between"/>
        <c:majorUnit val="50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FTTx All Products</a:t>
            </a:r>
          </a:p>
        </c:rich>
      </c:tx>
      <c:layout>
        <c:manualLayout>
          <c:xMode val="edge"/>
          <c:yMode val="edge"/>
          <c:x val="0.45311739779648702"/>
          <c:y val="4.3769228466110401E-2"/>
        </c:manualLayout>
      </c:layout>
      <c:overlay val="1"/>
    </c:title>
    <c:autoTitleDeleted val="0"/>
    <c:plotArea>
      <c:layout>
        <c:manualLayout>
          <c:layoutTarget val="inner"/>
          <c:xMode val="edge"/>
          <c:yMode val="edge"/>
          <c:x val="0.13556202111507401"/>
          <c:y val="3.67633198006257E-2"/>
          <c:w val="0.733214701805321"/>
          <c:h val="0.87411948535211104"/>
        </c:manualLayout>
      </c:layout>
      <c:barChart>
        <c:barDir val="col"/>
        <c:grouping val="stacked"/>
        <c:varyColors val="0"/>
        <c:ser>
          <c:idx val="0"/>
          <c:order val="0"/>
          <c:tx>
            <c:strRef>
              <c:f>Summary!$N$380</c:f>
              <c:strCache>
                <c:ptCount val="1"/>
                <c:pt idx="0">
                  <c:v>China</c:v>
                </c:pt>
              </c:strCache>
            </c:strRef>
          </c:tx>
          <c:invertIfNegative val="0"/>
          <c:cat>
            <c:numRef>
              <c:f>Summary!$O$379:$X$379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Summary!$O$380:$X$380</c:f>
              <c:numCache>
                <c:formatCode>_("$"* #,##0_);_("$"* \(#,##0\);_("$"* "-"??_);_(@_)</c:formatCode>
                <c:ptCount val="10"/>
                <c:pt idx="0">
                  <c:v>792.3413559550562</c:v>
                </c:pt>
                <c:pt idx="1">
                  <c:v>629.54144933007183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623-C94C-ADD7-130973F1943D}"/>
            </c:ext>
          </c:extLst>
        </c:ser>
        <c:ser>
          <c:idx val="1"/>
          <c:order val="1"/>
          <c:tx>
            <c:strRef>
              <c:f>Summary!$N$381</c:f>
              <c:strCache>
                <c:ptCount val="1"/>
                <c:pt idx="0">
                  <c:v>Rest of World</c:v>
                </c:pt>
              </c:strCache>
            </c:strRef>
          </c:tx>
          <c:invertIfNegative val="0"/>
          <c:cat>
            <c:numRef>
              <c:f>Summary!$O$379:$X$379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Summary!$O$381:$X$381</c:f>
              <c:numCache>
                <c:formatCode>_("$"* #,##0_);_("$"* \(#,##0\);_("$"* "-"??_);_(@_)</c:formatCode>
                <c:ptCount val="10"/>
                <c:pt idx="0">
                  <c:v>386.44799239180242</c:v>
                </c:pt>
                <c:pt idx="1">
                  <c:v>413.42311786526341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23-C94C-ADD7-130973F1943D}"/>
            </c:ext>
          </c:extLst>
        </c:ser>
        <c:dLbls>
          <c:showLegendKey val="0"/>
          <c:showVal val="0"/>
          <c:showCatName val="0"/>
          <c:showSerName val="0"/>
          <c:showPercent val="0"/>
          <c:showBubbleSize val="0"/>
        </c:dLbls>
        <c:gapWidth val="150"/>
        <c:overlap val="100"/>
        <c:axId val="42922752"/>
        <c:axId val="42924288"/>
      </c:barChart>
      <c:catAx>
        <c:axId val="42922752"/>
        <c:scaling>
          <c:orientation val="minMax"/>
        </c:scaling>
        <c:delete val="0"/>
        <c:axPos val="b"/>
        <c:numFmt formatCode="General" sourceLinked="1"/>
        <c:majorTickMark val="out"/>
        <c:minorTickMark val="none"/>
        <c:tickLblPos val="nextTo"/>
        <c:txPr>
          <a:bodyPr/>
          <a:lstStyle/>
          <a:p>
            <a:pPr>
              <a:defRPr sz="1400" b="1"/>
            </a:pPr>
            <a:endParaRPr lang="en-US"/>
          </a:p>
        </c:txPr>
        <c:crossAx val="42924288"/>
        <c:crosses val="autoZero"/>
        <c:auto val="1"/>
        <c:lblAlgn val="ctr"/>
        <c:lblOffset val="100"/>
        <c:noMultiLvlLbl val="0"/>
      </c:catAx>
      <c:valAx>
        <c:axId val="4292428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42922752"/>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NEMs!$B$25</c:f>
              <c:strCache>
                <c:ptCount val="1"/>
                <c:pt idx="0">
                  <c:v>Cisco</c:v>
                </c:pt>
              </c:strCache>
            </c:strRef>
          </c:tx>
          <c:spPr>
            <a:solidFill>
              <a:schemeClr val="accent1"/>
            </a:solidFill>
            <a:ln>
              <a:noFill/>
            </a:ln>
            <a:effectLst/>
          </c:spPr>
          <c:invertIfNegative val="0"/>
          <c:cat>
            <c:strRef>
              <c:f>NEMs!$H$23:$M$23</c:f>
              <c:strCache>
                <c:ptCount val="6"/>
                <c:pt idx="0">
                  <c:v>2015</c:v>
                </c:pt>
                <c:pt idx="1">
                  <c:v>2016</c:v>
                </c:pt>
                <c:pt idx="2">
                  <c:v>2017</c:v>
                </c:pt>
                <c:pt idx="3">
                  <c:v>2018</c:v>
                </c:pt>
                <c:pt idx="4">
                  <c:v>2019</c:v>
                </c:pt>
                <c:pt idx="5">
                  <c:v>2020E</c:v>
                </c:pt>
              </c:strCache>
            </c:strRef>
          </c:cat>
          <c:val>
            <c:numRef>
              <c:f>NEMs!$H$25:$M$25</c:f>
              <c:numCache>
                <c:formatCode>_("$"* #,##0_);_("$"* \(#,##0\);_("$"* "-"??_);_(@_)</c:formatCode>
                <c:ptCount val="6"/>
              </c:numCache>
            </c:numRef>
          </c:val>
          <c:extLst xmlns:c16r2="http://schemas.microsoft.com/office/drawing/2015/06/chart">
            <c:ext xmlns:c16="http://schemas.microsoft.com/office/drawing/2014/chart" uri="{C3380CC4-5D6E-409C-BE32-E72D297353CC}">
              <c16:uniqueId val="{00000000-3558-FF45-B1A3-48971110ED0C}"/>
            </c:ext>
          </c:extLst>
        </c:ser>
        <c:ser>
          <c:idx val="2"/>
          <c:order val="1"/>
          <c:tx>
            <c:strRef>
              <c:f>NEMs!$B$34</c:f>
              <c:strCache>
                <c:ptCount val="1"/>
                <c:pt idx="0">
                  <c:v>Lenovo</c:v>
                </c:pt>
              </c:strCache>
            </c:strRef>
          </c:tx>
          <c:spPr>
            <a:solidFill>
              <a:schemeClr val="accent3"/>
            </a:solidFill>
            <a:ln>
              <a:noFill/>
            </a:ln>
            <a:effectLst/>
          </c:spPr>
          <c:invertIfNegative val="0"/>
          <c:cat>
            <c:strRef>
              <c:f>NEMs!$H$23:$M$23</c:f>
              <c:strCache>
                <c:ptCount val="6"/>
                <c:pt idx="0">
                  <c:v>2015</c:v>
                </c:pt>
                <c:pt idx="1">
                  <c:v>2016</c:v>
                </c:pt>
                <c:pt idx="2">
                  <c:v>2017</c:v>
                </c:pt>
                <c:pt idx="3">
                  <c:v>2018</c:v>
                </c:pt>
                <c:pt idx="4">
                  <c:v>2019</c:v>
                </c:pt>
                <c:pt idx="5">
                  <c:v>2020E</c:v>
                </c:pt>
              </c:strCache>
            </c:strRef>
          </c:cat>
          <c:val>
            <c:numRef>
              <c:f>NEMs!$H$34:$M$34</c:f>
              <c:numCache>
                <c:formatCode>_("$"* #,##0_);_("$"* \(#,##0\);_("$"* "-"??_);_(@_)</c:formatCode>
                <c:ptCount val="6"/>
              </c:numCache>
            </c:numRef>
          </c:val>
          <c:extLst xmlns:c16r2="http://schemas.microsoft.com/office/drawing/2015/06/chart">
            <c:ext xmlns:c16="http://schemas.microsoft.com/office/drawing/2014/chart" uri="{C3380CC4-5D6E-409C-BE32-E72D297353CC}">
              <c16:uniqueId val="{00000002-3558-FF45-B1A3-48971110ED0C}"/>
            </c:ext>
          </c:extLst>
        </c:ser>
        <c:ser>
          <c:idx val="1"/>
          <c:order val="2"/>
          <c:tx>
            <c:strRef>
              <c:f>NEMs!$B$27</c:f>
              <c:strCache>
                <c:ptCount val="1"/>
                <c:pt idx="0">
                  <c:v>Dell</c:v>
                </c:pt>
              </c:strCache>
            </c:strRef>
          </c:tx>
          <c:invertIfNegative val="0"/>
          <c:cat>
            <c:strRef>
              <c:f>NEMs!$H$23:$M$23</c:f>
              <c:strCache>
                <c:ptCount val="6"/>
                <c:pt idx="0">
                  <c:v>2015</c:v>
                </c:pt>
                <c:pt idx="1">
                  <c:v>2016</c:v>
                </c:pt>
                <c:pt idx="2">
                  <c:v>2017</c:v>
                </c:pt>
                <c:pt idx="3">
                  <c:v>2018</c:v>
                </c:pt>
                <c:pt idx="4">
                  <c:v>2019</c:v>
                </c:pt>
                <c:pt idx="5">
                  <c:v>2020E</c:v>
                </c:pt>
              </c:strCache>
            </c:strRef>
          </c:cat>
          <c:val>
            <c:numRef>
              <c:f>NEMs!$H$27:$M$27</c:f>
              <c:numCache>
                <c:formatCode>_("$"* #,##0_);_("$"* \(#,##0\);_("$"* "-"??_);_(@_)</c:formatCode>
                <c:ptCount val="6"/>
              </c:numCache>
            </c:numRef>
          </c:val>
          <c:extLst xmlns:c16r2="http://schemas.microsoft.com/office/drawing/2015/06/chart">
            <c:ext xmlns:c16="http://schemas.microsoft.com/office/drawing/2014/chart" uri="{C3380CC4-5D6E-409C-BE32-E72D297353CC}">
              <c16:uniqueId val="{00000000-8C32-9A4B-BF72-18FC13B3737E}"/>
            </c:ext>
          </c:extLst>
        </c:ser>
        <c:dLbls>
          <c:showLegendKey val="0"/>
          <c:showVal val="0"/>
          <c:showCatName val="0"/>
          <c:showSerName val="0"/>
          <c:showPercent val="0"/>
          <c:showBubbleSize val="0"/>
        </c:dLbls>
        <c:gapWidth val="219"/>
        <c:overlap val="-27"/>
        <c:axId val="74259072"/>
        <c:axId val="74260864"/>
      </c:barChart>
      <c:catAx>
        <c:axId val="7425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60864"/>
        <c:crosses val="autoZero"/>
        <c:auto val="1"/>
        <c:lblAlgn val="ctr"/>
        <c:lblOffset val="100"/>
        <c:noMultiLvlLbl val="0"/>
      </c:catAx>
      <c:valAx>
        <c:axId val="7426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8561484918793503E-2"/>
              <c:y val="0.38864888157637018"/>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59072"/>
        <c:crosses val="autoZero"/>
        <c:crossBetween val="between"/>
        <c:majorUnit val="20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NEMs!$B$30</c:f>
              <c:strCache>
                <c:ptCount val="1"/>
                <c:pt idx="0">
                  <c:v>H3C</c:v>
                </c:pt>
              </c:strCache>
            </c:strRef>
          </c:tx>
          <c:spPr>
            <a:solidFill>
              <a:schemeClr val="accent1"/>
            </a:solidFill>
            <a:ln>
              <a:noFill/>
            </a:ln>
            <a:effectLst/>
          </c:spPr>
          <c:invertIfNegative val="0"/>
          <c:cat>
            <c:strRef>
              <c:f>NEMs!$H$23:$M$23</c:f>
              <c:strCache>
                <c:ptCount val="6"/>
                <c:pt idx="0">
                  <c:v>2015</c:v>
                </c:pt>
                <c:pt idx="1">
                  <c:v>2016</c:v>
                </c:pt>
                <c:pt idx="2">
                  <c:v>2017</c:v>
                </c:pt>
                <c:pt idx="3">
                  <c:v>2018</c:v>
                </c:pt>
                <c:pt idx="4">
                  <c:v>2019</c:v>
                </c:pt>
                <c:pt idx="5">
                  <c:v>2020E</c:v>
                </c:pt>
              </c:strCache>
            </c:strRef>
          </c:cat>
          <c:val>
            <c:numRef>
              <c:f>NEMs!$H$30:$M$30</c:f>
              <c:numCache>
                <c:formatCode>_("$"* #,##0_);_("$"* \(#,##0\);_("$"* "-"??_);_(@_)</c:formatCode>
                <c:ptCount val="6"/>
              </c:numCache>
            </c:numRef>
          </c:val>
          <c:extLst xmlns:c16r2="http://schemas.microsoft.com/office/drawing/2015/06/chart">
            <c:ext xmlns:c16="http://schemas.microsoft.com/office/drawing/2014/chart" uri="{C3380CC4-5D6E-409C-BE32-E72D297353CC}">
              <c16:uniqueId val="{00000000-6248-784A-8CA3-0B55BC593E13}"/>
            </c:ext>
          </c:extLst>
        </c:ser>
        <c:ser>
          <c:idx val="1"/>
          <c:order val="1"/>
          <c:tx>
            <c:strRef>
              <c:f>NEMs!$B$33</c:f>
              <c:strCache>
                <c:ptCount val="1"/>
                <c:pt idx="0">
                  <c:v>Inspur</c:v>
                </c:pt>
              </c:strCache>
            </c:strRef>
          </c:tx>
          <c:spPr>
            <a:solidFill>
              <a:schemeClr val="accent2"/>
            </a:solidFill>
            <a:ln>
              <a:noFill/>
            </a:ln>
            <a:effectLst/>
          </c:spPr>
          <c:invertIfNegative val="0"/>
          <c:cat>
            <c:strRef>
              <c:f>NEMs!$H$23:$M$23</c:f>
              <c:strCache>
                <c:ptCount val="6"/>
                <c:pt idx="0">
                  <c:v>2015</c:v>
                </c:pt>
                <c:pt idx="1">
                  <c:v>2016</c:v>
                </c:pt>
                <c:pt idx="2">
                  <c:v>2017</c:v>
                </c:pt>
                <c:pt idx="3">
                  <c:v>2018</c:v>
                </c:pt>
                <c:pt idx="4">
                  <c:v>2019</c:v>
                </c:pt>
                <c:pt idx="5">
                  <c:v>2020E</c:v>
                </c:pt>
              </c:strCache>
            </c:strRef>
          </c:cat>
          <c:val>
            <c:numRef>
              <c:f>NEMs!$H$33:$M$33</c:f>
              <c:numCache>
                <c:formatCode>_("$"* #,##0_);_("$"* \(#,##0\);_("$"* "-"??_);_(@_)</c:formatCode>
                <c:ptCount val="6"/>
              </c:numCache>
            </c:numRef>
          </c:val>
          <c:extLst xmlns:c16r2="http://schemas.microsoft.com/office/drawing/2015/06/chart">
            <c:ext xmlns:c16="http://schemas.microsoft.com/office/drawing/2014/chart" uri="{C3380CC4-5D6E-409C-BE32-E72D297353CC}">
              <c16:uniqueId val="{00000001-6248-784A-8CA3-0B55BC593E13}"/>
            </c:ext>
          </c:extLst>
        </c:ser>
        <c:ser>
          <c:idx val="2"/>
          <c:order val="2"/>
          <c:tx>
            <c:strRef>
              <c:f>NEMs!$B$24</c:f>
              <c:strCache>
                <c:ptCount val="1"/>
                <c:pt idx="0">
                  <c:v>Arista</c:v>
                </c:pt>
              </c:strCache>
            </c:strRef>
          </c:tx>
          <c:spPr>
            <a:solidFill>
              <a:schemeClr val="accent3"/>
            </a:solidFill>
            <a:ln>
              <a:noFill/>
            </a:ln>
            <a:effectLst/>
          </c:spPr>
          <c:invertIfNegative val="0"/>
          <c:cat>
            <c:strRef>
              <c:f>NEMs!$H$23:$M$23</c:f>
              <c:strCache>
                <c:ptCount val="6"/>
                <c:pt idx="0">
                  <c:v>2015</c:v>
                </c:pt>
                <c:pt idx="1">
                  <c:v>2016</c:v>
                </c:pt>
                <c:pt idx="2">
                  <c:v>2017</c:v>
                </c:pt>
                <c:pt idx="3">
                  <c:v>2018</c:v>
                </c:pt>
                <c:pt idx="4">
                  <c:v>2019</c:v>
                </c:pt>
                <c:pt idx="5">
                  <c:v>2020E</c:v>
                </c:pt>
              </c:strCache>
            </c:strRef>
          </c:cat>
          <c:val>
            <c:numRef>
              <c:f>NEMs!$H$24:$M$24</c:f>
              <c:numCache>
                <c:formatCode>_("$"* #,##0_);_("$"* \(#,##0\);_("$"* "-"??_);_(@_)</c:formatCode>
                <c:ptCount val="6"/>
              </c:numCache>
            </c:numRef>
          </c:val>
          <c:extLst xmlns:c16r2="http://schemas.microsoft.com/office/drawing/2015/06/chart">
            <c:ext xmlns:c16="http://schemas.microsoft.com/office/drawing/2014/chart" uri="{C3380CC4-5D6E-409C-BE32-E72D297353CC}">
              <c16:uniqueId val="{00000002-6248-784A-8CA3-0B55BC593E13}"/>
            </c:ext>
          </c:extLst>
        </c:ser>
        <c:dLbls>
          <c:showLegendKey val="0"/>
          <c:showVal val="0"/>
          <c:showCatName val="0"/>
          <c:showSerName val="0"/>
          <c:showPercent val="0"/>
          <c:showBubbleSize val="0"/>
        </c:dLbls>
        <c:gapWidth val="219"/>
        <c:overlap val="-27"/>
        <c:axId val="74288512"/>
        <c:axId val="74294400"/>
      </c:barChart>
      <c:catAx>
        <c:axId val="7428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94400"/>
        <c:crosses val="autoZero"/>
        <c:auto val="1"/>
        <c:lblAlgn val="ctr"/>
        <c:lblOffset val="100"/>
        <c:noMultiLvlLbl val="0"/>
      </c:catAx>
      <c:valAx>
        <c:axId val="74294400"/>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5047021943573668E-2"/>
              <c:y val="0.37390690735938797"/>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88512"/>
        <c:crosses val="autoZero"/>
        <c:crossBetween val="between"/>
        <c:majorUnit val="2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NEMs!$C$23:$M$23</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NEMs!$C$29:$M$29</c:f>
              <c:numCache>
                <c:formatCode>_("$"* #,##0_);_("$"* \(#,##0\);_("$"* "-"??_);_(@_)</c:formatCode>
                <c:ptCount val="11"/>
                <c:pt idx="0">
                  <c:v>627.84420164798587</c:v>
                </c:pt>
                <c:pt idx="1">
                  <c:v>1089.3629022749235</c:v>
                </c:pt>
              </c:numCache>
            </c:numRef>
          </c:val>
          <c:extLst xmlns:c16r2="http://schemas.microsoft.com/office/drawing/2015/06/chart">
            <c:ext xmlns:c16="http://schemas.microsoft.com/office/drawing/2014/chart" uri="{C3380CC4-5D6E-409C-BE32-E72D297353CC}">
              <c16:uniqueId val="{00000000-4FBA-A041-9BAB-BE0E134B6C7C}"/>
            </c:ext>
          </c:extLst>
        </c:ser>
        <c:dLbls>
          <c:showLegendKey val="0"/>
          <c:showVal val="0"/>
          <c:showCatName val="0"/>
          <c:showSerName val="0"/>
          <c:showPercent val="0"/>
          <c:showBubbleSize val="0"/>
        </c:dLbls>
        <c:gapWidth val="150"/>
        <c:axId val="74302976"/>
        <c:axId val="74304512"/>
      </c:barChart>
      <c:catAx>
        <c:axId val="74302976"/>
        <c:scaling>
          <c:orientation val="minMax"/>
        </c:scaling>
        <c:delete val="0"/>
        <c:axPos val="b"/>
        <c:numFmt formatCode="General" sourceLinked="1"/>
        <c:majorTickMark val="out"/>
        <c:minorTickMark val="none"/>
        <c:tickLblPos val="nextTo"/>
        <c:crossAx val="74304512"/>
        <c:crosses val="autoZero"/>
        <c:auto val="1"/>
        <c:lblAlgn val="ctr"/>
        <c:lblOffset val="100"/>
        <c:noMultiLvlLbl val="0"/>
      </c:catAx>
      <c:valAx>
        <c:axId val="74304512"/>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7430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394697975987"/>
          <c:y val="4.6183653488147597E-2"/>
          <c:w val="0.82927860046469704"/>
          <c:h val="0.86606974916226498"/>
        </c:manualLayout>
      </c:layout>
      <c:lineChart>
        <c:grouping val="standard"/>
        <c:varyColors val="0"/>
        <c:ser>
          <c:idx val="0"/>
          <c:order val="0"/>
          <c:tx>
            <c:strRef>
              <c:f>NEMs!$B$97</c:f>
              <c:strCache>
                <c:ptCount val="1"/>
                <c:pt idx="0">
                  <c:v>Nokia/ALU</c:v>
                </c:pt>
              </c:strCache>
            </c:strRef>
          </c:tx>
          <c:cat>
            <c:numRef>
              <c:f>NEMs!$C$96:$S$96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NEMs!$C$97:$S$97</c:f>
              <c:numCache>
                <c:formatCode>_("$"* #,##0_);_("$"* \(#,##0\);_("$"* "-"??_);_(@_)</c:formatCode>
                <c:ptCount val="17"/>
                <c:pt idx="0">
                  <c:v>26.425565020901594</c:v>
                </c:pt>
                <c:pt idx="1">
                  <c:v>29.220299416076536</c:v>
                </c:pt>
                <c:pt idx="2">
                  <c:v>33.133307214702597</c:v>
                </c:pt>
                <c:pt idx="3">
                  <c:v>34.473977161500812</c:v>
                </c:pt>
                <c:pt idx="4">
                  <c:v>43.813460899999995</c:v>
                </c:pt>
                <c:pt idx="5">
                  <c:v>47.303517800000002</c:v>
                </c:pt>
                <c:pt idx="6">
                  <c:v>38.710565600000002</c:v>
                </c:pt>
                <c:pt idx="7">
                  <c:v>41.674536900000007</c:v>
                </c:pt>
              </c:numCache>
            </c:numRef>
          </c:val>
          <c:smooth val="0"/>
          <c:extLst xmlns:c16r2="http://schemas.microsoft.com/office/drawing/2015/06/chart">
            <c:ext xmlns:c16="http://schemas.microsoft.com/office/drawing/2014/chart" uri="{C3380CC4-5D6E-409C-BE32-E72D297353CC}">
              <c16:uniqueId val="{00000000-57E0-9546-AC88-70ED5A40867D}"/>
            </c:ext>
          </c:extLst>
        </c:ser>
        <c:ser>
          <c:idx val="1"/>
          <c:order val="1"/>
          <c:tx>
            <c:strRef>
              <c:f>NEMs!$B$98</c:f>
              <c:strCache>
                <c:ptCount val="1"/>
                <c:pt idx="0">
                  <c:v>Ericsson</c:v>
                </c:pt>
              </c:strCache>
            </c:strRef>
          </c:tx>
          <c:cat>
            <c:numRef>
              <c:f>NEMs!$C$96:$S$96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NEMs!$C$98:$R$98</c:f>
              <c:numCache>
                <c:formatCode>_("$"* #,##0_);_("$"* \(#,##0\);_("$"* "-"??_);_(@_)</c:formatCode>
                <c:ptCount val="16"/>
                <c:pt idx="0">
                  <c:v>19</c:v>
                </c:pt>
                <c:pt idx="1">
                  <c:v>18</c:v>
                </c:pt>
                <c:pt idx="2">
                  <c:v>21</c:v>
                </c:pt>
                <c:pt idx="3">
                  <c:v>24</c:v>
                </c:pt>
                <c:pt idx="4">
                  <c:v>28.211040000000001</c:v>
                </c:pt>
                <c:pt idx="5">
                  <c:v>31.586260000000003</c:v>
                </c:pt>
                <c:pt idx="6">
                  <c:v>27.191730000000003</c:v>
                </c:pt>
                <c:pt idx="7">
                  <c:v>28.444220000000001</c:v>
                </c:pt>
              </c:numCache>
            </c:numRef>
          </c:val>
          <c:smooth val="0"/>
          <c:extLst xmlns:c16r2="http://schemas.microsoft.com/office/drawing/2015/06/chart">
            <c:ext xmlns:c16="http://schemas.microsoft.com/office/drawing/2014/chart" uri="{C3380CC4-5D6E-409C-BE32-E72D297353CC}">
              <c16:uniqueId val="{00000001-57E0-9546-AC88-70ED5A40867D}"/>
            </c:ext>
          </c:extLst>
        </c:ser>
        <c:ser>
          <c:idx val="2"/>
          <c:order val="2"/>
          <c:tx>
            <c:strRef>
              <c:f>NEMs!$B$99</c:f>
              <c:strCache>
                <c:ptCount val="1"/>
                <c:pt idx="0">
                  <c:v>Huawei Total</c:v>
                </c:pt>
              </c:strCache>
            </c:strRef>
          </c:tx>
          <c:cat>
            <c:numRef>
              <c:f>NEMs!$C$96:$S$96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NEMs!$C$99:$S$99</c:f>
              <c:numCache>
                <c:formatCode>_("$"* #,##0_);_("$"* \(#,##0\);_("$"* "-"??_);_(@_)</c:formatCode>
                <c:ptCount val="17"/>
                <c:pt idx="0">
                  <c:v>3</c:v>
                </c:pt>
                <c:pt idx="1">
                  <c:v>4</c:v>
                </c:pt>
                <c:pt idx="2">
                  <c:v>6</c:v>
                </c:pt>
                <c:pt idx="3">
                  <c:v>9</c:v>
                </c:pt>
                <c:pt idx="4">
                  <c:v>12.56</c:v>
                </c:pt>
                <c:pt idx="5">
                  <c:v>18.318999999999999</c:v>
                </c:pt>
                <c:pt idx="6">
                  <c:v>21.7924258</c:v>
                </c:pt>
                <c:pt idx="7">
                  <c:v>27.313459999999999</c:v>
                </c:pt>
              </c:numCache>
            </c:numRef>
          </c:val>
          <c:smooth val="0"/>
          <c:extLst xmlns:c16r2="http://schemas.microsoft.com/office/drawing/2015/06/chart">
            <c:ext xmlns:c16="http://schemas.microsoft.com/office/drawing/2014/chart" uri="{C3380CC4-5D6E-409C-BE32-E72D297353CC}">
              <c16:uniqueId val="{00000002-57E0-9546-AC88-70ED5A40867D}"/>
            </c:ext>
          </c:extLst>
        </c:ser>
        <c:ser>
          <c:idx val="3"/>
          <c:order val="3"/>
          <c:tx>
            <c:strRef>
              <c:f>NEMs!$B$100</c:f>
              <c:strCache>
                <c:ptCount val="1"/>
                <c:pt idx="0">
                  <c:v>Huawei Networks</c:v>
                </c:pt>
              </c:strCache>
            </c:strRef>
          </c:tx>
          <c:cat>
            <c:numRef>
              <c:f>NEMs!$C$96:$S$96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NEMs!$C$100:$S$100</c:f>
              <c:numCache>
                <c:formatCode>_("$"* #,##0_);_("$"* \(#,##0\);_("$"* "-"??_);_(@_)</c:formatCode>
                <c:ptCount val="17"/>
                <c:pt idx="6">
                  <c:v>14.611666600000001</c:v>
                </c:pt>
                <c:pt idx="7">
                  <c:v>21.505500000000001</c:v>
                </c:pt>
              </c:numCache>
            </c:numRef>
          </c:val>
          <c:smooth val="0"/>
          <c:extLst xmlns:c16r2="http://schemas.microsoft.com/office/drawing/2015/06/chart">
            <c:ext xmlns:c16="http://schemas.microsoft.com/office/drawing/2014/chart" uri="{C3380CC4-5D6E-409C-BE32-E72D297353CC}">
              <c16:uniqueId val="{00000003-57E0-9546-AC88-70ED5A40867D}"/>
            </c:ext>
          </c:extLst>
        </c:ser>
        <c:dLbls>
          <c:showLegendKey val="0"/>
          <c:showVal val="0"/>
          <c:showCatName val="0"/>
          <c:showSerName val="0"/>
          <c:showPercent val="0"/>
          <c:showBubbleSize val="0"/>
        </c:dLbls>
        <c:marker val="1"/>
        <c:smooth val="0"/>
        <c:axId val="74402432"/>
        <c:axId val="74404224"/>
      </c:lineChart>
      <c:catAx>
        <c:axId val="74402432"/>
        <c:scaling>
          <c:orientation val="minMax"/>
        </c:scaling>
        <c:delete val="0"/>
        <c:axPos val="b"/>
        <c:numFmt formatCode="General" sourceLinked="1"/>
        <c:majorTickMark val="out"/>
        <c:minorTickMark val="none"/>
        <c:tickLblPos val="nextTo"/>
        <c:crossAx val="74404224"/>
        <c:crosses val="autoZero"/>
        <c:auto val="1"/>
        <c:lblAlgn val="ctr"/>
        <c:lblOffset val="100"/>
        <c:noMultiLvlLbl val="0"/>
      </c:catAx>
      <c:valAx>
        <c:axId val="74404224"/>
        <c:scaling>
          <c:orientation val="minMax"/>
        </c:scaling>
        <c:delete val="0"/>
        <c:axPos val="l"/>
        <c:majorGridlines/>
        <c:title>
          <c:tx>
            <c:rich>
              <a:bodyPr rot="-5400000" vert="horz"/>
              <a:lstStyle/>
              <a:p>
                <a:pPr>
                  <a:defRPr sz="1050" b="1">
                    <a:latin typeface="Arial" pitchFamily="34" charset="0"/>
                    <a:cs typeface="Arial" pitchFamily="34" charset="0"/>
                  </a:defRPr>
                </a:pPr>
                <a:r>
                  <a:rPr lang="en-US" sz="1050" b="1">
                    <a:latin typeface="Arial" pitchFamily="34" charset="0"/>
                    <a:cs typeface="Arial" pitchFamily="34" charset="0"/>
                  </a:rPr>
                  <a:t>Revenues ($ bn)</a:t>
                </a:r>
              </a:p>
            </c:rich>
          </c:tx>
          <c:layout>
            <c:manualLayout>
              <c:xMode val="edge"/>
              <c:yMode val="edge"/>
              <c:x val="3.3494939341392201E-2"/>
              <c:y val="0.341328791869493"/>
            </c:manualLayout>
          </c:layout>
          <c:overlay val="0"/>
        </c:title>
        <c:numFmt formatCode="_(&quot;$&quot;* #,##0_);_(&quot;$&quot;* \(#,##0\);_(&quot;$&quot;* &quot;-&quot;??_);_(@_)" sourceLinked="1"/>
        <c:majorTickMark val="out"/>
        <c:minorTickMark val="none"/>
        <c:tickLblPos val="nextTo"/>
        <c:crossAx val="74402432"/>
        <c:crosses val="autoZero"/>
        <c:crossBetween val="between"/>
      </c:valAx>
    </c:plotArea>
    <c:legend>
      <c:legendPos val="t"/>
      <c:layout>
        <c:manualLayout>
          <c:xMode val="edge"/>
          <c:yMode val="edge"/>
          <c:x val="0.16932814257173101"/>
          <c:y val="7.35551663747811E-2"/>
          <c:w val="0.41746112981718497"/>
          <c:h val="0.185929644083456"/>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49274082570811"/>
          <c:y val="7.6230369540221499E-2"/>
          <c:w val="0.75155036658699026"/>
          <c:h val="0.82234808249884661"/>
        </c:manualLayout>
      </c:layout>
      <c:barChart>
        <c:barDir val="col"/>
        <c:grouping val="clustered"/>
        <c:varyColors val="0"/>
        <c:ser>
          <c:idx val="0"/>
          <c:order val="0"/>
          <c:tx>
            <c:strRef>
              <c:f>NEMs!$B$67</c:f>
              <c:strCache>
                <c:ptCount val="1"/>
              </c:strCache>
            </c:strRef>
          </c:tx>
          <c:invertIfNegative val="0"/>
          <c:cat>
            <c:strRef>
              <c:f>NEMs!$C$23:$M$23</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NEMs!$C$32:$M$32</c:f>
              <c:numCache>
                <c:formatCode>_("$"* #,##0_);_("$"* \(#,##0\);_("$"* "-"??_);_(@_)</c:formatCode>
                <c:ptCount val="11"/>
                <c:pt idx="0">
                  <c:v>27313.46</c:v>
                </c:pt>
                <c:pt idx="1">
                  <c:v>31507.030500000001</c:v>
                </c:pt>
              </c:numCache>
            </c:numRef>
          </c:val>
          <c:extLst xmlns:c16r2="http://schemas.microsoft.com/office/drawing/2015/06/char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74429184"/>
        <c:axId val="74430720"/>
      </c:barChart>
      <c:catAx>
        <c:axId val="74429184"/>
        <c:scaling>
          <c:orientation val="minMax"/>
        </c:scaling>
        <c:delete val="0"/>
        <c:axPos val="b"/>
        <c:numFmt formatCode="General" sourceLinked="1"/>
        <c:majorTickMark val="out"/>
        <c:minorTickMark val="none"/>
        <c:tickLblPos val="nextTo"/>
        <c:txPr>
          <a:bodyPr/>
          <a:lstStyle/>
          <a:p>
            <a:pPr>
              <a:defRPr sz="1000"/>
            </a:pPr>
            <a:endParaRPr lang="en-US"/>
          </a:p>
        </c:txPr>
        <c:crossAx val="74430720"/>
        <c:crosses val="autoZero"/>
        <c:auto val="1"/>
        <c:lblAlgn val="ctr"/>
        <c:lblOffset val="100"/>
        <c:noMultiLvlLbl val="0"/>
      </c:catAx>
      <c:valAx>
        <c:axId val="74430720"/>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7442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49274082570811"/>
          <c:y val="7.6230369540221499E-2"/>
          <c:w val="0.75155036658699026"/>
          <c:h val="0.83034755176176944"/>
        </c:manualLayout>
      </c:layout>
      <c:barChart>
        <c:barDir val="col"/>
        <c:grouping val="clustered"/>
        <c:varyColors val="0"/>
        <c:ser>
          <c:idx val="0"/>
          <c:order val="0"/>
          <c:tx>
            <c:strRef>
              <c:f>NEMs!$B$67</c:f>
              <c:strCache>
                <c:ptCount val="1"/>
              </c:strCache>
            </c:strRef>
          </c:tx>
          <c:invertIfNegative val="0"/>
          <c:cat>
            <c:strRef>
              <c:f>NEMs!$C$23:$M$23</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NEMs!$C$36:$M$36</c:f>
              <c:numCache>
                <c:formatCode>_("$"* #,##0_);_("$"* \(#,##0\);_("$"* "-"??_);_(@_)</c:formatCode>
                <c:ptCount val="11"/>
                <c:pt idx="0">
                  <c:v>10401.296317</c:v>
                </c:pt>
                <c:pt idx="1">
                  <c:v>13670</c:v>
                </c:pt>
              </c:numCache>
            </c:numRef>
          </c:val>
          <c:extLst xmlns:c16r2="http://schemas.microsoft.com/office/drawing/2015/06/char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75069696"/>
        <c:axId val="75071488"/>
      </c:barChart>
      <c:catAx>
        <c:axId val="75069696"/>
        <c:scaling>
          <c:orientation val="minMax"/>
        </c:scaling>
        <c:delete val="0"/>
        <c:axPos val="b"/>
        <c:numFmt formatCode="General" sourceLinked="1"/>
        <c:majorTickMark val="out"/>
        <c:minorTickMark val="none"/>
        <c:tickLblPos val="nextTo"/>
        <c:txPr>
          <a:bodyPr/>
          <a:lstStyle/>
          <a:p>
            <a:pPr>
              <a:defRPr sz="1000"/>
            </a:pPr>
            <a:endParaRPr lang="en-US"/>
          </a:p>
        </c:txPr>
        <c:crossAx val="75071488"/>
        <c:crosses val="autoZero"/>
        <c:auto val="1"/>
        <c:lblAlgn val="ctr"/>
        <c:lblOffset val="100"/>
        <c:noMultiLvlLbl val="0"/>
      </c:catAx>
      <c:valAx>
        <c:axId val="7507148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75069696"/>
        <c:crosses val="autoZero"/>
        <c:crossBetween val="between"/>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NEMs!$C$23:$M$23</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NEMs!$C$33:$M$33</c:f>
              <c:numCache>
                <c:formatCode>_("$"* #,##0_);_("$"* \(#,##0\);_("$"* "-"??_);_(@_)</c:formatCode>
                <c:ptCount val="11"/>
                <c:pt idx="0">
                  <c:v>159.46888674376706</c:v>
                </c:pt>
                <c:pt idx="1">
                  <c:v>190.46858458663928</c:v>
                </c:pt>
              </c:numCache>
            </c:numRef>
          </c:val>
          <c:extLst xmlns:c16r2="http://schemas.microsoft.com/office/drawing/2015/06/chart">
            <c:ext xmlns:c16="http://schemas.microsoft.com/office/drawing/2014/chart" uri="{C3380CC4-5D6E-409C-BE32-E72D297353CC}">
              <c16:uniqueId val="{00000000-EE94-8542-A13A-4D2F5C5EFA08}"/>
            </c:ext>
          </c:extLst>
        </c:ser>
        <c:dLbls>
          <c:showLegendKey val="0"/>
          <c:showVal val="0"/>
          <c:showCatName val="0"/>
          <c:showSerName val="0"/>
          <c:showPercent val="0"/>
          <c:showBubbleSize val="0"/>
        </c:dLbls>
        <c:gapWidth val="150"/>
        <c:axId val="75091968"/>
        <c:axId val="75093504"/>
      </c:barChart>
      <c:catAx>
        <c:axId val="75091968"/>
        <c:scaling>
          <c:orientation val="minMax"/>
        </c:scaling>
        <c:delete val="0"/>
        <c:axPos val="b"/>
        <c:numFmt formatCode="General" sourceLinked="1"/>
        <c:majorTickMark val="out"/>
        <c:minorTickMark val="none"/>
        <c:tickLblPos val="nextTo"/>
        <c:crossAx val="75093504"/>
        <c:crosses val="autoZero"/>
        <c:auto val="1"/>
        <c:lblAlgn val="ctr"/>
        <c:lblOffset val="100"/>
        <c:noMultiLvlLbl val="0"/>
      </c:catAx>
      <c:valAx>
        <c:axId val="75093504"/>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75091968"/>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numRef>
              <c:f>NEMs!$C$23:$L$23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NEMs!$C$30:$L$30</c:f>
              <c:numCache>
                <c:formatCode>_("$"* #,##0_);_("$"* \(#,##0\);_("$"* "-"??_);_(@_)</c:formatCode>
                <c:ptCount val="10"/>
                <c:pt idx="0">
                  <c:v>642.59618007016593</c:v>
                </c:pt>
                <c:pt idx="1">
                  <c:v>821.03854588644595</c:v>
                </c:pt>
              </c:numCache>
            </c:numRef>
          </c:val>
          <c:extLst xmlns:c16r2="http://schemas.microsoft.com/office/drawing/2015/06/chart">
            <c:ext xmlns:c16="http://schemas.microsoft.com/office/drawing/2014/chart" uri="{C3380CC4-5D6E-409C-BE32-E72D297353CC}">
              <c16:uniqueId val="{00000000-0DCE-D947-9FD7-64746F3B3EAB}"/>
            </c:ext>
          </c:extLst>
        </c:ser>
        <c:dLbls>
          <c:showLegendKey val="0"/>
          <c:showVal val="0"/>
          <c:showCatName val="0"/>
          <c:showSerName val="0"/>
          <c:showPercent val="0"/>
          <c:showBubbleSize val="0"/>
        </c:dLbls>
        <c:gapWidth val="150"/>
        <c:axId val="75113984"/>
        <c:axId val="75115520"/>
      </c:barChart>
      <c:catAx>
        <c:axId val="75113984"/>
        <c:scaling>
          <c:orientation val="minMax"/>
        </c:scaling>
        <c:delete val="0"/>
        <c:axPos val="b"/>
        <c:numFmt formatCode="General" sourceLinked="1"/>
        <c:majorTickMark val="out"/>
        <c:minorTickMark val="none"/>
        <c:tickLblPos val="nextTo"/>
        <c:crossAx val="75115520"/>
        <c:crosses val="autoZero"/>
        <c:auto val="1"/>
        <c:lblAlgn val="ctr"/>
        <c:lblOffset val="100"/>
        <c:noMultiLvlLbl val="0"/>
      </c:catAx>
      <c:valAx>
        <c:axId val="75115520"/>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75113984"/>
        <c:crosses val="autoZero"/>
        <c:crossBetween val="between"/>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numRef>
              <c:f>NEMs!$H$23:$L$23</c:f>
              <c:numCache>
                <c:formatCode>General</c:formatCode>
                <c:ptCount val="5"/>
                <c:pt idx="0">
                  <c:v>2015</c:v>
                </c:pt>
                <c:pt idx="1">
                  <c:v>2016</c:v>
                </c:pt>
                <c:pt idx="2">
                  <c:v>2017</c:v>
                </c:pt>
                <c:pt idx="3">
                  <c:v>2018</c:v>
                </c:pt>
                <c:pt idx="4">
                  <c:v>2019</c:v>
                </c:pt>
              </c:numCache>
            </c:numRef>
          </c:cat>
          <c:val>
            <c:numRef>
              <c:f>NEMs!$H$35:$L$35</c:f>
              <c:numCache>
                <c:formatCode>_("$"* #,##0_);_("$"* \(#,##0\);_("$"* "-"??_);_(@_)</c:formatCode>
                <c:ptCount val="5"/>
              </c:numCache>
            </c:numRef>
          </c:val>
          <c:extLst xmlns:c16r2="http://schemas.microsoft.com/office/drawing/2015/06/chart">
            <c:ext xmlns:c16="http://schemas.microsoft.com/office/drawing/2014/chart" uri="{C3380CC4-5D6E-409C-BE32-E72D297353CC}">
              <c16:uniqueId val="{00000000-4E53-444E-B10E-4968D65C6C1A}"/>
            </c:ext>
          </c:extLst>
        </c:ser>
        <c:dLbls>
          <c:showLegendKey val="0"/>
          <c:showVal val="0"/>
          <c:showCatName val="0"/>
          <c:showSerName val="0"/>
          <c:showPercent val="0"/>
          <c:showBubbleSize val="0"/>
        </c:dLbls>
        <c:gapWidth val="150"/>
        <c:axId val="75131904"/>
        <c:axId val="75145984"/>
      </c:barChart>
      <c:catAx>
        <c:axId val="75131904"/>
        <c:scaling>
          <c:orientation val="minMax"/>
        </c:scaling>
        <c:delete val="0"/>
        <c:axPos val="b"/>
        <c:numFmt formatCode="General" sourceLinked="1"/>
        <c:majorTickMark val="out"/>
        <c:minorTickMark val="none"/>
        <c:tickLblPos val="nextTo"/>
        <c:crossAx val="75145984"/>
        <c:crosses val="autoZero"/>
        <c:auto val="1"/>
        <c:lblAlgn val="ctr"/>
        <c:lblOffset val="100"/>
        <c:noMultiLvlLbl val="0"/>
      </c:catAx>
      <c:valAx>
        <c:axId val="75145984"/>
        <c:scaling>
          <c:orientation val="minMax"/>
          <c:max val="7000"/>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75131904"/>
        <c:crosses val="autoZero"/>
        <c:crossBetween val="between"/>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ZTE</a:t>
            </a:r>
          </a:p>
        </c:rich>
      </c:tx>
      <c:layout/>
      <c:overlay val="0"/>
    </c:title>
    <c:autoTitleDeleted val="0"/>
    <c:plotArea>
      <c:layout>
        <c:manualLayout>
          <c:layoutTarget val="inner"/>
          <c:xMode val="edge"/>
          <c:yMode val="edge"/>
          <c:x val="0.31278968899837239"/>
          <c:y val="0.11648183251381931"/>
          <c:w val="0.61629490168477541"/>
          <c:h val="0.78209660537105008"/>
        </c:manualLayout>
      </c:layout>
      <c:barChart>
        <c:barDir val="col"/>
        <c:grouping val="clustered"/>
        <c:varyColors val="0"/>
        <c:ser>
          <c:idx val="0"/>
          <c:order val="0"/>
          <c:tx>
            <c:strRef>
              <c:f>NEMs!$B$67</c:f>
              <c:strCache>
                <c:ptCount val="1"/>
              </c:strCache>
            </c:strRef>
          </c:tx>
          <c:invertIfNegative val="0"/>
          <c:cat>
            <c:numRef>
              <c:f>NEMs!$H$23:$L$23</c:f>
              <c:numCache>
                <c:formatCode>General</c:formatCode>
                <c:ptCount val="5"/>
                <c:pt idx="0">
                  <c:v>2015</c:v>
                </c:pt>
                <c:pt idx="1">
                  <c:v>2016</c:v>
                </c:pt>
                <c:pt idx="2">
                  <c:v>2017</c:v>
                </c:pt>
                <c:pt idx="3">
                  <c:v>2018</c:v>
                </c:pt>
                <c:pt idx="4">
                  <c:v>2019</c:v>
                </c:pt>
              </c:numCache>
            </c:numRef>
          </c:cat>
          <c:val>
            <c:numRef>
              <c:f>NEMs!$H$36:$L$36</c:f>
              <c:numCache>
                <c:formatCode>_("$"* #,##0_);_("$"* \(#,##0\);_("$"* "-"??_);_(@_)</c:formatCode>
                <c:ptCount val="5"/>
              </c:numCache>
            </c:numRef>
          </c:val>
          <c:extLst xmlns:c16r2="http://schemas.microsoft.com/office/drawing/2015/06/chart">
            <c:ext xmlns:c16="http://schemas.microsoft.com/office/drawing/2014/chart" uri="{C3380CC4-5D6E-409C-BE32-E72D297353CC}">
              <c16:uniqueId val="{00000000-D4D9-894C-8E12-E23CEF71F938}"/>
            </c:ext>
          </c:extLst>
        </c:ser>
        <c:dLbls>
          <c:showLegendKey val="0"/>
          <c:showVal val="0"/>
          <c:showCatName val="0"/>
          <c:showSerName val="0"/>
          <c:showPercent val="0"/>
          <c:showBubbleSize val="0"/>
        </c:dLbls>
        <c:gapWidth val="150"/>
        <c:axId val="75158272"/>
        <c:axId val="75159808"/>
      </c:barChart>
      <c:catAx>
        <c:axId val="75158272"/>
        <c:scaling>
          <c:orientation val="minMax"/>
        </c:scaling>
        <c:delete val="0"/>
        <c:axPos val="b"/>
        <c:numFmt formatCode="General" sourceLinked="1"/>
        <c:majorTickMark val="out"/>
        <c:minorTickMark val="none"/>
        <c:tickLblPos val="nextTo"/>
        <c:txPr>
          <a:bodyPr/>
          <a:lstStyle/>
          <a:p>
            <a:pPr>
              <a:defRPr sz="1000"/>
            </a:pPr>
            <a:endParaRPr lang="en-US"/>
          </a:p>
        </c:txPr>
        <c:crossAx val="75159808"/>
        <c:crosses val="autoZero"/>
        <c:auto val="1"/>
        <c:lblAlgn val="ctr"/>
        <c:lblOffset val="100"/>
        <c:noMultiLvlLbl val="0"/>
      </c:catAx>
      <c:valAx>
        <c:axId val="7515980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7515827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Wireless</a:t>
            </a:r>
          </a:p>
        </c:rich>
      </c:tx>
      <c:layout/>
      <c:overlay val="1"/>
    </c:title>
    <c:autoTitleDeleted val="0"/>
    <c:plotArea>
      <c:layout>
        <c:manualLayout>
          <c:layoutTarget val="inner"/>
          <c:xMode val="edge"/>
          <c:yMode val="edge"/>
          <c:x val="0.19065271425845101"/>
          <c:y val="8.9233625832477098E-2"/>
          <c:w val="0.62677951837979196"/>
          <c:h val="0.81059123065232597"/>
        </c:manualLayout>
      </c:layout>
      <c:barChart>
        <c:barDir val="col"/>
        <c:grouping val="stacked"/>
        <c:varyColors val="0"/>
        <c:ser>
          <c:idx val="5"/>
          <c:order val="0"/>
          <c:tx>
            <c:strRef>
              <c:f>Summary!$B$541</c:f>
              <c:strCache>
                <c:ptCount val="1"/>
                <c:pt idx="0">
                  <c:v>&lt;25 Gbps</c:v>
                </c:pt>
              </c:strCache>
            </c:strRef>
          </c:tx>
          <c:invertIfNegative val="0"/>
          <c:cat>
            <c:numRef>
              <c:f>Summary!$C$540:$L$540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Summary!$C$541:$L$541</c:f>
              <c:numCache>
                <c:formatCode>_(* #,##0_);_(* \(#,##0\);_(* "-"??_);_(@_)</c:formatCode>
                <c:ptCount val="10"/>
                <c:pt idx="0">
                  <c:v>11390120.661512379</c:v>
                </c:pt>
                <c:pt idx="1">
                  <c:v>7193790.5449723806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93B-CE45-B44E-3B23BC54F0F9}"/>
            </c:ext>
          </c:extLst>
        </c:ser>
        <c:ser>
          <c:idx val="4"/>
          <c:order val="1"/>
          <c:tx>
            <c:strRef>
              <c:f>Summary!$B$542</c:f>
              <c:strCache>
                <c:ptCount val="1"/>
                <c:pt idx="0">
                  <c:v>≥25 Gbps</c:v>
                </c:pt>
              </c:strCache>
            </c:strRef>
          </c:tx>
          <c:invertIfNegative val="0"/>
          <c:cat>
            <c:numRef>
              <c:f>Summary!$C$540:$L$540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Summary!$C$542:$L$542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3B-CE45-B44E-3B23BC54F0F9}"/>
            </c:ext>
          </c:extLst>
        </c:ser>
        <c:dLbls>
          <c:showLegendKey val="0"/>
          <c:showVal val="0"/>
          <c:showCatName val="0"/>
          <c:showSerName val="0"/>
          <c:showPercent val="0"/>
          <c:showBubbleSize val="0"/>
        </c:dLbls>
        <c:gapWidth val="150"/>
        <c:overlap val="100"/>
        <c:axId val="43213184"/>
        <c:axId val="43214720"/>
      </c:barChart>
      <c:catAx>
        <c:axId val="43213184"/>
        <c:scaling>
          <c:orientation val="minMax"/>
        </c:scaling>
        <c:delete val="0"/>
        <c:axPos val="b"/>
        <c:numFmt formatCode="General" sourceLinked="1"/>
        <c:majorTickMark val="out"/>
        <c:minorTickMark val="none"/>
        <c:tickLblPos val="nextTo"/>
        <c:txPr>
          <a:bodyPr/>
          <a:lstStyle/>
          <a:p>
            <a:pPr>
              <a:defRPr sz="1200" b="1"/>
            </a:pPr>
            <a:endParaRPr lang="en-US"/>
          </a:p>
        </c:txPr>
        <c:crossAx val="43214720"/>
        <c:crosses val="autoZero"/>
        <c:auto val="1"/>
        <c:lblAlgn val="ctr"/>
        <c:lblOffset val="100"/>
        <c:noMultiLvlLbl val="1"/>
      </c:catAx>
      <c:valAx>
        <c:axId val="43214720"/>
        <c:scaling>
          <c:orientation val="minMax"/>
          <c:min val="0"/>
        </c:scaling>
        <c:delete val="0"/>
        <c:axPos val="l"/>
        <c:majorGridlines/>
        <c:title>
          <c:tx>
            <c:rich>
              <a:bodyPr rot="-5400000" vert="horz"/>
              <a:lstStyle/>
              <a:p>
                <a:pPr>
                  <a:defRPr sz="1400"/>
                </a:pPr>
                <a:r>
                  <a:rPr lang="en-US" sz="1400"/>
                  <a:t>Unit shipments</a:t>
                </a:r>
              </a:p>
            </c:rich>
          </c:tx>
          <c:layout>
            <c:manualLayout>
              <c:xMode val="edge"/>
              <c:yMode val="edge"/>
              <c:x val="1.7679067018925899E-2"/>
              <c:y val="0.31109264585183"/>
            </c:manualLayout>
          </c:layout>
          <c:overlay val="0"/>
        </c:title>
        <c:numFmt formatCode="_(* #,##0_);_(* \(#,##0\);_(* &quot;-&quot;??_);_(@_)" sourceLinked="1"/>
        <c:majorTickMark val="out"/>
        <c:minorTickMark val="none"/>
        <c:tickLblPos val="nextTo"/>
        <c:txPr>
          <a:bodyPr/>
          <a:lstStyle/>
          <a:p>
            <a:pPr>
              <a:defRPr sz="1400" b="0"/>
            </a:pPr>
            <a:endParaRPr lang="en-US"/>
          </a:p>
        </c:txPr>
        <c:crossAx val="43213184"/>
        <c:crosses val="autoZero"/>
        <c:crossBetween val="between"/>
      </c:valAx>
    </c:plotArea>
    <c:legend>
      <c:legendPos val="r"/>
      <c:layout>
        <c:manualLayout>
          <c:xMode val="edge"/>
          <c:yMode val="edge"/>
          <c:x val="0.822456615213908"/>
          <c:y val="0.143075687777762"/>
          <c:w val="0.164642624679428"/>
          <c:h val="0.7529150156354560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Huawei</a:t>
            </a:r>
          </a:p>
        </c:rich>
      </c:tx>
      <c:layout/>
      <c:overlay val="0"/>
    </c:title>
    <c:autoTitleDeleted val="0"/>
    <c:plotArea>
      <c:layout>
        <c:manualLayout>
          <c:layoutTarget val="inner"/>
          <c:xMode val="edge"/>
          <c:yMode val="edge"/>
          <c:x val="0.31278968899837239"/>
          <c:y val="0.11648183251381931"/>
          <c:w val="0.61629490168477541"/>
          <c:h val="0.78209660537105008"/>
        </c:manualLayout>
      </c:layout>
      <c:barChart>
        <c:barDir val="col"/>
        <c:grouping val="clustered"/>
        <c:varyColors val="0"/>
        <c:ser>
          <c:idx val="0"/>
          <c:order val="0"/>
          <c:tx>
            <c:strRef>
              <c:f>NEMs!$B$67</c:f>
              <c:strCache>
                <c:ptCount val="1"/>
              </c:strCache>
            </c:strRef>
          </c:tx>
          <c:invertIfNegative val="0"/>
          <c:cat>
            <c:numRef>
              <c:f>NEMs!$H$23:$L$23</c:f>
              <c:numCache>
                <c:formatCode>General</c:formatCode>
                <c:ptCount val="5"/>
                <c:pt idx="0">
                  <c:v>2015</c:v>
                </c:pt>
                <c:pt idx="1">
                  <c:v>2016</c:v>
                </c:pt>
                <c:pt idx="2">
                  <c:v>2017</c:v>
                </c:pt>
                <c:pt idx="3">
                  <c:v>2018</c:v>
                </c:pt>
                <c:pt idx="4">
                  <c:v>2019</c:v>
                </c:pt>
              </c:numCache>
            </c:numRef>
          </c:cat>
          <c:val>
            <c:numRef>
              <c:f>NEMs!$H$32:$M$32</c:f>
              <c:numCache>
                <c:formatCode>_("$"* #,##0_);_("$"* \(#,##0\);_("$"* "-"??_);_(@_)</c:formatCode>
                <c:ptCount val="6"/>
              </c:numCache>
            </c:numRef>
          </c:val>
          <c:extLst xmlns:c16r2="http://schemas.microsoft.com/office/drawing/2015/06/chart">
            <c:ext xmlns:c16="http://schemas.microsoft.com/office/drawing/2014/chart" uri="{C3380CC4-5D6E-409C-BE32-E72D297353CC}">
              <c16:uniqueId val="{00000000-2E2C-6A47-9B3C-1CE953658FDA}"/>
            </c:ext>
          </c:extLst>
        </c:ser>
        <c:dLbls>
          <c:showLegendKey val="0"/>
          <c:showVal val="0"/>
          <c:showCatName val="0"/>
          <c:showSerName val="0"/>
          <c:showPercent val="0"/>
          <c:showBubbleSize val="0"/>
        </c:dLbls>
        <c:gapWidth val="150"/>
        <c:axId val="75176576"/>
        <c:axId val="75182464"/>
      </c:barChart>
      <c:catAx>
        <c:axId val="75176576"/>
        <c:scaling>
          <c:orientation val="minMax"/>
        </c:scaling>
        <c:delete val="0"/>
        <c:axPos val="b"/>
        <c:numFmt formatCode="General" sourceLinked="1"/>
        <c:majorTickMark val="out"/>
        <c:minorTickMark val="none"/>
        <c:tickLblPos val="nextTo"/>
        <c:txPr>
          <a:bodyPr/>
          <a:lstStyle/>
          <a:p>
            <a:pPr>
              <a:defRPr sz="1000"/>
            </a:pPr>
            <a:endParaRPr lang="en-US"/>
          </a:p>
        </c:txPr>
        <c:crossAx val="75182464"/>
        <c:crosses val="autoZero"/>
        <c:auto val="1"/>
        <c:lblAlgn val="ctr"/>
        <c:lblOffset val="100"/>
        <c:noMultiLvlLbl val="0"/>
      </c:catAx>
      <c:valAx>
        <c:axId val="75182464"/>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75176576"/>
        <c:crosses val="autoZero"/>
        <c:crossBetween val="between"/>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FiberHome</a:t>
            </a:r>
          </a:p>
        </c:rich>
      </c:tx>
      <c:layout/>
      <c:overlay val="0"/>
    </c:title>
    <c:autoTitleDeleted val="0"/>
    <c:plotArea>
      <c:layout>
        <c:manualLayout>
          <c:layoutTarget val="inner"/>
          <c:xMode val="edge"/>
          <c:yMode val="edge"/>
          <c:x val="0.31278968899837239"/>
          <c:y val="0.11648183251381931"/>
          <c:w val="0.61629490168477541"/>
          <c:h val="0.78209660537105008"/>
        </c:manualLayout>
      </c:layout>
      <c:barChart>
        <c:barDir val="col"/>
        <c:grouping val="clustered"/>
        <c:varyColors val="0"/>
        <c:ser>
          <c:idx val="0"/>
          <c:order val="0"/>
          <c:tx>
            <c:strRef>
              <c:f>NEMs!$B$67</c:f>
              <c:strCache>
                <c:ptCount val="1"/>
              </c:strCache>
            </c:strRef>
          </c:tx>
          <c:invertIfNegative val="0"/>
          <c:cat>
            <c:numRef>
              <c:f>NEMs!$H$23:$L$23</c:f>
              <c:numCache>
                <c:formatCode>General</c:formatCode>
                <c:ptCount val="5"/>
                <c:pt idx="0">
                  <c:v>2015</c:v>
                </c:pt>
                <c:pt idx="1">
                  <c:v>2016</c:v>
                </c:pt>
                <c:pt idx="2">
                  <c:v>2017</c:v>
                </c:pt>
                <c:pt idx="3">
                  <c:v>2018</c:v>
                </c:pt>
                <c:pt idx="4">
                  <c:v>2019</c:v>
                </c:pt>
              </c:numCache>
            </c:numRef>
          </c:cat>
          <c:val>
            <c:numRef>
              <c:f>NEMs!$H$29:$L$29</c:f>
              <c:numCache>
                <c:formatCode>_("$"* #,##0_);_("$"* \(#,##0\);_("$"* "-"??_);_(@_)</c:formatCode>
                <c:ptCount val="5"/>
              </c:numCache>
            </c:numRef>
          </c:val>
          <c:extLst xmlns:c16r2="http://schemas.microsoft.com/office/drawing/2015/06/chart">
            <c:ext xmlns:c16="http://schemas.microsoft.com/office/drawing/2014/chart" uri="{C3380CC4-5D6E-409C-BE32-E72D297353CC}">
              <c16:uniqueId val="{00000000-7C3C-DA46-8B29-3629D224F7E7}"/>
            </c:ext>
          </c:extLst>
        </c:ser>
        <c:dLbls>
          <c:showLegendKey val="0"/>
          <c:showVal val="0"/>
          <c:showCatName val="0"/>
          <c:showSerName val="0"/>
          <c:showPercent val="0"/>
          <c:showBubbleSize val="0"/>
        </c:dLbls>
        <c:gapWidth val="150"/>
        <c:axId val="75211520"/>
        <c:axId val="75213056"/>
      </c:barChart>
      <c:catAx>
        <c:axId val="75211520"/>
        <c:scaling>
          <c:orientation val="minMax"/>
        </c:scaling>
        <c:delete val="0"/>
        <c:axPos val="b"/>
        <c:numFmt formatCode="General" sourceLinked="1"/>
        <c:majorTickMark val="out"/>
        <c:minorTickMark val="none"/>
        <c:tickLblPos val="nextTo"/>
        <c:txPr>
          <a:bodyPr/>
          <a:lstStyle/>
          <a:p>
            <a:pPr>
              <a:defRPr sz="1000"/>
            </a:pPr>
            <a:endParaRPr lang="en-US"/>
          </a:p>
        </c:txPr>
        <c:crossAx val="75213056"/>
        <c:crosses val="autoZero"/>
        <c:auto val="1"/>
        <c:lblAlgn val="ctr"/>
        <c:lblOffset val="100"/>
        <c:noMultiLvlLbl val="0"/>
      </c:catAx>
      <c:valAx>
        <c:axId val="75213056"/>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75211520"/>
        <c:crosses val="autoZero"/>
        <c:crossBetween val="between"/>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2308672651179"/>
          <c:y val="4.1139495339340602E-2"/>
          <c:w val="0.79869475526615019"/>
          <c:h val="0.86603361370036602"/>
        </c:manualLayout>
      </c:layout>
      <c:barChart>
        <c:barDir val="col"/>
        <c:grouping val="clustered"/>
        <c:varyColors val="0"/>
        <c:ser>
          <c:idx val="0"/>
          <c:order val="0"/>
          <c:tx>
            <c:strRef>
              <c:f>NEMs!$B$33</c:f>
              <c:strCache>
                <c:ptCount val="1"/>
                <c:pt idx="0">
                  <c:v>Inspur</c:v>
                </c:pt>
              </c:strCache>
            </c:strRef>
          </c:tx>
          <c:invertIfNegative val="0"/>
          <c:cat>
            <c:numRef>
              <c:f>NEMs!$C$23:$K$23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NEMs!$C$33:$K$33</c:f>
              <c:numCache>
                <c:formatCode>_("$"* #,##0_);_("$"* \(#,##0\);_("$"* "-"??_);_(@_)</c:formatCode>
                <c:ptCount val="9"/>
                <c:pt idx="0">
                  <c:v>159.46888674376706</c:v>
                </c:pt>
                <c:pt idx="1">
                  <c:v>190.46858458663928</c:v>
                </c:pt>
              </c:numCache>
            </c:numRef>
          </c:val>
          <c:extLst xmlns:c16r2="http://schemas.microsoft.com/office/drawing/2015/06/chart">
            <c:ext xmlns:c16="http://schemas.microsoft.com/office/drawing/2014/chart" uri="{C3380CC4-5D6E-409C-BE32-E72D297353CC}">
              <c16:uniqueId val="{00000000-28FC-C74D-BA74-6D744AFE8B33}"/>
            </c:ext>
          </c:extLst>
        </c:ser>
        <c:ser>
          <c:idx val="1"/>
          <c:order val="1"/>
          <c:tx>
            <c:strRef>
              <c:f>NEMs!$B$30</c:f>
              <c:strCache>
                <c:ptCount val="1"/>
                <c:pt idx="0">
                  <c:v>H3C</c:v>
                </c:pt>
              </c:strCache>
            </c:strRef>
          </c:tx>
          <c:invertIfNegative val="0"/>
          <c:val>
            <c:numRef>
              <c:f>NEMs!$C$30:$K$30</c:f>
              <c:numCache>
                <c:formatCode>_("$"* #,##0_);_("$"* \(#,##0\);_("$"* "-"??_);_(@_)</c:formatCode>
                <c:ptCount val="9"/>
                <c:pt idx="0">
                  <c:v>642.59618007016593</c:v>
                </c:pt>
                <c:pt idx="1">
                  <c:v>821.03854588644595</c:v>
                </c:pt>
              </c:numCache>
            </c:numRef>
          </c:val>
          <c:extLst xmlns:c16r2="http://schemas.microsoft.com/office/drawing/2015/06/chart">
            <c:ext xmlns:c16="http://schemas.microsoft.com/office/drawing/2014/chart" uri="{C3380CC4-5D6E-409C-BE32-E72D297353CC}">
              <c16:uniqueId val="{00000001-28FC-C74D-BA74-6D744AFE8B33}"/>
            </c:ext>
          </c:extLst>
        </c:ser>
        <c:dLbls>
          <c:showLegendKey val="0"/>
          <c:showVal val="0"/>
          <c:showCatName val="0"/>
          <c:showSerName val="0"/>
          <c:showPercent val="0"/>
          <c:showBubbleSize val="0"/>
        </c:dLbls>
        <c:gapWidth val="150"/>
        <c:axId val="75231232"/>
        <c:axId val="75232768"/>
      </c:barChart>
      <c:catAx>
        <c:axId val="75231232"/>
        <c:scaling>
          <c:orientation val="minMax"/>
        </c:scaling>
        <c:delete val="0"/>
        <c:axPos val="b"/>
        <c:numFmt formatCode="General" sourceLinked="1"/>
        <c:majorTickMark val="out"/>
        <c:minorTickMark val="none"/>
        <c:tickLblPos val="nextTo"/>
        <c:crossAx val="75232768"/>
        <c:crosses val="autoZero"/>
        <c:auto val="1"/>
        <c:lblAlgn val="ctr"/>
        <c:lblOffset val="100"/>
        <c:noMultiLvlLbl val="0"/>
      </c:catAx>
      <c:valAx>
        <c:axId val="75232768"/>
        <c:scaling>
          <c:orientation val="minMax"/>
          <c:max val="8000"/>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75231232"/>
        <c:crosses val="autoZero"/>
        <c:crossBetween val="between"/>
      </c:valAx>
    </c:plotArea>
    <c:legend>
      <c:legendPos val="r"/>
      <c:layout>
        <c:manualLayout>
          <c:xMode val="edge"/>
          <c:yMode val="edge"/>
          <c:x val="0.23541693202230854"/>
          <c:y val="0.11979541641460616"/>
          <c:w val="0.17764257708839434"/>
          <c:h val="0.25879515706939327"/>
        </c:manualLayout>
      </c:layout>
      <c:overlay val="0"/>
      <c:spPr>
        <a:solidFill>
          <a:schemeClr val="bg1"/>
        </a:solidFill>
        <a:ln>
          <a:solidFill>
            <a:schemeClr val="tx1">
              <a:lumMod val="65000"/>
              <a:lumOff val="35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Top 5 Chinese OC makers</a:t>
            </a:r>
          </a:p>
        </c:rich>
      </c:tx>
      <c:layout/>
      <c:overlay val="1"/>
    </c:title>
    <c:autoTitleDeleted val="0"/>
    <c:plotArea>
      <c:layout>
        <c:manualLayout>
          <c:layoutTarget val="inner"/>
          <c:xMode val="edge"/>
          <c:yMode val="edge"/>
          <c:x val="0.113698907039605"/>
          <c:y val="0.154665558026505"/>
          <c:w val="0.86839064519920095"/>
          <c:h val="0.71409705913212096"/>
        </c:manualLayout>
      </c:layout>
      <c:lineChart>
        <c:grouping val="standard"/>
        <c:varyColors val="0"/>
        <c:ser>
          <c:idx val="2"/>
          <c:order val="0"/>
          <c:tx>
            <c:strRef>
              <c:f>'OC vendors'!$B$26</c:f>
              <c:strCache>
                <c:ptCount val="1"/>
                <c:pt idx="0">
                  <c:v>Accelink</c:v>
                </c:pt>
              </c:strCache>
            </c:strRef>
          </c:tx>
          <c:spPr>
            <a:effectLst/>
          </c:spPr>
          <c:marker>
            <c:symbol val="none"/>
          </c:marker>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vendors'!$C$26:$M$26</c:f>
              <c:numCache>
                <c:formatCode>"$"#,##0_);[Red]\("$"#,##0\)</c:formatCode>
                <c:ptCount val="11"/>
                <c:pt idx="0">
                  <c:v>134.80454589121558</c:v>
                </c:pt>
                <c:pt idx="1">
                  <c:v>166.59442961225994</c:v>
                </c:pt>
              </c:numCache>
            </c:numRef>
          </c:val>
          <c:smooth val="0"/>
          <c:extLst xmlns:c16r2="http://schemas.microsoft.com/office/drawing/2015/06/chart">
            <c:ext xmlns:c16="http://schemas.microsoft.com/office/drawing/2014/chart" uri="{C3380CC4-5D6E-409C-BE32-E72D297353CC}">
              <c16:uniqueId val="{00000002-378B-B34E-815C-0AFF278E12D3}"/>
            </c:ext>
          </c:extLst>
        </c:ser>
        <c:ser>
          <c:idx val="0"/>
          <c:order val="1"/>
          <c:tx>
            <c:strRef>
              <c:f>'OC vendors'!$B$32</c:f>
              <c:strCache>
                <c:ptCount val="1"/>
                <c:pt idx="0">
                  <c:v>Innolight</c:v>
                </c:pt>
              </c:strCache>
            </c:strRef>
          </c:tx>
          <c:spPr>
            <a:effectLst/>
          </c:spPr>
          <c:marker>
            <c:symbol val="none"/>
          </c:marker>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vendors'!$C$32:$M$32</c:f>
              <c:numCache>
                <c:formatCode>"$"#,##0</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0-378B-B34E-815C-0AFF278E12D3}"/>
            </c:ext>
          </c:extLst>
        </c:ser>
        <c:ser>
          <c:idx val="1"/>
          <c:order val="2"/>
          <c:tx>
            <c:strRef>
              <c:f>'OC vendors'!$B$31</c:f>
              <c:strCache>
                <c:ptCount val="1"/>
                <c:pt idx="0">
                  <c:v>Hi-Sense</c:v>
                </c:pt>
              </c:strCache>
            </c:strRef>
          </c:tx>
          <c:spPr>
            <a:effectLst/>
          </c:spPr>
          <c:marker>
            <c:symbol val="none"/>
          </c:marker>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vendors'!$C$31:$M$31</c:f>
              <c:numCache>
                <c:formatCode>"$"#,##0</c:formatCode>
                <c:ptCount val="11"/>
                <c:pt idx="0">
                  <c:v>53</c:v>
                </c:pt>
                <c:pt idx="1">
                  <c:v>154.959</c:v>
                </c:pt>
              </c:numCache>
            </c:numRef>
          </c:val>
          <c:smooth val="0"/>
          <c:extLst xmlns:c16r2="http://schemas.microsoft.com/office/drawing/2015/06/chart">
            <c:ext xmlns:c16="http://schemas.microsoft.com/office/drawing/2014/chart" uri="{C3380CC4-5D6E-409C-BE32-E72D297353CC}">
              <c16:uniqueId val="{00000001-378B-B34E-815C-0AFF278E12D3}"/>
            </c:ext>
          </c:extLst>
        </c:ser>
        <c:ser>
          <c:idx val="3"/>
          <c:order val="3"/>
          <c:tx>
            <c:strRef>
              <c:f>'OC vendors'!$B$33</c:f>
              <c:strCache>
                <c:ptCount val="1"/>
                <c:pt idx="0">
                  <c:v>O-Net</c:v>
                </c:pt>
              </c:strCache>
            </c:strRef>
          </c:tx>
          <c:marker>
            <c:symbol val="none"/>
          </c:marker>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vendors'!$C$33:$M$33</c:f>
              <c:numCache>
                <c:formatCode>"$"#,##0_);[Red]\("$"#,##0\)</c:formatCode>
                <c:ptCount val="11"/>
                <c:pt idx="0">
                  <c:v>85.033501542229033</c:v>
                </c:pt>
                <c:pt idx="1">
                  <c:v>85.936653610212588</c:v>
                </c:pt>
              </c:numCache>
            </c:numRef>
          </c:val>
          <c:smooth val="0"/>
          <c:extLst xmlns:c16r2="http://schemas.microsoft.com/office/drawing/2015/06/chart">
            <c:ext xmlns:c16="http://schemas.microsoft.com/office/drawing/2014/chart" uri="{C3380CC4-5D6E-409C-BE32-E72D297353CC}">
              <c16:uniqueId val="{00000003-378B-B34E-815C-0AFF278E12D3}"/>
            </c:ext>
          </c:extLst>
        </c:ser>
        <c:ser>
          <c:idx val="4"/>
          <c:order val="4"/>
          <c:tx>
            <c:strRef>
              <c:f>'OC vendors'!$B$29</c:f>
              <c:strCache>
                <c:ptCount val="1"/>
                <c:pt idx="0">
                  <c:v>HG Genuine</c:v>
                </c:pt>
              </c:strCache>
            </c:strRef>
          </c:tx>
          <c:marker>
            <c:symbol val="none"/>
          </c:marker>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vendors'!$C$29:$M$29</c:f>
              <c:numCache>
                <c:formatCode>"$"#,##0</c:formatCode>
                <c:ptCount val="11"/>
                <c:pt idx="0">
                  <c:v>63</c:v>
                </c:pt>
                <c:pt idx="1">
                  <c:v>71.352008850000004</c:v>
                </c:pt>
              </c:numCache>
            </c:numRef>
          </c:val>
          <c:smooth val="0"/>
          <c:extLst xmlns:c16r2="http://schemas.microsoft.com/office/drawing/2015/06/chart">
            <c:ext xmlns:c16="http://schemas.microsoft.com/office/drawing/2014/chart" uri="{C3380CC4-5D6E-409C-BE32-E72D297353CC}">
              <c16:uniqueId val="{00000004-378B-B34E-815C-0AFF278E12D3}"/>
            </c:ext>
          </c:extLst>
        </c:ser>
        <c:dLbls>
          <c:showLegendKey val="0"/>
          <c:showVal val="0"/>
          <c:showCatName val="0"/>
          <c:showSerName val="0"/>
          <c:showPercent val="0"/>
          <c:showBubbleSize val="0"/>
        </c:dLbls>
        <c:marker val="1"/>
        <c:smooth val="0"/>
        <c:axId val="75729920"/>
        <c:axId val="75739904"/>
      </c:lineChart>
      <c:catAx>
        <c:axId val="7572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9904"/>
        <c:crosses val="autoZero"/>
        <c:auto val="1"/>
        <c:lblAlgn val="ctr"/>
        <c:lblOffset val="100"/>
        <c:noMultiLvlLbl val="0"/>
      </c:catAx>
      <c:valAx>
        <c:axId val="75739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29920"/>
        <c:crosses val="autoZero"/>
        <c:crossBetween val="between"/>
      </c:valAx>
      <c:spPr>
        <a:noFill/>
        <a:ln>
          <a:noFill/>
        </a:ln>
        <a:effectLst/>
      </c:spPr>
    </c:plotArea>
    <c:legend>
      <c:legendPos val="t"/>
      <c:layout>
        <c:manualLayout>
          <c:xMode val="edge"/>
          <c:yMode val="edge"/>
          <c:x val="0.121641791044776"/>
          <c:y val="0.16030053194216901"/>
          <c:w val="0.27313432835820894"/>
          <c:h val="0.370069397823794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264691467138036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vendors'!$C$36:$M$36</c:f>
              <c:numCache>
                <c:formatCode>"$"#,##0_);[Red]\("$"#,##0\)</c:formatCode>
                <c:ptCount val="11"/>
                <c:pt idx="0">
                  <c:v>476.32622243344463</c:v>
                </c:pt>
                <c:pt idx="1">
                  <c:v>665.23959207247253</c:v>
                </c:pt>
              </c:numCache>
            </c:numRef>
          </c:val>
          <c:extLst xmlns:c16r2="http://schemas.microsoft.com/office/drawing/2015/06/chart">
            <c:ext xmlns:c16="http://schemas.microsoft.com/office/drawing/2014/chart" uri="{C3380CC4-5D6E-409C-BE32-E72D297353CC}">
              <c16:uniqueId val="{00000000-1D9A-BB4B-8BFB-695F78140E3F}"/>
            </c:ext>
          </c:extLst>
        </c:ser>
        <c:ser>
          <c:idx val="1"/>
          <c:order val="1"/>
          <c:tx>
            <c:strRef>
              <c:f>'OC vendors'!$B$39</c:f>
              <c:strCache>
                <c:ptCount val="1"/>
                <c:pt idx="0">
                  <c:v>Non-Chinese Suppliers</c:v>
                </c:pt>
              </c:strCache>
            </c:strRef>
          </c:tx>
          <c:invertIfNegative val="0"/>
          <c:cat>
            <c:strRef>
              <c:f>'OC vendors'!$C$25:$M$25</c:f>
              <c:strCache>
                <c:ptCount val="11"/>
                <c:pt idx="0">
                  <c:v>2010</c:v>
                </c:pt>
                <c:pt idx="1">
                  <c:v>2011</c:v>
                </c:pt>
                <c:pt idx="2">
                  <c:v>2012</c:v>
                </c:pt>
                <c:pt idx="3">
                  <c:v>2013</c:v>
                </c:pt>
                <c:pt idx="4">
                  <c:v>2014</c:v>
                </c:pt>
                <c:pt idx="5">
                  <c:v>2015</c:v>
                </c:pt>
                <c:pt idx="6">
                  <c:v>2016</c:v>
                </c:pt>
                <c:pt idx="7">
                  <c:v>2017</c:v>
                </c:pt>
                <c:pt idx="8">
                  <c:v>2018</c:v>
                </c:pt>
                <c:pt idx="9">
                  <c:v>2019</c:v>
                </c:pt>
                <c:pt idx="10">
                  <c:v>2020E</c:v>
                </c:pt>
              </c:strCache>
            </c:strRef>
          </c:cat>
          <c:val>
            <c:numRef>
              <c:f>'OC vendors'!$C$51:$L$51</c:f>
              <c:numCache>
                <c:formatCode>"$"#,##0_);[Red]\("$"#,##0\)</c:formatCode>
                <c:ptCount val="10"/>
                <c:pt idx="0">
                  <c:v>2350.6763462057438</c:v>
                </c:pt>
                <c:pt idx="1">
                  <c:v>2512.6015416865475</c:v>
                </c:pt>
              </c:numCache>
            </c:numRef>
          </c:val>
          <c:extLst xmlns:c16r2="http://schemas.microsoft.com/office/drawing/2015/06/chart">
            <c:ext xmlns:c16="http://schemas.microsoft.com/office/drawing/2014/chart" uri="{C3380CC4-5D6E-409C-BE32-E72D297353CC}">
              <c16:uniqueId val="{00000001-1D9A-BB4B-8BFB-695F78140E3F}"/>
            </c:ext>
          </c:extLst>
        </c:ser>
        <c:dLbls>
          <c:showLegendKey val="0"/>
          <c:showVal val="0"/>
          <c:showCatName val="0"/>
          <c:showSerName val="0"/>
          <c:showPercent val="0"/>
          <c:showBubbleSize val="0"/>
        </c:dLbls>
        <c:gapWidth val="219"/>
        <c:overlap val="-27"/>
        <c:axId val="79616256"/>
        <c:axId val="79622144"/>
      </c:barChart>
      <c:catAx>
        <c:axId val="7961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2144"/>
        <c:crosses val="autoZero"/>
        <c:auto val="1"/>
        <c:lblAlgn val="ctr"/>
        <c:lblOffset val="100"/>
        <c:noMultiLvlLbl val="0"/>
      </c:catAx>
      <c:valAx>
        <c:axId val="7962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16256"/>
        <c:crosses val="autoZero"/>
        <c:crossBetween val="between"/>
        <c:majorUnit val="1000"/>
      </c:valAx>
      <c:spPr>
        <a:noFill/>
        <a:ln>
          <a:noFill/>
        </a:ln>
        <a:effectLst/>
      </c:spPr>
    </c:plotArea>
    <c:legend>
      <c:legendPos val="r"/>
      <c:layout>
        <c:manualLayout>
          <c:xMode val="edge"/>
          <c:yMode val="edge"/>
          <c:x val="0.15540027750311816"/>
          <c:y val="8.167673315179963E-2"/>
          <c:w val="0.34243182133719435"/>
          <c:h val="0.16456853607584765"/>
        </c:manualLayout>
      </c:layout>
      <c:overlay val="0"/>
      <c:spPr>
        <a:solidFill>
          <a:schemeClr val="bg1"/>
        </a:solidFill>
        <a:ln>
          <a:solidFill>
            <a:schemeClr val="tx1">
              <a:lumMod val="75000"/>
              <a:lumOff val="25000"/>
            </a:schemeClr>
          </a:solidFill>
        </a:ln>
      </c:spPr>
      <c:txPr>
        <a:bodyPr/>
        <a:lstStyle/>
        <a:p>
          <a:pPr>
            <a:defRPr sz="1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30047728374"/>
          <c:y val="5.1400554097404502E-2"/>
          <c:w val="0.834959457615433"/>
          <c:h val="0.83261956838728501"/>
        </c:manualLayout>
      </c:layout>
      <c:barChart>
        <c:barDir val="col"/>
        <c:grouping val="stacked"/>
        <c:varyColors val="0"/>
        <c:ser>
          <c:idx val="0"/>
          <c:order val="0"/>
          <c:tx>
            <c:strRef>
              <c:f>'Report data'!$B$79</c:f>
              <c:strCache>
                <c:ptCount val="1"/>
                <c:pt idx="0">
                  <c:v>China</c:v>
                </c:pt>
              </c:strCache>
            </c:strRef>
          </c:tx>
          <c:invertIfNegative val="0"/>
          <c:cat>
            <c:numRef>
              <c:f>'Report data'!$C$78:$P$78</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'Report data'!$C$79:$P$79</c:f>
              <c:numCache>
                <c:formatCode>_(* #,##0_);_(* \(#,##0\);_(* "-"??_);_(@_)</c:formatCode>
                <c:ptCount val="14"/>
                <c:pt idx="0">
                  <c:v>20.320880000000002</c:v>
                </c:pt>
                <c:pt idx="1">
                  <c:v>40.823000000000008</c:v>
                </c:pt>
                <c:pt idx="2">
                  <c:v>68.316000000000003</c:v>
                </c:pt>
              </c:numCache>
            </c:numRef>
          </c:val>
          <c:extLst xmlns:c16r2="http://schemas.microsoft.com/office/drawing/2015/06/chart">
            <c:ext xmlns:c16="http://schemas.microsoft.com/office/drawing/2014/chart" uri="{C3380CC4-5D6E-409C-BE32-E72D297353CC}">
              <c16:uniqueId val="{00000000-4B36-E348-9D56-77DB3FE6C5D7}"/>
            </c:ext>
          </c:extLst>
        </c:ser>
        <c:ser>
          <c:idx val="1"/>
          <c:order val="1"/>
          <c:tx>
            <c:strRef>
              <c:f>'Report data'!$B$80</c:f>
              <c:strCache>
                <c:ptCount val="1"/>
                <c:pt idx="0">
                  <c:v>Rest of World</c:v>
                </c:pt>
              </c:strCache>
            </c:strRef>
          </c:tx>
          <c:invertIfNegative val="0"/>
          <c:cat>
            <c:numRef>
              <c:f>'Report data'!$C$78:$P$78</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'Report data'!$C$80:$P$80</c:f>
              <c:numCache>
                <c:formatCode>_(* #,##0_);_(* \(#,##0\);_(* "-"??_);_(@_)</c:formatCode>
                <c:ptCount val="14"/>
                <c:pt idx="0">
                  <c:v>84.679119999999998</c:v>
                </c:pt>
                <c:pt idx="1">
                  <c:v>109.17699999999999</c:v>
                </c:pt>
                <c:pt idx="2">
                  <c:v>116.684</c:v>
                </c:pt>
              </c:numCache>
            </c:numRef>
          </c:val>
          <c:extLst xmlns:c16r2="http://schemas.microsoft.com/office/drawing/2015/06/chart">
            <c:ext xmlns:c16="http://schemas.microsoft.com/office/drawing/2014/chart" uri="{C3380CC4-5D6E-409C-BE32-E72D297353CC}">
              <c16:uniqueId val="{00000001-4B36-E348-9D56-77DB3FE6C5D7}"/>
            </c:ext>
          </c:extLst>
        </c:ser>
        <c:dLbls>
          <c:showLegendKey val="0"/>
          <c:showVal val="0"/>
          <c:showCatName val="0"/>
          <c:showSerName val="0"/>
          <c:showPercent val="0"/>
          <c:showBubbleSize val="0"/>
        </c:dLbls>
        <c:gapWidth val="150"/>
        <c:overlap val="100"/>
        <c:axId val="81721216"/>
        <c:axId val="81722752"/>
      </c:barChart>
      <c:catAx>
        <c:axId val="81721216"/>
        <c:scaling>
          <c:orientation val="minMax"/>
        </c:scaling>
        <c:delete val="0"/>
        <c:axPos val="b"/>
        <c:numFmt formatCode="General" sourceLinked="1"/>
        <c:majorTickMark val="out"/>
        <c:minorTickMark val="none"/>
        <c:tickLblPos val="nextTo"/>
        <c:txPr>
          <a:bodyPr/>
          <a:lstStyle/>
          <a:p>
            <a:pPr>
              <a:defRPr sz="1000"/>
            </a:pPr>
            <a:endParaRPr lang="en-US"/>
          </a:p>
        </c:txPr>
        <c:crossAx val="81722752"/>
        <c:crosses val="autoZero"/>
        <c:auto val="1"/>
        <c:lblAlgn val="ctr"/>
        <c:lblOffset val="100"/>
        <c:noMultiLvlLbl val="0"/>
      </c:catAx>
      <c:valAx>
        <c:axId val="81722752"/>
        <c:scaling>
          <c:orientation val="minMax"/>
        </c:scaling>
        <c:delete val="0"/>
        <c:axPos val="l"/>
        <c:majorGridlines/>
        <c:title>
          <c:tx>
            <c:rich>
              <a:bodyPr rot="-5400000" vert="horz"/>
              <a:lstStyle/>
              <a:p>
                <a:pPr>
                  <a:defRPr sz="1050" b="0"/>
                </a:pPr>
                <a:r>
                  <a:rPr lang="en-US" sz="1050" b="0"/>
                  <a:t>FTTx subscriptions (millions)</a:t>
                </a:r>
              </a:p>
            </c:rich>
          </c:tx>
          <c:layout/>
          <c:overlay val="0"/>
        </c:title>
        <c:numFmt formatCode="_(* #,##0_);_(* \(#,##0\);_(* &quot;-&quot;??_);_(@_)" sourceLinked="1"/>
        <c:majorTickMark val="out"/>
        <c:minorTickMark val="none"/>
        <c:tickLblPos val="nextTo"/>
        <c:crossAx val="81721216"/>
        <c:crosses val="autoZero"/>
        <c:crossBetween val="between"/>
      </c:valAx>
    </c:plotArea>
    <c:legend>
      <c:legendPos val="r"/>
      <c:layout>
        <c:manualLayout>
          <c:xMode val="edge"/>
          <c:yMode val="edge"/>
          <c:x val="0.15999199606107301"/>
          <c:y val="7.6988020316309899E-2"/>
          <c:w val="0.19414718948427701"/>
          <c:h val="0.167081795314141"/>
        </c:manualLayout>
      </c:layout>
      <c:overlay val="0"/>
      <c:spPr>
        <a:solidFill>
          <a:schemeClr val="bg1"/>
        </a:solidFill>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 data'!$B$106</c:f>
              <c:strCache>
                <c:ptCount val="1"/>
                <c:pt idx="0">
                  <c:v>China mobile data traffic</c:v>
                </c:pt>
              </c:strCache>
            </c:strRef>
          </c:tx>
          <c:cat>
            <c:numRef>
              <c:f>'Report data'!$D$105:$P$105</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'Report data'!$D$106:$L$106</c:f>
              <c:numCache>
                <c:formatCode>0%</c:formatCode>
                <c:ptCount val="9"/>
                <c:pt idx="0">
                  <c:v>0.62576040530296018</c:v>
                </c:pt>
                <c:pt idx="1">
                  <c:v>0.50283192684757627</c:v>
                </c:pt>
                <c:pt idx="2">
                  <c:v>0.56072439419394882</c:v>
                </c:pt>
              </c:numCache>
            </c:numRef>
          </c:val>
          <c:smooth val="0"/>
          <c:extLst xmlns:c16r2="http://schemas.microsoft.com/office/drawing/2015/06/chart">
            <c:ext xmlns:c16="http://schemas.microsoft.com/office/drawing/2014/chart" uri="{C3380CC4-5D6E-409C-BE32-E72D297353CC}">
              <c16:uniqueId val="{00000000-1EC0-4D44-ABBC-3F2E4DA4AB32}"/>
            </c:ext>
          </c:extLst>
        </c:ser>
        <c:ser>
          <c:idx val="1"/>
          <c:order val="1"/>
          <c:tx>
            <c:strRef>
              <c:f>'Report data'!$B$107</c:f>
              <c:strCache>
                <c:ptCount val="1"/>
                <c:pt idx="0">
                  <c:v>Global mobile traffic</c:v>
                </c:pt>
              </c:strCache>
            </c:strRef>
          </c:tx>
          <c:cat>
            <c:numRef>
              <c:f>'Report data'!$D$105:$P$105</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'Report data'!$D$107:$P$107</c:f>
              <c:numCache>
                <c:formatCode>0%</c:formatCode>
                <c:ptCount val="13"/>
                <c:pt idx="0">
                  <c:v>0.37</c:v>
                </c:pt>
                <c:pt idx="1">
                  <c:v>0.36</c:v>
                </c:pt>
                <c:pt idx="2">
                  <c:v>0.35</c:v>
                </c:pt>
              </c:numCache>
            </c:numRef>
          </c:val>
          <c:smooth val="0"/>
          <c:extLst xmlns:c16r2="http://schemas.microsoft.com/office/drawing/2015/06/chart">
            <c:ext xmlns:c16="http://schemas.microsoft.com/office/drawing/2014/chart" uri="{C3380CC4-5D6E-409C-BE32-E72D297353CC}">
              <c16:uniqueId val="{00000001-1EC0-4D44-ABBC-3F2E4DA4AB32}"/>
            </c:ext>
          </c:extLst>
        </c:ser>
        <c:ser>
          <c:idx val="2"/>
          <c:order val="2"/>
          <c:tx>
            <c:strRef>
              <c:f>'Report data'!$B$108</c:f>
              <c:strCache>
                <c:ptCount val="1"/>
                <c:pt idx="0">
                  <c:v>Internet traffic (total)</c:v>
                </c:pt>
              </c:strCache>
            </c:strRef>
          </c:tx>
          <c:cat>
            <c:numRef>
              <c:f>'Report data'!$D$105:$P$105</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'Report data'!$D$108:$P$108</c:f>
              <c:numCache>
                <c:formatCode>0%</c:formatCode>
                <c:ptCount val="13"/>
                <c:pt idx="0">
                  <c:v>1.5957446808510638</c:v>
                </c:pt>
                <c:pt idx="1">
                  <c:v>1.3704918032786884</c:v>
                </c:pt>
                <c:pt idx="2">
                  <c:v>0.77593360995850635</c:v>
                </c:pt>
              </c:numCache>
            </c:numRef>
          </c:val>
          <c:smooth val="0"/>
          <c:extLst xmlns:c16r2="http://schemas.microsoft.com/office/drawing/2015/06/chart">
            <c:ext xmlns:c16="http://schemas.microsoft.com/office/drawing/2014/chart" uri="{C3380CC4-5D6E-409C-BE32-E72D297353CC}">
              <c16:uniqueId val="{00000002-1EC0-4D44-ABBC-3F2E4DA4AB32}"/>
            </c:ext>
          </c:extLst>
        </c:ser>
        <c:dLbls>
          <c:showLegendKey val="0"/>
          <c:showVal val="0"/>
          <c:showCatName val="0"/>
          <c:showSerName val="0"/>
          <c:showPercent val="0"/>
          <c:showBubbleSize val="0"/>
        </c:dLbls>
        <c:marker val="1"/>
        <c:smooth val="0"/>
        <c:axId val="82155776"/>
        <c:axId val="82161664"/>
      </c:lineChart>
      <c:catAx>
        <c:axId val="82155776"/>
        <c:scaling>
          <c:orientation val="minMax"/>
        </c:scaling>
        <c:delete val="0"/>
        <c:axPos val="b"/>
        <c:numFmt formatCode="General" sourceLinked="1"/>
        <c:majorTickMark val="out"/>
        <c:minorTickMark val="none"/>
        <c:tickLblPos val="nextTo"/>
        <c:crossAx val="82161664"/>
        <c:crosses val="autoZero"/>
        <c:auto val="1"/>
        <c:lblAlgn val="ctr"/>
        <c:lblOffset val="100"/>
        <c:noMultiLvlLbl val="0"/>
      </c:catAx>
      <c:valAx>
        <c:axId val="82161664"/>
        <c:scaling>
          <c:orientation val="minMax"/>
          <c:max val="2"/>
        </c:scaling>
        <c:delete val="0"/>
        <c:axPos val="l"/>
        <c:majorGridlines/>
        <c:numFmt formatCode="0%" sourceLinked="1"/>
        <c:majorTickMark val="out"/>
        <c:minorTickMark val="none"/>
        <c:tickLblPos val="nextTo"/>
        <c:crossAx val="82155776"/>
        <c:crosses val="autoZero"/>
        <c:crossBetween val="between"/>
      </c:valAx>
    </c:plotArea>
    <c:legend>
      <c:legendPos val="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54930486095299"/>
          <c:y val="6.6670328999572731E-2"/>
          <c:w val="0.83586607238580202"/>
          <c:h val="0.81215345174876397"/>
        </c:manualLayout>
      </c:layout>
      <c:lineChart>
        <c:grouping val="standard"/>
        <c:varyColors val="0"/>
        <c:ser>
          <c:idx val="0"/>
          <c:order val="0"/>
          <c:tx>
            <c:strRef>
              <c:f>'Report data'!$B$136</c:f>
              <c:strCache>
                <c:ptCount val="1"/>
                <c:pt idx="0">
                  <c:v>Telecom - excluding China</c:v>
                </c:pt>
              </c:strCache>
            </c:strRef>
          </c:tx>
          <c:marker>
            <c:symbol val="none"/>
          </c:marker>
          <c:cat>
            <c:numRef>
              <c:f>'Report data'!$C$135:$P$135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'Report data'!$C$136:$P$136</c:f>
              <c:numCache>
                <c:formatCode>0%</c:formatCode>
                <c:ptCount val="14"/>
                <c:pt idx="0">
                  <c:v>0.35649951553872228</c:v>
                </c:pt>
                <c:pt idx="1">
                  <c:v>0.38906598483833665</c:v>
                </c:pt>
                <c:pt idx="2">
                  <c:v>0.39997345332075351</c:v>
                </c:pt>
              </c:numCache>
            </c:numRef>
          </c:val>
          <c:smooth val="0"/>
          <c:extLst xmlns:c16r2="http://schemas.microsoft.com/office/drawing/2015/06/chart">
            <c:ext xmlns:c16="http://schemas.microsoft.com/office/drawing/2014/chart" uri="{C3380CC4-5D6E-409C-BE32-E72D297353CC}">
              <c16:uniqueId val="{00000000-E02E-6E41-BD77-6490716E3261}"/>
            </c:ext>
          </c:extLst>
        </c:ser>
        <c:ser>
          <c:idx val="1"/>
          <c:order val="1"/>
          <c:tx>
            <c:strRef>
              <c:f>'Report data'!$B$137</c:f>
              <c:strCache>
                <c:ptCount val="1"/>
                <c:pt idx="0">
                  <c:v>Telecom - China only</c:v>
                </c:pt>
              </c:strCache>
            </c:strRef>
          </c:tx>
          <c:marker>
            <c:symbol val="none"/>
          </c:marker>
          <c:cat>
            <c:numRef>
              <c:f>'Report data'!$C$135:$P$135</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'Report data'!$C$137:$P$137</c:f>
              <c:numCache>
                <c:formatCode>0%</c:formatCode>
                <c:ptCount val="14"/>
                <c:pt idx="0">
                  <c:v>0.43407421235798549</c:v>
                </c:pt>
                <c:pt idx="1">
                  <c:v>0.4672400529702907</c:v>
                </c:pt>
                <c:pt idx="2">
                  <c:v>0.4666569179909994</c:v>
                </c:pt>
              </c:numCache>
            </c:numRef>
          </c:val>
          <c:smooth val="0"/>
          <c:extLst xmlns:c16r2="http://schemas.microsoft.com/office/drawing/2015/06/chart">
            <c:ext xmlns:c16="http://schemas.microsoft.com/office/drawing/2014/chart" uri="{C3380CC4-5D6E-409C-BE32-E72D297353CC}">
              <c16:uniqueId val="{00000001-E02E-6E41-BD77-6490716E3261}"/>
            </c:ext>
          </c:extLst>
        </c:ser>
        <c:dLbls>
          <c:showLegendKey val="0"/>
          <c:showVal val="0"/>
          <c:showCatName val="0"/>
          <c:showSerName val="0"/>
          <c:showPercent val="0"/>
          <c:showBubbleSize val="0"/>
        </c:dLbls>
        <c:marker val="1"/>
        <c:smooth val="0"/>
        <c:axId val="82252928"/>
        <c:axId val="82254464"/>
      </c:lineChart>
      <c:catAx>
        <c:axId val="82252928"/>
        <c:scaling>
          <c:orientation val="minMax"/>
        </c:scaling>
        <c:delete val="0"/>
        <c:axPos val="b"/>
        <c:numFmt formatCode="General" sourceLinked="1"/>
        <c:majorTickMark val="out"/>
        <c:minorTickMark val="none"/>
        <c:tickLblPos val="nextTo"/>
        <c:crossAx val="82254464"/>
        <c:crosses val="autoZero"/>
        <c:auto val="1"/>
        <c:lblAlgn val="ctr"/>
        <c:lblOffset val="100"/>
        <c:noMultiLvlLbl val="0"/>
      </c:catAx>
      <c:valAx>
        <c:axId val="82254464"/>
        <c:scaling>
          <c:orientation val="minMax"/>
          <c:max val="1"/>
        </c:scaling>
        <c:delete val="0"/>
        <c:axPos val="l"/>
        <c:majorGridlines/>
        <c:title>
          <c:tx>
            <c:rich>
              <a:bodyPr rot="-5400000" vert="horz"/>
              <a:lstStyle/>
              <a:p>
                <a:pPr>
                  <a:defRPr sz="1100" b="0"/>
                </a:pPr>
                <a:r>
                  <a:rPr lang="en-US" sz="1100" b="0"/>
                  <a:t>Bandwidth growth rate (%)</a:t>
                </a:r>
              </a:p>
            </c:rich>
          </c:tx>
          <c:layout>
            <c:manualLayout>
              <c:xMode val="edge"/>
              <c:yMode val="edge"/>
              <c:x val="2.5451024414096801E-2"/>
              <c:y val="0.24702374904749799"/>
            </c:manualLayout>
          </c:layout>
          <c:overlay val="0"/>
        </c:title>
        <c:numFmt formatCode="0%" sourceLinked="1"/>
        <c:majorTickMark val="out"/>
        <c:minorTickMark val="none"/>
        <c:tickLblPos val="nextTo"/>
        <c:crossAx val="82252928"/>
        <c:crosses val="autoZero"/>
        <c:crossBetween val="between"/>
      </c:valAx>
    </c:plotArea>
    <c:legend>
      <c:legendPos val="t"/>
      <c:layout>
        <c:manualLayout>
          <c:xMode val="edge"/>
          <c:yMode val="edge"/>
          <c:x val="0.15592447877951399"/>
          <c:y val="0.116935483870968"/>
          <c:w val="0.36476034964338799"/>
          <c:h val="0.2052452008311127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CSPs!$B$72</c:f>
              <c:strCache>
                <c:ptCount val="1"/>
                <c:pt idx="0">
                  <c:v>Top 3 in China</c:v>
                </c:pt>
              </c:strCache>
            </c:strRef>
          </c:tx>
          <c:spPr>
            <a:solidFill>
              <a:schemeClr val="accent1"/>
            </a:solidFill>
            <a:ln>
              <a:noFill/>
            </a:ln>
            <a:effectLst/>
          </c:spPr>
          <c:invertIfNegative val="0"/>
          <c:cat>
            <c:numRef>
              <c:f>CSPs!$H$9:$O$9</c:f>
              <c:numCache>
                <c:formatCode>General</c:formatCode>
                <c:ptCount val="8"/>
                <c:pt idx="0">
                  <c:v>2012</c:v>
                </c:pt>
                <c:pt idx="1">
                  <c:v>2013</c:v>
                </c:pt>
                <c:pt idx="2">
                  <c:v>2014</c:v>
                </c:pt>
                <c:pt idx="3">
                  <c:v>2015</c:v>
                </c:pt>
                <c:pt idx="4">
                  <c:v>2016</c:v>
                </c:pt>
                <c:pt idx="5">
                  <c:v>2017</c:v>
                </c:pt>
                <c:pt idx="6">
                  <c:v>2018</c:v>
                </c:pt>
                <c:pt idx="7">
                  <c:v>2019</c:v>
                </c:pt>
              </c:numCache>
            </c:numRef>
          </c:cat>
          <c:val>
            <c:numRef>
              <c:f>CSPs!$H$72:$O$72</c:f>
              <c:numCache>
                <c:formatCode>"$"#,##0_);\("$"#,##0\)</c:formatCode>
                <c:ptCount val="8"/>
              </c:numCache>
            </c:numRef>
          </c:val>
          <c:extLst xmlns:c16r2="http://schemas.microsoft.com/office/drawing/2015/06/chart">
            <c:ext xmlns:c16="http://schemas.microsoft.com/office/drawing/2014/chart" uri="{C3380CC4-5D6E-409C-BE32-E72D297353CC}">
              <c16:uniqueId val="{00000000-122F-EC41-A08B-B99657AB4C66}"/>
            </c:ext>
          </c:extLst>
        </c:ser>
        <c:ser>
          <c:idx val="1"/>
          <c:order val="1"/>
          <c:tx>
            <c:strRef>
              <c:f>CSPs!$B$73</c:f>
              <c:strCache>
                <c:ptCount val="1"/>
                <c:pt idx="0">
                  <c:v>Top 12 in Europe, Japan and US</c:v>
                </c:pt>
              </c:strCache>
            </c:strRef>
          </c:tx>
          <c:spPr>
            <a:solidFill>
              <a:schemeClr val="accent2"/>
            </a:solidFill>
            <a:ln>
              <a:noFill/>
            </a:ln>
            <a:effectLst/>
          </c:spPr>
          <c:invertIfNegative val="0"/>
          <c:cat>
            <c:numRef>
              <c:f>CSPs!$H$9:$O$9</c:f>
              <c:numCache>
                <c:formatCode>General</c:formatCode>
                <c:ptCount val="8"/>
                <c:pt idx="0">
                  <c:v>2012</c:v>
                </c:pt>
                <c:pt idx="1">
                  <c:v>2013</c:v>
                </c:pt>
                <c:pt idx="2">
                  <c:v>2014</c:v>
                </c:pt>
                <c:pt idx="3">
                  <c:v>2015</c:v>
                </c:pt>
                <c:pt idx="4">
                  <c:v>2016</c:v>
                </c:pt>
                <c:pt idx="5">
                  <c:v>2017</c:v>
                </c:pt>
                <c:pt idx="6">
                  <c:v>2018</c:v>
                </c:pt>
                <c:pt idx="7">
                  <c:v>2019</c:v>
                </c:pt>
              </c:numCache>
            </c:numRef>
          </c:cat>
          <c:val>
            <c:numRef>
              <c:f>CSPs!$H$73:$O$73</c:f>
              <c:numCache>
                <c:formatCode>"$"#,##0_);\("$"#,##0\)</c:formatCode>
                <c:ptCount val="8"/>
              </c:numCache>
            </c:numRef>
          </c:val>
          <c:extLst xmlns:c16r2="http://schemas.microsoft.com/office/drawing/2015/06/char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82284928"/>
        <c:axId val="82286464"/>
      </c:barChart>
      <c:catAx>
        <c:axId val="8228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286464"/>
        <c:crosses val="autoZero"/>
        <c:auto val="1"/>
        <c:lblAlgn val="ctr"/>
        <c:lblOffset val="100"/>
        <c:noMultiLvlLbl val="0"/>
      </c:catAx>
      <c:valAx>
        <c:axId val="82286464"/>
        <c:scaling>
          <c:orientation val="minMax"/>
          <c:max val="1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284928"/>
        <c:crosses val="autoZero"/>
        <c:crossBetween val="between"/>
        <c:majorUnit val="50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2025: $</a:t>
            </a:r>
            <a:r>
              <a:rPr lang="en-US">
                <a:solidFill>
                  <a:sysClr val="windowText" lastClr="000000"/>
                </a:solidFill>
              </a:rPr>
              <a:t>2.8</a:t>
            </a:r>
            <a:r>
              <a:rPr lang="en-US"/>
              <a:t> Billion</a:t>
            </a:r>
          </a:p>
        </c:rich>
      </c:tx>
      <c:layout>
        <c:manualLayout>
          <c:xMode val="edge"/>
          <c:yMode val="edge"/>
          <c:x val="0.60451032201308097"/>
          <c:y val="3.49439221338355E-2"/>
        </c:manualLayout>
      </c:layout>
      <c:overlay val="0"/>
    </c:title>
    <c:autoTitleDeleted val="0"/>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1-AC28-C446-8FF7-6138F92F4BF9}"/>
              </c:ext>
            </c:extLst>
          </c:dPt>
          <c:dPt>
            <c:idx val="1"/>
            <c:bubble3D val="0"/>
            <c:extLst xmlns:c16r2="http://schemas.microsoft.com/office/drawing/2015/06/chart">
              <c:ext xmlns:c16="http://schemas.microsoft.com/office/drawing/2014/chart" uri="{C3380CC4-5D6E-409C-BE32-E72D297353CC}">
                <c16:uniqueId val="{00000003-AC28-C446-8FF7-6138F92F4BF9}"/>
              </c:ext>
            </c:extLst>
          </c:dPt>
          <c:dPt>
            <c:idx val="2"/>
            <c:bubble3D val="0"/>
            <c:extLst xmlns:c16r2="http://schemas.microsoft.com/office/drawing/2015/06/chart">
              <c:ext xmlns:c16="http://schemas.microsoft.com/office/drawing/2014/chart" uri="{C3380CC4-5D6E-409C-BE32-E72D297353CC}">
                <c16:uniqueId val="{00000005-AC28-C446-8FF7-6138F92F4BF9}"/>
              </c:ext>
            </c:extLst>
          </c:dPt>
          <c:dPt>
            <c:idx val="3"/>
            <c:bubble3D val="0"/>
            <c:extLst xmlns:c16r2="http://schemas.microsoft.com/office/drawing/2015/06/chart">
              <c:ext xmlns:c16="http://schemas.microsoft.com/office/drawing/2014/chart" uri="{C3380CC4-5D6E-409C-BE32-E72D297353CC}">
                <c16:uniqueId val="{00000007-AC28-C446-8FF7-6138F92F4BF9}"/>
              </c:ext>
            </c:extLst>
          </c:dPt>
          <c:dPt>
            <c:idx val="4"/>
            <c:bubble3D val="0"/>
            <c:extLst xmlns:c16r2="http://schemas.microsoft.com/office/drawing/2015/06/chart">
              <c:ext xmlns:c16="http://schemas.microsoft.com/office/drawing/2014/chart" uri="{C3380CC4-5D6E-409C-BE32-E72D297353CC}">
                <c16:uniqueId val="{00000009-AC28-C446-8FF7-6138F92F4BF9}"/>
              </c:ext>
            </c:extLst>
          </c:dPt>
          <c:dPt>
            <c:idx val="5"/>
            <c:bubble3D val="0"/>
            <c:extLst xmlns:c16r2="http://schemas.microsoft.com/office/drawing/2015/06/chart">
              <c:ext xmlns:c16="http://schemas.microsoft.com/office/drawing/2014/chart" uri="{C3380CC4-5D6E-409C-BE32-E72D297353CC}">
                <c16:uniqueId val="{0000000B-AC28-C446-8FF7-6138F92F4BF9}"/>
              </c:ext>
            </c:extLst>
          </c:dPt>
          <c:dPt>
            <c:idx val="6"/>
            <c:bubble3D val="0"/>
            <c:extLst xmlns:c16r2="http://schemas.microsoft.com/office/drawing/2015/06/chart">
              <c:ext xmlns:c16="http://schemas.microsoft.com/office/drawing/2014/chart" uri="{C3380CC4-5D6E-409C-BE32-E72D297353CC}">
                <c16:uniqueId val="{0000000D-AC28-C446-8FF7-6138F92F4BF9}"/>
              </c:ext>
            </c:extLst>
          </c:dPt>
          <c:dLbls>
            <c:spPr>
              <a:noFill/>
              <a:ln>
                <a:noFill/>
              </a:ln>
              <a:effectLst/>
            </c:spPr>
            <c:txPr>
              <a:bodyPr rot="0" vert="horz"/>
              <a:lstStyle/>
              <a:p>
                <a:pPr>
                  <a:defRPr sz="1400"/>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'Report data'!$N$13:$N$19</c:f>
              <c:strCache>
                <c:ptCount val="7"/>
                <c:pt idx="0">
                  <c:v>Ethernet </c:v>
                </c:pt>
                <c:pt idx="1">
                  <c:v>Fibre Channel</c:v>
                </c:pt>
                <c:pt idx="2">
                  <c:v>Optical Interconnects</c:v>
                </c:pt>
                <c:pt idx="3">
                  <c:v>CWDM / DWDM</c:v>
                </c:pt>
                <c:pt idx="4">
                  <c:v>Wireless fronthaul</c:v>
                </c:pt>
                <c:pt idx="5">
                  <c:v>Wireless backhaul</c:v>
                </c:pt>
                <c:pt idx="6">
                  <c:v>FTTx</c:v>
                </c:pt>
              </c:strCache>
            </c:strRef>
          </c:cat>
          <c:val>
            <c:numRef>
              <c:f>'Report data'!$P$13:$P$19</c:f>
              <c:numCache>
                <c:formatCode>_("$"* #,##0_);_("$"* \(#,##0\);_("$"* "-"??_);_(@_)</c:formatCode>
                <c:ptCount val="7"/>
              </c:numCache>
            </c:numRef>
          </c:val>
          <c:extLst xmlns:c16r2="http://schemas.microsoft.com/office/drawing/2015/06/chart">
            <c:ext xmlns:c16="http://schemas.microsoft.com/office/drawing/2014/chart" uri="{C3380CC4-5D6E-409C-BE32-E72D297353CC}">
              <c16:uniqueId val="{0000000E-AC28-C446-8FF7-6138F92F4BF9}"/>
            </c:ext>
          </c:extLst>
        </c:ser>
        <c:dLbls>
          <c:dLblPos val="ctr"/>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3" Type="http://schemas.openxmlformats.org/officeDocument/2006/relationships/chart" Target="../charts/chart57.xml"/><Relationship Id="rId7" Type="http://schemas.openxmlformats.org/officeDocument/2006/relationships/chart" Target="../charts/chart61.xml"/><Relationship Id="rId12" Type="http://schemas.openxmlformats.org/officeDocument/2006/relationships/chart" Target="../charts/chart66.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image" Target="../media/image1.png"/><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 Id="rId14" Type="http://schemas.openxmlformats.org/officeDocument/2006/relationships/chart" Target="../charts/chart68.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76.xml"/><Relationship Id="rId3" Type="http://schemas.openxmlformats.org/officeDocument/2006/relationships/chart" Target="../charts/chart71.xml"/><Relationship Id="rId7" Type="http://schemas.openxmlformats.org/officeDocument/2006/relationships/chart" Target="../charts/chart75.xml"/><Relationship Id="rId12" Type="http://schemas.openxmlformats.org/officeDocument/2006/relationships/image" Target="../media/image1.png"/><Relationship Id="rId2" Type="http://schemas.openxmlformats.org/officeDocument/2006/relationships/chart" Target="../charts/chart70.xml"/><Relationship Id="rId1" Type="http://schemas.openxmlformats.org/officeDocument/2006/relationships/chart" Target="../charts/chart69.xml"/><Relationship Id="rId6" Type="http://schemas.openxmlformats.org/officeDocument/2006/relationships/chart" Target="../charts/chart74.xml"/><Relationship Id="rId11" Type="http://schemas.openxmlformats.org/officeDocument/2006/relationships/chart" Target="../charts/chart79.xml"/><Relationship Id="rId5" Type="http://schemas.openxmlformats.org/officeDocument/2006/relationships/chart" Target="../charts/chart73.xml"/><Relationship Id="rId10" Type="http://schemas.openxmlformats.org/officeDocument/2006/relationships/chart" Target="../charts/chart78.xml"/><Relationship Id="rId4" Type="http://schemas.openxmlformats.org/officeDocument/2006/relationships/chart" Target="../charts/chart72.xml"/><Relationship Id="rId9" Type="http://schemas.openxmlformats.org/officeDocument/2006/relationships/chart" Target="../charts/chart77.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86.xml"/><Relationship Id="rId13" Type="http://schemas.openxmlformats.org/officeDocument/2006/relationships/chart" Target="../charts/chart91.xml"/><Relationship Id="rId3" Type="http://schemas.openxmlformats.org/officeDocument/2006/relationships/chart" Target="../charts/chart82.xml"/><Relationship Id="rId7" Type="http://schemas.openxmlformats.org/officeDocument/2006/relationships/chart" Target="../charts/chart85.xml"/><Relationship Id="rId12" Type="http://schemas.openxmlformats.org/officeDocument/2006/relationships/chart" Target="../charts/chart90.xml"/><Relationship Id="rId2" Type="http://schemas.openxmlformats.org/officeDocument/2006/relationships/chart" Target="../charts/chart81.xml"/><Relationship Id="rId1" Type="http://schemas.openxmlformats.org/officeDocument/2006/relationships/chart" Target="../charts/chart80.xml"/><Relationship Id="rId6" Type="http://schemas.openxmlformats.org/officeDocument/2006/relationships/image" Target="../media/image1.png"/><Relationship Id="rId11" Type="http://schemas.openxmlformats.org/officeDocument/2006/relationships/chart" Target="../charts/chart89.xml"/><Relationship Id="rId5" Type="http://schemas.openxmlformats.org/officeDocument/2006/relationships/chart" Target="../charts/chart84.xml"/><Relationship Id="rId10" Type="http://schemas.openxmlformats.org/officeDocument/2006/relationships/chart" Target="../charts/chart88.xml"/><Relationship Id="rId4" Type="http://schemas.openxmlformats.org/officeDocument/2006/relationships/chart" Target="../charts/chart83.xml"/><Relationship Id="rId9" Type="http://schemas.openxmlformats.org/officeDocument/2006/relationships/chart" Target="../charts/chart87.xml"/><Relationship Id="rId14" Type="http://schemas.openxmlformats.org/officeDocument/2006/relationships/chart" Target="../charts/chart9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image" Target="../media/image1.png"/><Relationship Id="rId1" Type="http://schemas.openxmlformats.org/officeDocument/2006/relationships/chart" Target="../charts/chart93.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101.xml"/><Relationship Id="rId3" Type="http://schemas.openxmlformats.org/officeDocument/2006/relationships/chart" Target="../charts/chart97.xml"/><Relationship Id="rId7" Type="http://schemas.openxmlformats.org/officeDocument/2006/relationships/chart" Target="../charts/chart100.xml"/><Relationship Id="rId2" Type="http://schemas.openxmlformats.org/officeDocument/2006/relationships/chart" Target="../charts/chart96.xml"/><Relationship Id="rId1" Type="http://schemas.openxmlformats.org/officeDocument/2006/relationships/chart" Target="../charts/chart95.xml"/><Relationship Id="rId6" Type="http://schemas.openxmlformats.org/officeDocument/2006/relationships/chart" Target="../charts/chart99.xml"/><Relationship Id="rId5" Type="http://schemas.openxmlformats.org/officeDocument/2006/relationships/chart" Target="../charts/chart98.xml"/><Relationship Id="rId4" Type="http://schemas.openxmlformats.org/officeDocument/2006/relationships/image" Target="../media/image1.png"/><Relationship Id="rId9" Type="http://schemas.openxmlformats.org/officeDocument/2006/relationships/chart" Target="../charts/chart10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1.xml"/><Relationship Id="rId3" Type="http://schemas.openxmlformats.org/officeDocument/2006/relationships/chart" Target="../charts/chart5.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40.xml"/><Relationship Id="rId46" Type="http://schemas.openxmlformats.org/officeDocument/2006/relationships/chart" Target="../charts/chart47.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image" Target="../media/image1.png"/><Relationship Id="rId45" Type="http://schemas.openxmlformats.org/officeDocument/2006/relationships/chart" Target="../charts/chart4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8" Type="http://schemas.openxmlformats.org/officeDocument/2006/relationships/chart" Target="../charts/chart10.xml"/><Relationship Id="rId51" Type="http://schemas.openxmlformats.org/officeDocument/2006/relationships/chart" Target="../charts/chart5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23814</xdr:rowOff>
    </xdr:from>
    <xdr:to>
      <xdr:col>10</xdr:col>
      <xdr:colOff>510050</xdr:colOff>
      <xdr:row>3</xdr:row>
      <xdr:rowOff>63158</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02563" y="23814"/>
          <a:ext cx="2938925" cy="6505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717776</xdr:colOff>
      <xdr:row>0</xdr:row>
      <xdr:rowOff>141741</xdr:rowOff>
    </xdr:from>
    <xdr:to>
      <xdr:col>12</xdr:col>
      <xdr:colOff>202756</xdr:colOff>
      <xdr:row>4</xdr:row>
      <xdr:rowOff>6460</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544026" y="141741"/>
          <a:ext cx="2939380" cy="64576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344715</xdr:colOff>
      <xdr:row>1</xdr:row>
      <xdr:rowOff>27214</xdr:rowOff>
    </xdr:from>
    <xdr:to>
      <xdr:col>14</xdr:col>
      <xdr:colOff>90497</xdr:colOff>
      <xdr:row>4</xdr:row>
      <xdr:rowOff>51818</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7810501" y="190500"/>
          <a:ext cx="2938925" cy="6505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408214</xdr:colOff>
      <xdr:row>1</xdr:row>
      <xdr:rowOff>90714</xdr:rowOff>
    </xdr:from>
    <xdr:to>
      <xdr:col>12</xdr:col>
      <xdr:colOff>870639</xdr:colOff>
      <xdr:row>4</xdr:row>
      <xdr:rowOff>115318</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7574643" y="254000"/>
          <a:ext cx="2938925" cy="6505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544285</xdr:colOff>
      <xdr:row>1</xdr:row>
      <xdr:rowOff>54429</xdr:rowOff>
    </xdr:from>
    <xdr:to>
      <xdr:col>13</xdr:col>
      <xdr:colOff>181210</xdr:colOff>
      <xdr:row>4</xdr:row>
      <xdr:rowOff>79033</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8100785" y="217715"/>
          <a:ext cx="2938925" cy="6505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248105</xdr:colOff>
      <xdr:row>87</xdr:row>
      <xdr:rowOff>3629</xdr:rowOff>
    </xdr:from>
    <xdr:to>
      <xdr:col>22</xdr:col>
      <xdr:colOff>76429</xdr:colOff>
      <xdr:row>106</xdr:row>
      <xdr:rowOff>9980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38101</xdr:colOff>
      <xdr:row>6</xdr:row>
      <xdr:rowOff>31750</xdr:rowOff>
    </xdr:from>
    <xdr:to>
      <xdr:col>22</xdr:col>
      <xdr:colOff>323850</xdr:colOff>
      <xdr:row>24</xdr:row>
      <xdr:rowOff>90715</xdr:rowOff>
    </xdr:to>
    <xdr:graphicFrame macro="">
      <xdr:nvGraphicFramePr>
        <xdr:cNvPr id="3" name="Chart 2">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591683</xdr:colOff>
      <xdr:row>75</xdr:row>
      <xdr:rowOff>134713</xdr:rowOff>
    </xdr:from>
    <xdr:to>
      <xdr:col>13</xdr:col>
      <xdr:colOff>474662</xdr:colOff>
      <xdr:row>92</xdr:row>
      <xdr:rowOff>57151</xdr:rowOff>
    </xdr:to>
    <xdr:graphicFrame macro="">
      <xdr:nvGraphicFramePr>
        <xdr:cNvPr id="4" name="Chart 3">
          <a:extLst>
            <a:ext uri="{FF2B5EF4-FFF2-40B4-BE49-F238E27FC236}">
              <a16:creationId xmlns=""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301625</xdr:colOff>
      <xdr:row>75</xdr:row>
      <xdr:rowOff>137432</xdr:rowOff>
    </xdr:from>
    <xdr:to>
      <xdr:col>5</xdr:col>
      <xdr:colOff>7938</xdr:colOff>
      <xdr:row>92</xdr:row>
      <xdr:rowOff>58282</xdr:rowOff>
    </xdr:to>
    <xdr:graphicFrame macro="">
      <xdr:nvGraphicFramePr>
        <xdr:cNvPr id="5" name="Chart 4">
          <a:extLst>
            <a:ext uri="{FF2B5EF4-FFF2-40B4-BE49-F238E27FC236}">
              <a16:creationId xmlns=""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204332</xdr:colOff>
      <xdr:row>107</xdr:row>
      <xdr:rowOff>112487</xdr:rowOff>
    </xdr:from>
    <xdr:to>
      <xdr:col>16</xdr:col>
      <xdr:colOff>603249</xdr:colOff>
      <xdr:row>124</xdr:row>
      <xdr:rowOff>26988</xdr:rowOff>
    </xdr:to>
    <xdr:graphicFrame macro="">
      <xdr:nvGraphicFramePr>
        <xdr:cNvPr id="6" name="Chart 5">
          <a:extLst>
            <a:ext uri="{FF2B5EF4-FFF2-40B4-BE49-F238E27FC236}">
              <a16:creationId xmlns=""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1080859</xdr:colOff>
      <xdr:row>107</xdr:row>
      <xdr:rowOff>107269</xdr:rowOff>
    </xdr:from>
    <xdr:to>
      <xdr:col>6</xdr:col>
      <xdr:colOff>668109</xdr:colOff>
      <xdr:row>124</xdr:row>
      <xdr:rowOff>28119</xdr:rowOff>
    </xdr:to>
    <xdr:graphicFrame macro="">
      <xdr:nvGraphicFramePr>
        <xdr:cNvPr id="7" name="Chart 6">
          <a:extLst>
            <a:ext uri="{FF2B5EF4-FFF2-40B4-BE49-F238E27FC236}">
              <a16:creationId xmlns=""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333375</xdr:colOff>
      <xdr:row>87</xdr:row>
      <xdr:rowOff>15875</xdr:rowOff>
    </xdr:from>
    <xdr:to>
      <xdr:col>30</xdr:col>
      <xdr:colOff>161699</xdr:colOff>
      <xdr:row>106</xdr:row>
      <xdr:rowOff>22226</xdr:rowOff>
    </xdr:to>
    <xdr:graphicFrame macro="">
      <xdr:nvGraphicFramePr>
        <xdr:cNvPr id="8" name="Chart 7">
          <a:extLst>
            <a:ext uri="{FF2B5EF4-FFF2-40B4-BE49-F238E27FC236}">
              <a16:creationId xmlns=""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261937</xdr:colOff>
      <xdr:row>25</xdr:row>
      <xdr:rowOff>112712</xdr:rowOff>
    </xdr:from>
    <xdr:to>
      <xdr:col>21</xdr:col>
      <xdr:colOff>492124</xdr:colOff>
      <xdr:row>44</xdr:row>
      <xdr:rowOff>15874</xdr:rowOff>
    </xdr:to>
    <xdr:graphicFrame macro="">
      <xdr:nvGraphicFramePr>
        <xdr:cNvPr id="9" name="Chart 8">
          <a:extLst>
            <a:ext uri="{FF2B5EF4-FFF2-40B4-BE49-F238E27FC236}">
              <a16:creationId xmlns="" xmlns:a16="http://schemas.microsoft.com/office/drawing/2014/main" id="{00000000-0008-0000-0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47625</xdr:colOff>
      <xdr:row>25</xdr:row>
      <xdr:rowOff>150812</xdr:rowOff>
    </xdr:from>
    <xdr:to>
      <xdr:col>29</xdr:col>
      <xdr:colOff>277812</xdr:colOff>
      <xdr:row>44</xdr:row>
      <xdr:rowOff>6350</xdr:rowOff>
    </xdr:to>
    <xdr:graphicFrame macro="">
      <xdr:nvGraphicFramePr>
        <xdr:cNvPr id="10" name="Chart 9">
          <a:extLst>
            <a:ext uri="{FF2B5EF4-FFF2-40B4-BE49-F238E27FC236}">
              <a16:creationId xmlns=""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650875</xdr:colOff>
      <xdr:row>6</xdr:row>
      <xdr:rowOff>31750</xdr:rowOff>
    </xdr:from>
    <xdr:to>
      <xdr:col>31</xdr:col>
      <xdr:colOff>436562</xdr:colOff>
      <xdr:row>24</xdr:row>
      <xdr:rowOff>71437</xdr:rowOff>
    </xdr:to>
    <xdr:graphicFrame macro="">
      <xdr:nvGraphicFramePr>
        <xdr:cNvPr id="11" name="Chart 10">
          <a:extLst>
            <a:ext uri="{FF2B5EF4-FFF2-40B4-BE49-F238E27FC236}">
              <a16:creationId xmlns=""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285749</xdr:colOff>
      <xdr:row>66</xdr:row>
      <xdr:rowOff>136524</xdr:rowOff>
    </xdr:from>
    <xdr:to>
      <xdr:col>21</xdr:col>
      <xdr:colOff>523874</xdr:colOff>
      <xdr:row>86</xdr:row>
      <xdr:rowOff>95249</xdr:rowOff>
    </xdr:to>
    <xdr:graphicFrame macro="">
      <xdr:nvGraphicFramePr>
        <xdr:cNvPr id="12" name="Chart 11">
          <a:extLst>
            <a:ext uri="{FF2B5EF4-FFF2-40B4-BE49-F238E27FC236}">
              <a16:creationId xmlns=""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79375</xdr:colOff>
      <xdr:row>67</xdr:row>
      <xdr:rowOff>25329</xdr:rowOff>
    </xdr:from>
    <xdr:to>
      <xdr:col>30</xdr:col>
      <xdr:colOff>341313</xdr:colOff>
      <xdr:row>86</xdr:row>
      <xdr:rowOff>38100</xdr:rowOff>
    </xdr:to>
    <xdr:graphicFrame macro="">
      <xdr:nvGraphicFramePr>
        <xdr:cNvPr id="13" name="Chart 12">
          <a:extLst>
            <a:ext uri="{FF2B5EF4-FFF2-40B4-BE49-F238E27FC236}">
              <a16:creationId xmlns=""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254000</xdr:colOff>
      <xdr:row>44</xdr:row>
      <xdr:rowOff>120650</xdr:rowOff>
    </xdr:from>
    <xdr:to>
      <xdr:col>21</xdr:col>
      <xdr:colOff>349250</xdr:colOff>
      <xdr:row>63</xdr:row>
      <xdr:rowOff>114158</xdr:rowOff>
    </xdr:to>
    <xdr:graphicFrame macro="">
      <xdr:nvGraphicFramePr>
        <xdr:cNvPr id="14" name="Chart 13">
          <a:extLst>
            <a:ext uri="{FF2B5EF4-FFF2-40B4-BE49-F238E27FC236}">
              <a16:creationId xmlns=""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39687</xdr:colOff>
      <xdr:row>45</xdr:row>
      <xdr:rowOff>23813</xdr:rowOff>
    </xdr:from>
    <xdr:to>
      <xdr:col>30</xdr:col>
      <xdr:colOff>341313</xdr:colOff>
      <xdr:row>63</xdr:row>
      <xdr:rowOff>109431</xdr:rowOff>
    </xdr:to>
    <xdr:graphicFrame macro="">
      <xdr:nvGraphicFramePr>
        <xdr:cNvPr id="15" name="Chart 14">
          <a:extLst>
            <a:ext uri="{FF2B5EF4-FFF2-40B4-BE49-F238E27FC236}">
              <a16:creationId xmlns=""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682625</xdr:colOff>
      <xdr:row>0</xdr:row>
      <xdr:rowOff>134938</xdr:rowOff>
    </xdr:from>
    <xdr:to>
      <xdr:col>12</xdr:col>
      <xdr:colOff>510051</xdr:colOff>
      <xdr:row>3</xdr:row>
      <xdr:rowOff>198095</xdr:rowOff>
    </xdr:to>
    <xdr:pic>
      <xdr:nvPicPr>
        <xdr:cNvPr id="16" name="Picture 15">
          <a:extLst>
            <a:ext uri="{FF2B5EF4-FFF2-40B4-BE49-F238E27FC236}">
              <a16:creationId xmlns="" xmlns:a16="http://schemas.microsoft.com/office/drawing/2014/main" id="{00000000-0008-0000-0F00-000010000000}"/>
            </a:ext>
          </a:extLst>
        </xdr:cNvPr>
        <xdr:cNvPicPr>
          <a:picLocks noChangeAspect="1"/>
        </xdr:cNvPicPr>
      </xdr:nvPicPr>
      <xdr:blipFill>
        <a:blip xmlns:r="http://schemas.openxmlformats.org/officeDocument/2006/relationships" r:embed="rId15"/>
        <a:stretch>
          <a:fillRect/>
        </a:stretch>
      </xdr:blipFill>
      <xdr:spPr>
        <a:xfrm>
          <a:off x="8286750" y="134938"/>
          <a:ext cx="2938926" cy="6505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266700</xdr:colOff>
      <xdr:row>21</xdr:row>
      <xdr:rowOff>76200</xdr:rowOff>
    </xdr:from>
    <xdr:to>
      <xdr:col>7</xdr:col>
      <xdr:colOff>442383</xdr:colOff>
      <xdr:row>38</xdr:row>
      <xdr:rowOff>50800</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654050</xdr:colOff>
      <xdr:row>21</xdr:row>
      <xdr:rowOff>76200</xdr:rowOff>
    </xdr:from>
    <xdr:to>
      <xdr:col>12</xdr:col>
      <xdr:colOff>107949</xdr:colOff>
      <xdr:row>38</xdr:row>
      <xdr:rowOff>59266</xdr:rowOff>
    </xdr:to>
    <xdr:graphicFrame macro="">
      <xdr:nvGraphicFramePr>
        <xdr:cNvPr id="3" name="Chart 2">
          <a:extLst>
            <a:ext uri="{FF2B5EF4-FFF2-40B4-BE49-F238E27FC236}">
              <a16:creationId xmlns=""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522287</xdr:colOff>
      <xdr:row>22</xdr:row>
      <xdr:rowOff>92075</xdr:rowOff>
    </xdr:from>
    <xdr:to>
      <xdr:col>24</xdr:col>
      <xdr:colOff>80962</xdr:colOff>
      <xdr:row>39</xdr:row>
      <xdr:rowOff>28575</xdr:rowOff>
    </xdr:to>
    <xdr:graphicFrame macro="">
      <xdr:nvGraphicFramePr>
        <xdr:cNvPr id="5" name="Chart 4">
          <a:extLst>
            <a:ext uri="{FF2B5EF4-FFF2-40B4-BE49-F238E27FC236}">
              <a16:creationId xmlns=""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514350</xdr:colOff>
      <xdr:row>39</xdr:row>
      <xdr:rowOff>130175</xdr:rowOff>
    </xdr:from>
    <xdr:to>
      <xdr:col>24</xdr:col>
      <xdr:colOff>73025</xdr:colOff>
      <xdr:row>56</xdr:row>
      <xdr:rowOff>66675</xdr:rowOff>
    </xdr:to>
    <xdr:graphicFrame macro="">
      <xdr:nvGraphicFramePr>
        <xdr:cNvPr id="6" name="Chart 5">
          <a:extLst>
            <a:ext uri="{FF2B5EF4-FFF2-40B4-BE49-F238E27FC236}">
              <a16:creationId xmlns=""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527050</xdr:colOff>
      <xdr:row>74</xdr:row>
      <xdr:rowOff>111125</xdr:rowOff>
    </xdr:from>
    <xdr:to>
      <xdr:col>24</xdr:col>
      <xdr:colOff>85725</xdr:colOff>
      <xdr:row>91</xdr:row>
      <xdr:rowOff>47625</xdr:rowOff>
    </xdr:to>
    <xdr:graphicFrame macro="">
      <xdr:nvGraphicFramePr>
        <xdr:cNvPr id="7" name="Chart 6">
          <a:extLst>
            <a:ext uri="{FF2B5EF4-FFF2-40B4-BE49-F238E27FC236}">
              <a16:creationId xmlns=""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519112</xdr:colOff>
      <xdr:row>56</xdr:row>
      <xdr:rowOff>149225</xdr:rowOff>
    </xdr:from>
    <xdr:to>
      <xdr:col>24</xdr:col>
      <xdr:colOff>77787</xdr:colOff>
      <xdr:row>73</xdr:row>
      <xdr:rowOff>85725</xdr:rowOff>
    </xdr:to>
    <xdr:graphicFrame macro="">
      <xdr:nvGraphicFramePr>
        <xdr:cNvPr id="8" name="Chart 7">
          <a:extLst>
            <a:ext uri="{FF2B5EF4-FFF2-40B4-BE49-F238E27FC236}">
              <a16:creationId xmlns="" xmlns:a16="http://schemas.microsoft.com/office/drawing/2014/main" id="{00000000-0008-0000-1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10583</xdr:colOff>
      <xdr:row>4</xdr:row>
      <xdr:rowOff>29633</xdr:rowOff>
    </xdr:from>
    <xdr:to>
      <xdr:col>23</xdr:col>
      <xdr:colOff>522816</xdr:colOff>
      <xdr:row>21</xdr:row>
      <xdr:rowOff>55033</xdr:rowOff>
    </xdr:to>
    <xdr:graphicFrame macro="">
      <xdr:nvGraphicFramePr>
        <xdr:cNvPr id="9" name="Chart 8">
          <a:extLst>
            <a:ext uri="{FF2B5EF4-FFF2-40B4-BE49-F238E27FC236}">
              <a16:creationId xmlns=""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303212</xdr:colOff>
      <xdr:row>22</xdr:row>
      <xdr:rowOff>98425</xdr:rowOff>
    </xdr:from>
    <xdr:to>
      <xdr:col>31</xdr:col>
      <xdr:colOff>163512</xdr:colOff>
      <xdr:row>39</xdr:row>
      <xdr:rowOff>34925</xdr:rowOff>
    </xdr:to>
    <xdr:graphicFrame macro="">
      <xdr:nvGraphicFramePr>
        <xdr:cNvPr id="10" name="Chart 9">
          <a:extLst>
            <a:ext uri="{FF2B5EF4-FFF2-40B4-BE49-F238E27FC236}">
              <a16:creationId xmlns=""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317500</xdr:colOff>
      <xdr:row>40</xdr:row>
      <xdr:rowOff>47625</xdr:rowOff>
    </xdr:from>
    <xdr:to>
      <xdr:col>31</xdr:col>
      <xdr:colOff>231775</xdr:colOff>
      <xdr:row>56</xdr:row>
      <xdr:rowOff>149225</xdr:rowOff>
    </xdr:to>
    <xdr:graphicFrame macro="">
      <xdr:nvGraphicFramePr>
        <xdr:cNvPr id="11" name="Chart 10">
          <a:extLst>
            <a:ext uri="{FF2B5EF4-FFF2-40B4-BE49-F238E27FC236}">
              <a16:creationId xmlns=""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317500</xdr:colOff>
      <xdr:row>74</xdr:row>
      <xdr:rowOff>111125</xdr:rowOff>
    </xdr:from>
    <xdr:to>
      <xdr:col>31</xdr:col>
      <xdr:colOff>231775</xdr:colOff>
      <xdr:row>91</xdr:row>
      <xdr:rowOff>53975</xdr:rowOff>
    </xdr:to>
    <xdr:graphicFrame macro="">
      <xdr:nvGraphicFramePr>
        <xdr:cNvPr id="12" name="Chart 11">
          <a:extLst>
            <a:ext uri="{FF2B5EF4-FFF2-40B4-BE49-F238E27FC236}">
              <a16:creationId xmlns="" xmlns:a16="http://schemas.microsoft.com/office/drawing/2014/main"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112359</xdr:colOff>
      <xdr:row>75</xdr:row>
      <xdr:rowOff>75141</xdr:rowOff>
    </xdr:from>
    <xdr:to>
      <xdr:col>10</xdr:col>
      <xdr:colOff>7055</xdr:colOff>
      <xdr:row>92</xdr:row>
      <xdr:rowOff>7407</xdr:rowOff>
    </xdr:to>
    <xdr:graphicFrame macro="">
      <xdr:nvGraphicFramePr>
        <xdr:cNvPr id="13" name="Chart 12">
          <a:extLst>
            <a:ext uri="{FF2B5EF4-FFF2-40B4-BE49-F238E27FC236}">
              <a16:creationId xmlns="" xmlns:a16="http://schemas.microsoft.com/office/drawing/2014/main" id="{00000000-0008-0000-1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10</xdr:col>
      <xdr:colOff>452438</xdr:colOff>
      <xdr:row>0</xdr:row>
      <xdr:rowOff>79375</xdr:rowOff>
    </xdr:from>
    <xdr:to>
      <xdr:col>14</xdr:col>
      <xdr:colOff>59377</xdr:colOff>
      <xdr:row>3</xdr:row>
      <xdr:rowOff>142532</xdr:rowOff>
    </xdr:to>
    <xdr:pic>
      <xdr:nvPicPr>
        <xdr:cNvPr id="14" name="Picture 13">
          <a:extLst>
            <a:ext uri="{FF2B5EF4-FFF2-40B4-BE49-F238E27FC236}">
              <a16:creationId xmlns="" xmlns:a16="http://schemas.microsoft.com/office/drawing/2014/main" id="{00000000-0008-0000-1000-00000E000000}"/>
            </a:ext>
          </a:extLst>
        </xdr:cNvPr>
        <xdr:cNvPicPr>
          <a:picLocks noChangeAspect="1"/>
        </xdr:cNvPicPr>
      </xdr:nvPicPr>
      <xdr:blipFill>
        <a:blip xmlns:r="http://schemas.openxmlformats.org/officeDocument/2006/relationships" r:embed="rId12"/>
        <a:stretch>
          <a:fillRect/>
        </a:stretch>
      </xdr:blipFill>
      <xdr:spPr>
        <a:xfrm>
          <a:off x="7731126" y="79375"/>
          <a:ext cx="2938925" cy="6505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20638</xdr:colOff>
      <xdr:row>5</xdr:row>
      <xdr:rowOff>36512</xdr:rowOff>
    </xdr:from>
    <xdr:to>
      <xdr:col>6</xdr:col>
      <xdr:colOff>635000</xdr:colOff>
      <xdr:row>20</xdr:row>
      <xdr:rowOff>111125</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611188</xdr:colOff>
      <xdr:row>5</xdr:row>
      <xdr:rowOff>23812</xdr:rowOff>
    </xdr:from>
    <xdr:to>
      <xdr:col>14</xdr:col>
      <xdr:colOff>341313</xdr:colOff>
      <xdr:row>21</xdr:row>
      <xdr:rowOff>0</xdr:rowOff>
    </xdr:to>
    <xdr:graphicFrame macro="">
      <xdr:nvGraphicFramePr>
        <xdr:cNvPr id="4" name="Chart 3">
          <a:extLst>
            <a:ext uri="{FF2B5EF4-FFF2-40B4-BE49-F238E27FC236}">
              <a16:creationId xmlns=""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618330</xdr:colOff>
      <xdr:row>41</xdr:row>
      <xdr:rowOff>96838</xdr:rowOff>
    </xdr:from>
    <xdr:to>
      <xdr:col>23</xdr:col>
      <xdr:colOff>71437</xdr:colOff>
      <xdr:row>59</xdr:row>
      <xdr:rowOff>142875</xdr:rowOff>
    </xdr:to>
    <xdr:graphicFrame macro="">
      <xdr:nvGraphicFramePr>
        <xdr:cNvPr id="8" name="Chart 7">
          <a:extLst>
            <a:ext uri="{FF2B5EF4-FFF2-40B4-BE49-F238E27FC236}">
              <a16:creationId xmlns="" xmlns:a16="http://schemas.microsoft.com/office/drawing/2014/main" id="{00000000-0008-0000-1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27779</xdr:colOff>
      <xdr:row>71</xdr:row>
      <xdr:rowOff>57150</xdr:rowOff>
    </xdr:from>
    <xdr:to>
      <xdr:col>9</xdr:col>
      <xdr:colOff>682624</xdr:colOff>
      <xdr:row>94</xdr:row>
      <xdr:rowOff>31750</xdr:rowOff>
    </xdr:to>
    <xdr:graphicFrame macro="">
      <xdr:nvGraphicFramePr>
        <xdr:cNvPr id="9" name="Chart 8">
          <a:extLst>
            <a:ext uri="{FF2B5EF4-FFF2-40B4-BE49-F238E27FC236}">
              <a16:creationId xmlns="" xmlns:a16="http://schemas.microsoft.com/office/drawing/2014/main" id="{00000000-0008-0000-1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202405</xdr:colOff>
      <xdr:row>41</xdr:row>
      <xdr:rowOff>103189</xdr:rowOff>
    </xdr:from>
    <xdr:to>
      <xdr:col>7</xdr:col>
      <xdr:colOff>63501</xdr:colOff>
      <xdr:row>60</xdr:row>
      <xdr:rowOff>1</xdr:rowOff>
    </xdr:to>
    <xdr:graphicFrame macro="">
      <xdr:nvGraphicFramePr>
        <xdr:cNvPr id="10" name="Chart 9">
          <a:extLst>
            <a:ext uri="{FF2B5EF4-FFF2-40B4-BE49-F238E27FC236}">
              <a16:creationId xmlns="" xmlns:a16="http://schemas.microsoft.com/office/drawing/2014/main" id="{00000000-0008-0000-1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722313</xdr:colOff>
      <xdr:row>0</xdr:row>
      <xdr:rowOff>23813</xdr:rowOff>
    </xdr:from>
    <xdr:to>
      <xdr:col>13</xdr:col>
      <xdr:colOff>525925</xdr:colOff>
      <xdr:row>3</xdr:row>
      <xdr:rowOff>86970</xdr:rowOff>
    </xdr:to>
    <xdr:pic>
      <xdr:nvPicPr>
        <xdr:cNvPr id="13" name="Picture 12">
          <a:extLst>
            <a:ext uri="{FF2B5EF4-FFF2-40B4-BE49-F238E27FC236}">
              <a16:creationId xmlns="" xmlns:a16="http://schemas.microsoft.com/office/drawing/2014/main" id="{00000000-0008-0000-1100-00000D000000}"/>
            </a:ext>
          </a:extLst>
        </xdr:cNvPr>
        <xdr:cNvPicPr>
          <a:picLocks noChangeAspect="1"/>
        </xdr:cNvPicPr>
      </xdr:nvPicPr>
      <xdr:blipFill>
        <a:blip xmlns:r="http://schemas.openxmlformats.org/officeDocument/2006/relationships" r:embed="rId6"/>
        <a:stretch>
          <a:fillRect/>
        </a:stretch>
      </xdr:blipFill>
      <xdr:spPr>
        <a:xfrm>
          <a:off x="7453313" y="23813"/>
          <a:ext cx="2938925" cy="650532"/>
        </a:xfrm>
        <a:prstGeom prst="rect">
          <a:avLst/>
        </a:prstGeom>
      </xdr:spPr>
    </xdr:pic>
    <xdr:clientData/>
  </xdr:twoCellAnchor>
  <xdr:twoCellAnchor>
    <xdr:from>
      <xdr:col>7</xdr:col>
      <xdr:colOff>243680</xdr:colOff>
      <xdr:row>41</xdr:row>
      <xdr:rowOff>108856</xdr:rowOff>
    </xdr:from>
    <xdr:to>
      <xdr:col>14</xdr:col>
      <xdr:colOff>462644</xdr:colOff>
      <xdr:row>59</xdr:row>
      <xdr:rowOff>150813</xdr:rowOff>
    </xdr:to>
    <xdr:graphicFrame macro="">
      <xdr:nvGraphicFramePr>
        <xdr:cNvPr id="15" name="Chart 14">
          <a:extLst>
            <a:ext uri="{FF2B5EF4-FFF2-40B4-BE49-F238E27FC236}">
              <a16:creationId xmlns="" xmlns:a16="http://schemas.microsoft.com/office/drawing/2014/main" id="{00000000-0008-0000-1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5</xdr:row>
      <xdr:rowOff>0</xdr:rowOff>
    </xdr:from>
    <xdr:to>
      <xdr:col>24</xdr:col>
      <xdr:colOff>75407</xdr:colOff>
      <xdr:row>22</xdr:row>
      <xdr:rowOff>7938</xdr:rowOff>
    </xdr:to>
    <xdr:graphicFrame macro="">
      <xdr:nvGraphicFramePr>
        <xdr:cNvPr id="11" name="Chart 10">
          <a:extLst>
            <a:ext uri="{FF2B5EF4-FFF2-40B4-BE49-F238E27FC236}">
              <a16:creationId xmlns=""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5</xdr:row>
      <xdr:rowOff>1</xdr:rowOff>
    </xdr:from>
    <xdr:to>
      <xdr:col>33</xdr:col>
      <xdr:colOff>75407</xdr:colOff>
      <xdr:row>22</xdr:row>
      <xdr:rowOff>23814</xdr:rowOff>
    </xdr:to>
    <xdr:graphicFrame macro="">
      <xdr:nvGraphicFramePr>
        <xdr:cNvPr id="12" name="Chart 11">
          <a:extLst>
            <a:ext uri="{FF2B5EF4-FFF2-40B4-BE49-F238E27FC236}">
              <a16:creationId xmlns=""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598715</xdr:colOff>
      <xdr:row>41</xdr:row>
      <xdr:rowOff>127000</xdr:rowOff>
    </xdr:from>
    <xdr:to>
      <xdr:col>32</xdr:col>
      <xdr:colOff>57264</xdr:colOff>
      <xdr:row>59</xdr:row>
      <xdr:rowOff>150813</xdr:rowOff>
    </xdr:to>
    <xdr:graphicFrame macro="">
      <xdr:nvGraphicFramePr>
        <xdr:cNvPr id="14" name="Chart 13">
          <a:extLst>
            <a:ext uri="{FF2B5EF4-FFF2-40B4-BE49-F238E27FC236}">
              <a16:creationId xmlns="" xmlns:a16="http://schemas.microsoft.com/office/drawing/2014/main" id="{00000000-0008-0000-1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650875</xdr:colOff>
      <xdr:row>68</xdr:row>
      <xdr:rowOff>95250</xdr:rowOff>
    </xdr:from>
    <xdr:to>
      <xdr:col>23</xdr:col>
      <xdr:colOff>158750</xdr:colOff>
      <xdr:row>92</xdr:row>
      <xdr:rowOff>71437</xdr:rowOff>
    </xdr:to>
    <xdr:graphicFrame macro="">
      <xdr:nvGraphicFramePr>
        <xdr:cNvPr id="17" name="Chart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68</xdr:row>
      <xdr:rowOff>95250</xdr:rowOff>
    </xdr:from>
    <xdr:to>
      <xdr:col>19</xdr:col>
      <xdr:colOff>174625</xdr:colOff>
      <xdr:row>92</xdr:row>
      <xdr:rowOff>71437</xdr:rowOff>
    </xdr:to>
    <xdr:graphicFrame macro="">
      <xdr:nvGraphicFramePr>
        <xdr:cNvPr id="16" name="Chart 15">
          <a:extLst>
            <a:ext uri="{FF2B5EF4-FFF2-40B4-BE49-F238E27FC236}">
              <a16:creationId xmlns="" xmlns:a16="http://schemas.microsoft.com/office/drawing/2014/main" id="{00000000-0008-0000-1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68</xdr:row>
      <xdr:rowOff>95250</xdr:rowOff>
    </xdr:from>
    <xdr:to>
      <xdr:col>15</xdr:col>
      <xdr:colOff>174625</xdr:colOff>
      <xdr:row>92</xdr:row>
      <xdr:rowOff>71437</xdr:rowOff>
    </xdr:to>
    <xdr:graphicFrame macro="">
      <xdr:nvGraphicFramePr>
        <xdr:cNvPr id="18" name="Chart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34</xdr:col>
      <xdr:colOff>0</xdr:colOff>
      <xdr:row>5</xdr:row>
      <xdr:rowOff>0</xdr:rowOff>
    </xdr:from>
    <xdr:to>
      <xdr:col>42</xdr:col>
      <xdr:colOff>75407</xdr:colOff>
      <xdr:row>22</xdr:row>
      <xdr:rowOff>7938</xdr:rowOff>
    </xdr:to>
    <xdr:graphicFrame macro="">
      <xdr:nvGraphicFramePr>
        <xdr:cNvPr id="19" name="Chart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77788</xdr:colOff>
      <xdr:row>4</xdr:row>
      <xdr:rowOff>144462</xdr:rowOff>
    </xdr:from>
    <xdr:to>
      <xdr:col>17</xdr:col>
      <xdr:colOff>114300</xdr:colOff>
      <xdr:row>20</xdr:row>
      <xdr:rowOff>139700</xdr:rowOff>
    </xdr:to>
    <xdr:graphicFrame macro="">
      <xdr:nvGraphicFramePr>
        <xdr:cNvPr id="4" name="Chart 3">
          <a:extLst>
            <a:ext uri="{FF2B5EF4-FFF2-40B4-BE49-F238E27FC236}">
              <a16:creationId xmlns=""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1</xdr:row>
      <xdr:rowOff>0</xdr:rowOff>
    </xdr:from>
    <xdr:to>
      <xdr:col>14</xdr:col>
      <xdr:colOff>462425</xdr:colOff>
      <xdr:row>4</xdr:row>
      <xdr:rowOff>23469</xdr:rowOff>
    </xdr:to>
    <xdr:pic>
      <xdr:nvPicPr>
        <xdr:cNvPr id="5" name="Picture 4">
          <a:extLst>
            <a:ext uri="{FF2B5EF4-FFF2-40B4-BE49-F238E27FC236}">
              <a16:creationId xmlns="" xmlns:a16="http://schemas.microsoft.com/office/drawing/2014/main" id="{00000000-0008-0000-1200-000005000000}"/>
            </a:ext>
          </a:extLst>
        </xdr:cNvPr>
        <xdr:cNvPicPr>
          <a:picLocks noChangeAspect="1"/>
        </xdr:cNvPicPr>
      </xdr:nvPicPr>
      <xdr:blipFill>
        <a:blip xmlns:r="http://schemas.openxmlformats.org/officeDocument/2006/relationships" r:embed="rId2"/>
        <a:stretch>
          <a:fillRect/>
        </a:stretch>
      </xdr:blipFill>
      <xdr:spPr>
        <a:xfrm>
          <a:off x="6318250" y="158750"/>
          <a:ext cx="2938925" cy="650532"/>
        </a:xfrm>
        <a:prstGeom prst="rect">
          <a:avLst/>
        </a:prstGeom>
      </xdr:spPr>
    </xdr:pic>
    <xdr:clientData/>
  </xdr:twoCellAnchor>
  <xdr:twoCellAnchor>
    <xdr:from>
      <xdr:col>1</xdr:col>
      <xdr:colOff>19050</xdr:colOff>
      <xdr:row>5</xdr:row>
      <xdr:rowOff>0</xdr:rowOff>
    </xdr:from>
    <xdr:to>
      <xdr:col>7</xdr:col>
      <xdr:colOff>501650</xdr:colOff>
      <xdr:row>20</xdr:row>
      <xdr:rowOff>107950</xdr:rowOff>
    </xdr:to>
    <xdr:graphicFrame macro="">
      <xdr:nvGraphicFramePr>
        <xdr:cNvPr id="6" name="Chart 5">
          <a:extLst>
            <a:ext uri="{FF2B5EF4-FFF2-40B4-BE49-F238E27FC236}">
              <a16:creationId xmlns=""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0.15882</cdr:x>
      <cdr:y>0.26873</cdr:y>
    </cdr:from>
    <cdr:to>
      <cdr:x>0.43636</cdr:x>
      <cdr:y>0.39207</cdr:y>
    </cdr:to>
    <cdr:pic>
      <cdr:nvPicPr>
        <cdr:cNvPr id="2" name="Picture 1">
          <a:extLst xmlns:a="http://schemas.openxmlformats.org/drawingml/2006/main">
            <a:ext uri="{FF2B5EF4-FFF2-40B4-BE49-F238E27FC236}">
              <a16:creationId xmlns=""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65126" y="680556"/>
          <a:ext cx="1511800" cy="312358"/>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2</xdr:col>
      <xdr:colOff>75404</xdr:colOff>
      <xdr:row>59</xdr:row>
      <xdr:rowOff>120650</xdr:rowOff>
    </xdr:from>
    <xdr:to>
      <xdr:col>9</xdr:col>
      <xdr:colOff>539750</xdr:colOff>
      <xdr:row>75</xdr:row>
      <xdr:rowOff>142875</xdr:rowOff>
    </xdr:to>
    <xdr:graphicFrame macro="">
      <xdr:nvGraphicFramePr>
        <xdr:cNvPr id="5" name="Chart 4">
          <a:extLst>
            <a:ext uri="{FF2B5EF4-FFF2-40B4-BE49-F238E27FC236}">
              <a16:creationId xmlns=""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154781</xdr:colOff>
      <xdr:row>84</xdr:row>
      <xdr:rowOff>128587</xdr:rowOff>
    </xdr:from>
    <xdr:to>
      <xdr:col>10</xdr:col>
      <xdr:colOff>87313</xdr:colOff>
      <xdr:row>103</xdr:row>
      <xdr:rowOff>7937</xdr:rowOff>
    </xdr:to>
    <xdr:graphicFrame macro="">
      <xdr:nvGraphicFramePr>
        <xdr:cNvPr id="6" name="Chart 5">
          <a:extLst>
            <a:ext uri="{FF2B5EF4-FFF2-40B4-BE49-F238E27FC236}">
              <a16:creationId xmlns=""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67467</xdr:colOff>
      <xdr:row>112</xdr:row>
      <xdr:rowOff>144463</xdr:rowOff>
    </xdr:from>
    <xdr:to>
      <xdr:col>9</xdr:col>
      <xdr:colOff>495300</xdr:colOff>
      <xdr:row>132</xdr:row>
      <xdr:rowOff>76200</xdr:rowOff>
    </xdr:to>
    <xdr:graphicFrame macro="">
      <xdr:nvGraphicFramePr>
        <xdr:cNvPr id="11" name="Chart 10">
          <a:extLst>
            <a:ext uri="{FF2B5EF4-FFF2-40B4-BE49-F238E27FC236}">
              <a16:creationId xmlns="" xmlns:a16="http://schemas.microsoft.com/office/drawing/2014/main" id="{00000000-0008-0000-1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379867</xdr:colOff>
      <xdr:row>1</xdr:row>
      <xdr:rowOff>53295</xdr:rowOff>
    </xdr:from>
    <xdr:to>
      <xdr:col>16</xdr:col>
      <xdr:colOff>336560</xdr:colOff>
      <xdr:row>4</xdr:row>
      <xdr:rowOff>46602</xdr:rowOff>
    </xdr:to>
    <xdr:pic>
      <xdr:nvPicPr>
        <xdr:cNvPr id="9" name="Picture 8">
          <a:extLst>
            <a:ext uri="{FF2B5EF4-FFF2-40B4-BE49-F238E27FC236}">
              <a16:creationId xmlns="" xmlns:a16="http://schemas.microsoft.com/office/drawing/2014/main" id="{00000000-0008-0000-1300-000009000000}"/>
            </a:ext>
          </a:extLst>
        </xdr:cNvPr>
        <xdr:cNvPicPr>
          <a:picLocks noChangeAspect="1"/>
        </xdr:cNvPicPr>
      </xdr:nvPicPr>
      <xdr:blipFill>
        <a:blip xmlns:r="http://schemas.openxmlformats.org/officeDocument/2006/relationships" r:embed="rId4"/>
        <a:stretch>
          <a:fillRect/>
        </a:stretch>
      </xdr:blipFill>
      <xdr:spPr>
        <a:xfrm>
          <a:off x="9532938" y="216581"/>
          <a:ext cx="2932122" cy="646450"/>
        </a:xfrm>
        <a:prstGeom prst="rect">
          <a:avLst/>
        </a:prstGeom>
      </xdr:spPr>
    </xdr:pic>
    <xdr:clientData/>
  </xdr:twoCellAnchor>
  <xdr:twoCellAnchor>
    <xdr:from>
      <xdr:col>1</xdr:col>
      <xdr:colOff>0</xdr:colOff>
      <xdr:row>35</xdr:row>
      <xdr:rowOff>95250</xdr:rowOff>
    </xdr:from>
    <xdr:to>
      <xdr:col>7</xdr:col>
      <xdr:colOff>169863</xdr:colOff>
      <xdr:row>52</xdr:row>
      <xdr:rowOff>122766</xdr:rowOff>
    </xdr:to>
    <xdr:graphicFrame macro="">
      <xdr:nvGraphicFramePr>
        <xdr:cNvPr id="14" name="Chart 13">
          <a:extLst>
            <a:ext uri="{FF2B5EF4-FFF2-40B4-BE49-F238E27FC236}">
              <a16:creationId xmlns="" xmlns:a16="http://schemas.microsoft.com/office/drawing/2014/main" id="{00000000-0008-0000-1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639645</xdr:colOff>
      <xdr:row>7</xdr:row>
      <xdr:rowOff>130175</xdr:rowOff>
    </xdr:from>
    <xdr:to>
      <xdr:col>11</xdr:col>
      <xdr:colOff>524780</xdr:colOff>
      <xdr:row>32</xdr:row>
      <xdr:rowOff>104383</xdr:rowOff>
    </xdr:to>
    <xdr:graphicFrame macro="">
      <xdr:nvGraphicFramePr>
        <xdr:cNvPr id="13" name="Chart 12">
          <a:extLst>
            <a:ext uri="{FF2B5EF4-FFF2-40B4-BE49-F238E27FC236}">
              <a16:creationId xmlns="" xmlns:a16="http://schemas.microsoft.com/office/drawing/2014/main" id="{00000000-0008-0000-1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23813</xdr:colOff>
      <xdr:row>7</xdr:row>
      <xdr:rowOff>130491</xdr:rowOff>
    </xdr:from>
    <xdr:to>
      <xdr:col>5</xdr:col>
      <xdr:colOff>436238</xdr:colOff>
      <xdr:row>32</xdr:row>
      <xdr:rowOff>104699</xdr:rowOff>
    </xdr:to>
    <xdr:graphicFrame macro="">
      <xdr:nvGraphicFramePr>
        <xdr:cNvPr id="15" name="Chart 14">
          <a:extLst>
            <a:ext uri="{FF2B5EF4-FFF2-40B4-BE49-F238E27FC236}">
              <a16:creationId xmlns="" xmlns:a16="http://schemas.microsoft.com/office/drawing/2014/main" id="{00000000-0008-0000-1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22225</xdr:colOff>
      <xdr:row>140</xdr:row>
      <xdr:rowOff>123825</xdr:rowOff>
    </xdr:from>
    <xdr:to>
      <xdr:col>7</xdr:col>
      <xdr:colOff>21071</xdr:colOff>
      <xdr:row>156</xdr:row>
      <xdr:rowOff>109971</xdr:rowOff>
    </xdr:to>
    <xdr:graphicFrame macro="">
      <xdr:nvGraphicFramePr>
        <xdr:cNvPr id="17" name="Chart 16">
          <a:extLst>
            <a:ext uri="{FF2B5EF4-FFF2-40B4-BE49-F238E27FC236}">
              <a16:creationId xmlns="" xmlns:a16="http://schemas.microsoft.com/office/drawing/2014/main" i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160</xdr:row>
      <xdr:rowOff>0</xdr:rowOff>
    </xdr:from>
    <xdr:to>
      <xdr:col>7</xdr:col>
      <xdr:colOff>238125</xdr:colOff>
      <xdr:row>177</xdr:row>
      <xdr:rowOff>95250</xdr:rowOff>
    </xdr:to>
    <xdr:graphicFrame macro="">
      <xdr:nvGraphicFramePr>
        <xdr:cNvPr id="16" name="Chart 15">
          <a:extLst>
            <a:ext uri="{FF2B5EF4-FFF2-40B4-BE49-F238E27FC236}">
              <a16:creationId xmlns="" xmlns:a16="http://schemas.microsoft.com/office/drawing/2014/main" id="{00000000-0008-0000-1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12796936" name="Group 19">
          <a:extLst>
            <a:ext uri="{FF2B5EF4-FFF2-40B4-BE49-F238E27FC236}">
              <a16:creationId xmlns="" xmlns:a16="http://schemas.microsoft.com/office/drawing/2014/main" id="{00000000-0008-0000-0200-00000844C300}"/>
            </a:ext>
          </a:extLst>
        </xdr:cNvPr>
        <xdr:cNvGrpSpPr>
          <a:grpSpLocks/>
        </xdr:cNvGrpSpPr>
      </xdr:nvGrpSpPr>
      <xdr:grpSpPr bwMode="auto">
        <a:xfrm>
          <a:off x="339725" y="1884363"/>
          <a:ext cx="6315075" cy="1371600"/>
          <a:chOff x="158" y="204"/>
          <a:chExt cx="624" cy="147"/>
        </a:xfrm>
      </xdr:grpSpPr>
      <xdr:sp macro="" textlink="">
        <xdr:nvSpPr>
          <xdr:cNvPr id="3" name="Text Box 9">
            <a:extLst>
              <a:ext uri="{FF2B5EF4-FFF2-40B4-BE49-F238E27FC236}">
                <a16:creationId xmlns="" xmlns:a16="http://schemas.microsoft.com/office/drawing/2014/main" id="{00000000-0008-0000-02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 xmlns:a16="http://schemas.microsoft.com/office/drawing/2014/main" id="{00000000-0008-0000-02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 xmlns:a16="http://schemas.microsoft.com/office/drawing/2014/main" id="{00000000-0008-0000-02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 xmlns:a16="http://schemas.microsoft.com/office/drawing/2014/main" id="{00000000-0008-0000-02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 xmlns:a16="http://schemas.microsoft.com/office/drawing/2014/main" id="{00000000-0008-0000-02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 xmlns:a16="http://schemas.microsoft.com/office/drawing/2014/main" id="{00000000-0008-0000-02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 xmlns:a16="http://schemas.microsoft.com/office/drawing/2014/main" id="{00000000-0008-0000-02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 xmlns:a16="http://schemas.microsoft.com/office/drawing/2014/main" id="{00000000-0008-0000-02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 xmlns:a16="http://schemas.microsoft.com/office/drawing/2014/main" id="{00000000-0008-0000-02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 xmlns:a16="http://schemas.microsoft.com/office/drawing/2014/main" id="{00000000-0008-0000-02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21</xdr:col>
      <xdr:colOff>142308</xdr:colOff>
      <xdr:row>21</xdr:row>
      <xdr:rowOff>105455</xdr:rowOff>
    </xdr:from>
    <xdr:to>
      <xdr:col>29</xdr:col>
      <xdr:colOff>195942</xdr:colOff>
      <xdr:row>37</xdr:row>
      <xdr:rowOff>91167</xdr:rowOff>
    </xdr:to>
    <xdr:graphicFrame macro="">
      <xdr:nvGraphicFramePr>
        <xdr:cNvPr id="15" name="Chart 14">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146276</xdr:colOff>
      <xdr:row>3</xdr:row>
      <xdr:rowOff>65767</xdr:rowOff>
    </xdr:from>
    <xdr:to>
      <xdr:col>29</xdr:col>
      <xdr:colOff>228486</xdr:colOff>
      <xdr:row>20</xdr:row>
      <xdr:rowOff>140380</xdr:rowOff>
    </xdr:to>
    <xdr:graphicFrame macro="">
      <xdr:nvGraphicFramePr>
        <xdr:cNvPr id="18" name="Chart 17">
          <a:extLst>
            <a:ext uri="{FF2B5EF4-FFF2-40B4-BE49-F238E27FC236}">
              <a16:creationId xmlns=""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290285</xdr:colOff>
      <xdr:row>0</xdr:row>
      <xdr:rowOff>90714</xdr:rowOff>
    </xdr:from>
    <xdr:to>
      <xdr:col>19</xdr:col>
      <xdr:colOff>8853</xdr:colOff>
      <xdr:row>3</xdr:row>
      <xdr:rowOff>151603</xdr:rowOff>
    </xdr:to>
    <xdr:pic>
      <xdr:nvPicPr>
        <xdr:cNvPr id="16" name="Picture 15">
          <a:extLst>
            <a:ext uri="{FF2B5EF4-FFF2-40B4-BE49-F238E27FC236}">
              <a16:creationId xmlns=""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8899071" y="90714"/>
          <a:ext cx="2938925" cy="65053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0.18187</cdr:x>
      <cdr:y>0.11658</cdr:y>
    </cdr:from>
    <cdr:to>
      <cdr:x>0.45941</cdr:x>
      <cdr:y>0.23992</cdr:y>
    </cdr:to>
    <cdr:pic>
      <cdr:nvPicPr>
        <cdr:cNvPr id="2" name="Picture 1">
          <a:extLst xmlns:a="http://schemas.openxmlformats.org/drawingml/2006/main">
            <a:ext uri="{FF2B5EF4-FFF2-40B4-BE49-F238E27FC236}">
              <a16:creationId xmlns=""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90683" y="295226"/>
          <a:ext cx="1511800" cy="31235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852714</xdr:colOff>
      <xdr:row>0</xdr:row>
      <xdr:rowOff>36286</xdr:rowOff>
    </xdr:from>
    <xdr:to>
      <xdr:col>14</xdr:col>
      <xdr:colOff>934139</xdr:colOff>
      <xdr:row>3</xdr:row>
      <xdr:rowOff>97175</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248571" y="36286"/>
          <a:ext cx="2938925" cy="6505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16256</xdr:colOff>
      <xdr:row>106</xdr:row>
      <xdr:rowOff>122903</xdr:rowOff>
    </xdr:from>
    <xdr:to>
      <xdr:col>9</xdr:col>
      <xdr:colOff>457200</xdr:colOff>
      <xdr:row>128</xdr:row>
      <xdr:rowOff>61821</xdr:rowOff>
    </xdr:to>
    <xdr:graphicFrame macro="">
      <xdr:nvGraphicFramePr>
        <xdr:cNvPr id="3" name="Chart 4">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540808</xdr:colOff>
      <xdr:row>106</xdr:row>
      <xdr:rowOff>112039</xdr:rowOff>
    </xdr:from>
    <xdr:to>
      <xdr:col>18</xdr:col>
      <xdr:colOff>29029</xdr:colOff>
      <xdr:row>128</xdr:row>
      <xdr:rowOff>61821</xdr:rowOff>
    </xdr:to>
    <xdr:graphicFrame macro="">
      <xdr:nvGraphicFramePr>
        <xdr:cNvPr id="11" name="Chart 4">
          <a:extLst>
            <a:ext uri="{FF2B5EF4-FFF2-40B4-BE49-F238E27FC236}">
              <a16:creationId xmlns=""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152582</xdr:colOff>
      <xdr:row>418</xdr:row>
      <xdr:rowOff>60776</xdr:rowOff>
    </xdr:from>
    <xdr:to>
      <xdr:col>9</xdr:col>
      <xdr:colOff>714829</xdr:colOff>
      <xdr:row>439</xdr:row>
      <xdr:rowOff>112486</xdr:rowOff>
    </xdr:to>
    <xdr:graphicFrame macro="">
      <xdr:nvGraphicFramePr>
        <xdr:cNvPr id="15" name="Chart 14">
          <a:extLst>
            <a:ext uri="{FF2B5EF4-FFF2-40B4-BE49-F238E27FC236}">
              <a16:creationId xmlns=""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174171</xdr:colOff>
      <xdr:row>418</xdr:row>
      <xdr:rowOff>107042</xdr:rowOff>
    </xdr:from>
    <xdr:to>
      <xdr:col>21</xdr:col>
      <xdr:colOff>876301</xdr:colOff>
      <xdr:row>439</xdr:row>
      <xdr:rowOff>128132</xdr:rowOff>
    </xdr:to>
    <xdr:graphicFrame macro="">
      <xdr:nvGraphicFramePr>
        <xdr:cNvPr id="16" name="Chart 15">
          <a:extLst>
            <a:ext uri="{FF2B5EF4-FFF2-40B4-BE49-F238E27FC236}">
              <a16:creationId xmlns=""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97971</xdr:colOff>
      <xdr:row>356</xdr:row>
      <xdr:rowOff>76200</xdr:rowOff>
    </xdr:from>
    <xdr:to>
      <xdr:col>10</xdr:col>
      <xdr:colOff>241300</xdr:colOff>
      <xdr:row>376</xdr:row>
      <xdr:rowOff>168502</xdr:rowOff>
    </xdr:to>
    <xdr:graphicFrame macro="">
      <xdr:nvGraphicFramePr>
        <xdr:cNvPr id="17" name="Chart 16">
          <a:extLst>
            <a:ext uri="{FF2B5EF4-FFF2-40B4-BE49-F238E27FC236}">
              <a16:creationId xmlns=""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25964</xdr:colOff>
      <xdr:row>355</xdr:row>
      <xdr:rowOff>152399</xdr:rowOff>
    </xdr:from>
    <xdr:to>
      <xdr:col>20</xdr:col>
      <xdr:colOff>889000</xdr:colOff>
      <xdr:row>376</xdr:row>
      <xdr:rowOff>155122</xdr:rowOff>
    </xdr:to>
    <xdr:graphicFrame macro="">
      <xdr:nvGraphicFramePr>
        <xdr:cNvPr id="18" name="Chart 17">
          <a:extLst>
            <a:ext uri="{FF2B5EF4-FFF2-40B4-BE49-F238E27FC236}">
              <a16:creationId xmlns=""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126546</xdr:colOff>
      <xdr:row>516</xdr:row>
      <xdr:rowOff>110671</xdr:rowOff>
    </xdr:from>
    <xdr:to>
      <xdr:col>9</xdr:col>
      <xdr:colOff>205015</xdr:colOff>
      <xdr:row>537</xdr:row>
      <xdr:rowOff>168728</xdr:rowOff>
    </xdr:to>
    <xdr:graphicFrame macro="">
      <xdr:nvGraphicFramePr>
        <xdr:cNvPr id="19" name="Chart 18">
          <a:extLst>
            <a:ext uri="{FF2B5EF4-FFF2-40B4-BE49-F238E27FC236}">
              <a16:creationId xmlns=""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32656</xdr:colOff>
      <xdr:row>516</xdr:row>
      <xdr:rowOff>97972</xdr:rowOff>
    </xdr:from>
    <xdr:to>
      <xdr:col>21</xdr:col>
      <xdr:colOff>257629</xdr:colOff>
      <xdr:row>537</xdr:row>
      <xdr:rowOff>114416</xdr:rowOff>
    </xdr:to>
    <xdr:graphicFrame macro="">
      <xdr:nvGraphicFramePr>
        <xdr:cNvPr id="20" name="Chart 19">
          <a:extLst>
            <a:ext uri="{FF2B5EF4-FFF2-40B4-BE49-F238E27FC236}">
              <a16:creationId xmlns=""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112939</xdr:colOff>
      <xdr:row>677</xdr:row>
      <xdr:rowOff>91619</xdr:rowOff>
    </xdr:from>
    <xdr:to>
      <xdr:col>10</xdr:col>
      <xdr:colOff>622300</xdr:colOff>
      <xdr:row>701</xdr:row>
      <xdr:rowOff>156708</xdr:rowOff>
    </xdr:to>
    <xdr:graphicFrame macro="">
      <xdr:nvGraphicFramePr>
        <xdr:cNvPr id="21" name="Chart 20">
          <a:extLst>
            <a:ext uri="{FF2B5EF4-FFF2-40B4-BE49-F238E27FC236}">
              <a16:creationId xmlns=""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119288</xdr:colOff>
      <xdr:row>677</xdr:row>
      <xdr:rowOff>67129</xdr:rowOff>
    </xdr:from>
    <xdr:to>
      <xdr:col>21</xdr:col>
      <xdr:colOff>396875</xdr:colOff>
      <xdr:row>701</xdr:row>
      <xdr:rowOff>95251</xdr:rowOff>
    </xdr:to>
    <xdr:graphicFrame macro="">
      <xdr:nvGraphicFramePr>
        <xdr:cNvPr id="22" name="Chart 21">
          <a:extLst>
            <a:ext uri="{FF2B5EF4-FFF2-40B4-BE49-F238E27FC236}">
              <a16:creationId xmlns=""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32884</xdr:colOff>
      <xdr:row>717</xdr:row>
      <xdr:rowOff>87082</xdr:rowOff>
    </xdr:from>
    <xdr:to>
      <xdr:col>9</xdr:col>
      <xdr:colOff>875847</xdr:colOff>
      <xdr:row>741</xdr:row>
      <xdr:rowOff>152400</xdr:rowOff>
    </xdr:to>
    <xdr:graphicFrame macro="">
      <xdr:nvGraphicFramePr>
        <xdr:cNvPr id="31" name="Chart 30">
          <a:extLst>
            <a:ext uri="{FF2B5EF4-FFF2-40B4-BE49-F238E27FC236}">
              <a16:creationId xmlns=""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14738</xdr:colOff>
      <xdr:row>717</xdr:row>
      <xdr:rowOff>79828</xdr:rowOff>
    </xdr:from>
    <xdr:to>
      <xdr:col>22</xdr:col>
      <xdr:colOff>628649</xdr:colOff>
      <xdr:row>741</xdr:row>
      <xdr:rowOff>107610</xdr:rowOff>
    </xdr:to>
    <xdr:graphicFrame macro="">
      <xdr:nvGraphicFramePr>
        <xdr:cNvPr id="32" name="Chart 31">
          <a:extLst>
            <a:ext uri="{FF2B5EF4-FFF2-40B4-BE49-F238E27FC236}">
              <a16:creationId xmlns=""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xdr:col>
      <xdr:colOff>18144</xdr:colOff>
      <xdr:row>150</xdr:row>
      <xdr:rowOff>141645</xdr:rowOff>
    </xdr:from>
    <xdr:to>
      <xdr:col>8</xdr:col>
      <xdr:colOff>38100</xdr:colOff>
      <xdr:row>170</xdr:row>
      <xdr:rowOff>72704</xdr:rowOff>
    </xdr:to>
    <xdr:graphicFrame macro="">
      <xdr:nvGraphicFramePr>
        <xdr:cNvPr id="46" name="Chart 4">
          <a:extLst>
            <a:ext uri="{FF2B5EF4-FFF2-40B4-BE49-F238E27FC236}">
              <a16:creationId xmlns=""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8</xdr:col>
      <xdr:colOff>285904</xdr:colOff>
      <xdr:row>150</xdr:row>
      <xdr:rowOff>140513</xdr:rowOff>
    </xdr:from>
    <xdr:to>
      <xdr:col>15</xdr:col>
      <xdr:colOff>79528</xdr:colOff>
      <xdr:row>170</xdr:row>
      <xdr:rowOff>105365</xdr:rowOff>
    </xdr:to>
    <xdr:graphicFrame macro="">
      <xdr:nvGraphicFramePr>
        <xdr:cNvPr id="47" name="Chart 4">
          <a:extLst>
            <a:ext uri="{FF2B5EF4-FFF2-40B4-BE49-F238E27FC236}">
              <a16:creationId xmlns=""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299356</xdr:colOff>
      <xdr:row>322</xdr:row>
      <xdr:rowOff>94343</xdr:rowOff>
    </xdr:from>
    <xdr:to>
      <xdr:col>9</xdr:col>
      <xdr:colOff>863600</xdr:colOff>
      <xdr:row>339</xdr:row>
      <xdr:rowOff>119743</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68035</xdr:colOff>
      <xdr:row>30</xdr:row>
      <xdr:rowOff>174170</xdr:rowOff>
    </xdr:from>
    <xdr:to>
      <xdr:col>9</xdr:col>
      <xdr:colOff>723900</xdr:colOff>
      <xdr:row>48</xdr:row>
      <xdr:rowOff>195298</xdr:rowOff>
    </xdr:to>
    <xdr:graphicFrame macro="">
      <xdr:nvGraphicFramePr>
        <xdr:cNvPr id="33" name="Chart 32">
          <a:extLst>
            <a:ext uri="{FF2B5EF4-FFF2-40B4-BE49-F238E27FC236}">
              <a16:creationId xmlns=""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116113</xdr:colOff>
      <xdr:row>5</xdr:row>
      <xdr:rowOff>47171</xdr:rowOff>
    </xdr:from>
    <xdr:to>
      <xdr:col>9</xdr:col>
      <xdr:colOff>723900</xdr:colOff>
      <xdr:row>23</xdr:row>
      <xdr:rowOff>97327</xdr:rowOff>
    </xdr:to>
    <xdr:graphicFrame macro="">
      <xdr:nvGraphicFramePr>
        <xdr:cNvPr id="34" name="Chart 33">
          <a:extLst>
            <a:ext uri="{FF2B5EF4-FFF2-40B4-BE49-F238E27FC236}">
              <a16:creationId xmlns=""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172357</xdr:colOff>
      <xdr:row>5</xdr:row>
      <xdr:rowOff>47172</xdr:rowOff>
    </xdr:from>
    <xdr:to>
      <xdr:col>21</xdr:col>
      <xdr:colOff>511628</xdr:colOff>
      <xdr:row>23</xdr:row>
      <xdr:rowOff>100957</xdr:rowOff>
    </xdr:to>
    <xdr:graphicFrame macro="">
      <xdr:nvGraphicFramePr>
        <xdr:cNvPr id="37" name="Chart 36">
          <a:extLst>
            <a:ext uri="{FF2B5EF4-FFF2-40B4-BE49-F238E27FC236}">
              <a16:creationId xmlns=""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112484</xdr:colOff>
      <xdr:row>385</xdr:row>
      <xdr:rowOff>39006</xdr:rowOff>
    </xdr:from>
    <xdr:to>
      <xdr:col>9</xdr:col>
      <xdr:colOff>774699</xdr:colOff>
      <xdr:row>408</xdr:row>
      <xdr:rowOff>168502</xdr:rowOff>
    </xdr:to>
    <xdr:graphicFrame macro="">
      <xdr:nvGraphicFramePr>
        <xdr:cNvPr id="36" name="Chart 35">
          <a:extLst>
            <a:ext uri="{FF2B5EF4-FFF2-40B4-BE49-F238E27FC236}">
              <a16:creationId xmlns=""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35037</xdr:colOff>
      <xdr:row>385</xdr:row>
      <xdr:rowOff>102734</xdr:rowOff>
    </xdr:from>
    <xdr:to>
      <xdr:col>21</xdr:col>
      <xdr:colOff>914400</xdr:colOff>
      <xdr:row>408</xdr:row>
      <xdr:rowOff>155122</xdr:rowOff>
    </xdr:to>
    <xdr:graphicFrame macro="">
      <xdr:nvGraphicFramePr>
        <xdr:cNvPr id="38" name="Chart 37">
          <a:extLst>
            <a:ext uri="{FF2B5EF4-FFF2-40B4-BE49-F238E27FC236}">
              <a16:creationId xmlns=""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161471</xdr:colOff>
      <xdr:row>452</xdr:row>
      <xdr:rowOff>55335</xdr:rowOff>
    </xdr:from>
    <xdr:to>
      <xdr:col>9</xdr:col>
      <xdr:colOff>498929</xdr:colOff>
      <xdr:row>475</xdr:row>
      <xdr:rowOff>181202</xdr:rowOff>
    </xdr:to>
    <xdr:graphicFrame macro="">
      <xdr:nvGraphicFramePr>
        <xdr:cNvPr id="39" name="Chart 38">
          <a:extLst>
            <a:ext uri="{FF2B5EF4-FFF2-40B4-BE49-F238E27FC236}">
              <a16:creationId xmlns=""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120308</xdr:colOff>
      <xdr:row>452</xdr:row>
      <xdr:rowOff>77335</xdr:rowOff>
    </xdr:from>
    <xdr:to>
      <xdr:col>22</xdr:col>
      <xdr:colOff>877206</xdr:colOff>
      <xdr:row>475</xdr:row>
      <xdr:rowOff>133352</xdr:rowOff>
    </xdr:to>
    <xdr:graphicFrame macro="">
      <xdr:nvGraphicFramePr>
        <xdr:cNvPr id="40" name="Chart 39">
          <a:extLst>
            <a:ext uri="{FF2B5EF4-FFF2-40B4-BE49-F238E27FC236}">
              <a16:creationId xmlns=""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194128</xdr:colOff>
      <xdr:row>484</xdr:row>
      <xdr:rowOff>58963</xdr:rowOff>
    </xdr:from>
    <xdr:to>
      <xdr:col>10</xdr:col>
      <xdr:colOff>153761</xdr:colOff>
      <xdr:row>507</xdr:row>
      <xdr:rowOff>184830</xdr:rowOff>
    </xdr:to>
    <xdr:graphicFrame macro="">
      <xdr:nvGraphicFramePr>
        <xdr:cNvPr id="42" name="Chart 41">
          <a:extLst>
            <a:ext uri="{FF2B5EF4-FFF2-40B4-BE49-F238E27FC236}">
              <a16:creationId xmlns=""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91279</xdr:colOff>
      <xdr:row>484</xdr:row>
      <xdr:rowOff>137205</xdr:rowOff>
    </xdr:from>
    <xdr:to>
      <xdr:col>22</xdr:col>
      <xdr:colOff>381000</xdr:colOff>
      <xdr:row>507</xdr:row>
      <xdr:rowOff>189593</xdr:rowOff>
    </xdr:to>
    <xdr:graphicFrame macro="">
      <xdr:nvGraphicFramePr>
        <xdr:cNvPr id="43" name="Chart 42">
          <a:extLst>
            <a:ext uri="{FF2B5EF4-FFF2-40B4-BE49-F238E27FC236}">
              <a16:creationId xmlns=""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99785</xdr:colOff>
      <xdr:row>580</xdr:row>
      <xdr:rowOff>53521</xdr:rowOff>
    </xdr:from>
    <xdr:to>
      <xdr:col>10</xdr:col>
      <xdr:colOff>59418</xdr:colOff>
      <xdr:row>603</xdr:row>
      <xdr:rowOff>179388</xdr:rowOff>
    </xdr:to>
    <xdr:graphicFrame macro="">
      <xdr:nvGraphicFramePr>
        <xdr:cNvPr id="51" name="Chart 50">
          <a:extLst>
            <a:ext uri="{FF2B5EF4-FFF2-40B4-BE49-F238E27FC236}">
              <a16:creationId xmlns="" xmlns:a16="http://schemas.microsoft.com/office/drawing/2014/main"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131193</xdr:colOff>
      <xdr:row>580</xdr:row>
      <xdr:rowOff>64634</xdr:rowOff>
    </xdr:from>
    <xdr:to>
      <xdr:col>20</xdr:col>
      <xdr:colOff>863599</xdr:colOff>
      <xdr:row>603</xdr:row>
      <xdr:rowOff>120651</xdr:rowOff>
    </xdr:to>
    <xdr:graphicFrame macro="">
      <xdr:nvGraphicFramePr>
        <xdr:cNvPr id="53" name="Chart 52">
          <a:extLst>
            <a:ext uri="{FF2B5EF4-FFF2-40B4-BE49-F238E27FC236}">
              <a16:creationId xmlns="" xmlns:a16="http://schemas.microsoft.com/office/drawing/2014/main"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88899</xdr:colOff>
      <xdr:row>754</xdr:row>
      <xdr:rowOff>6350</xdr:rowOff>
    </xdr:from>
    <xdr:to>
      <xdr:col>8</xdr:col>
      <xdr:colOff>714829</xdr:colOff>
      <xdr:row>777</xdr:row>
      <xdr:rowOff>132217</xdr:rowOff>
    </xdr:to>
    <xdr:graphicFrame macro="">
      <xdr:nvGraphicFramePr>
        <xdr:cNvPr id="49" name="Chart 48">
          <a:extLst>
            <a:ext uri="{FF2B5EF4-FFF2-40B4-BE49-F238E27FC236}">
              <a16:creationId xmlns=""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139699</xdr:colOff>
      <xdr:row>786</xdr:row>
      <xdr:rowOff>6348</xdr:rowOff>
    </xdr:from>
    <xdr:to>
      <xdr:col>9</xdr:col>
      <xdr:colOff>85272</xdr:colOff>
      <xdr:row>809</xdr:row>
      <xdr:rowOff>132215</xdr:rowOff>
    </xdr:to>
    <xdr:graphicFrame macro="">
      <xdr:nvGraphicFramePr>
        <xdr:cNvPr id="56" name="Chart 55">
          <a:extLst>
            <a:ext uri="{FF2B5EF4-FFF2-40B4-BE49-F238E27FC236}">
              <a16:creationId xmlns="" xmlns:a16="http://schemas.microsoft.com/office/drawing/2014/main" id="{00000000-0008-0000-04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13</xdr:col>
      <xdr:colOff>228599</xdr:colOff>
      <xdr:row>753</xdr:row>
      <xdr:rowOff>196849</xdr:rowOff>
    </xdr:from>
    <xdr:to>
      <xdr:col>22</xdr:col>
      <xdr:colOff>280761</xdr:colOff>
      <xdr:row>777</xdr:row>
      <xdr:rowOff>119516</xdr:rowOff>
    </xdr:to>
    <xdr:graphicFrame macro="">
      <xdr:nvGraphicFramePr>
        <xdr:cNvPr id="57" name="Chart 56">
          <a:extLst>
            <a:ext uri="{FF2B5EF4-FFF2-40B4-BE49-F238E27FC236}">
              <a16:creationId xmlns="" xmlns:a16="http://schemas.microsoft.com/office/drawing/2014/main"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165099</xdr:colOff>
      <xdr:row>785</xdr:row>
      <xdr:rowOff>178705</xdr:rowOff>
    </xdr:from>
    <xdr:to>
      <xdr:col>22</xdr:col>
      <xdr:colOff>217261</xdr:colOff>
      <xdr:row>809</xdr:row>
      <xdr:rowOff>101373</xdr:rowOff>
    </xdr:to>
    <xdr:graphicFrame macro="">
      <xdr:nvGraphicFramePr>
        <xdr:cNvPr id="58" name="Chart 57">
          <a:extLst>
            <a:ext uri="{FF2B5EF4-FFF2-40B4-BE49-F238E27FC236}">
              <a16:creationId xmlns="" xmlns:a16="http://schemas.microsoft.com/office/drawing/2014/main" id="{00000000-0008-0000-0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99785</xdr:colOff>
      <xdr:row>612</xdr:row>
      <xdr:rowOff>62592</xdr:rowOff>
    </xdr:from>
    <xdr:to>
      <xdr:col>10</xdr:col>
      <xdr:colOff>59418</xdr:colOff>
      <xdr:row>635</xdr:row>
      <xdr:rowOff>188459</xdr:rowOff>
    </xdr:to>
    <xdr:graphicFrame macro="">
      <xdr:nvGraphicFramePr>
        <xdr:cNvPr id="59" name="Chart 58">
          <a:extLst>
            <a:ext uri="{FF2B5EF4-FFF2-40B4-BE49-F238E27FC236}">
              <a16:creationId xmlns="" xmlns:a16="http://schemas.microsoft.com/office/drawing/2014/main" id="{00000000-0008-0000-04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89465</xdr:colOff>
      <xdr:row>612</xdr:row>
      <xdr:rowOff>68263</xdr:rowOff>
    </xdr:from>
    <xdr:to>
      <xdr:col>22</xdr:col>
      <xdr:colOff>846363</xdr:colOff>
      <xdr:row>635</xdr:row>
      <xdr:rowOff>124280</xdr:rowOff>
    </xdr:to>
    <xdr:graphicFrame macro="">
      <xdr:nvGraphicFramePr>
        <xdr:cNvPr id="60" name="Chart 59">
          <a:extLst>
            <a:ext uri="{FF2B5EF4-FFF2-40B4-BE49-F238E27FC236}">
              <a16:creationId xmlns=""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237671</xdr:colOff>
      <xdr:row>194</xdr:row>
      <xdr:rowOff>19049</xdr:rowOff>
    </xdr:from>
    <xdr:to>
      <xdr:col>10</xdr:col>
      <xdr:colOff>197304</xdr:colOff>
      <xdr:row>217</xdr:row>
      <xdr:rowOff>148544</xdr:rowOff>
    </xdr:to>
    <xdr:graphicFrame macro="">
      <xdr:nvGraphicFramePr>
        <xdr:cNvPr id="61" name="Chart 60">
          <a:extLst>
            <a:ext uri="{FF2B5EF4-FFF2-40B4-BE49-F238E27FC236}">
              <a16:creationId xmlns="" xmlns:a16="http://schemas.microsoft.com/office/drawing/2014/main"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105794</xdr:colOff>
      <xdr:row>194</xdr:row>
      <xdr:rowOff>81643</xdr:rowOff>
    </xdr:from>
    <xdr:to>
      <xdr:col>21</xdr:col>
      <xdr:colOff>825499</xdr:colOff>
      <xdr:row>217</xdr:row>
      <xdr:rowOff>136072</xdr:rowOff>
    </xdr:to>
    <xdr:graphicFrame macro="">
      <xdr:nvGraphicFramePr>
        <xdr:cNvPr id="62" name="Chart 61">
          <a:extLst>
            <a:ext uri="{FF2B5EF4-FFF2-40B4-BE49-F238E27FC236}">
              <a16:creationId xmlns="" xmlns:a16="http://schemas.microsoft.com/office/drawing/2014/main" id="{00000000-0008-0000-04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143328</xdr:colOff>
      <xdr:row>226</xdr:row>
      <xdr:rowOff>35377</xdr:rowOff>
    </xdr:from>
    <xdr:to>
      <xdr:col>10</xdr:col>
      <xdr:colOff>102961</xdr:colOff>
      <xdr:row>249</xdr:row>
      <xdr:rowOff>164874</xdr:rowOff>
    </xdr:to>
    <xdr:graphicFrame macro="">
      <xdr:nvGraphicFramePr>
        <xdr:cNvPr id="66" name="Chart 65">
          <a:extLst>
            <a:ext uri="{FF2B5EF4-FFF2-40B4-BE49-F238E27FC236}">
              <a16:creationId xmlns="" xmlns:a16="http://schemas.microsoft.com/office/drawing/2014/main" id="{00000000-0008-0000-04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60438</xdr:colOff>
      <xdr:row>226</xdr:row>
      <xdr:rowOff>90035</xdr:rowOff>
    </xdr:from>
    <xdr:to>
      <xdr:col>21</xdr:col>
      <xdr:colOff>736600</xdr:colOff>
      <xdr:row>249</xdr:row>
      <xdr:rowOff>142424</xdr:rowOff>
    </xdr:to>
    <xdr:graphicFrame macro="">
      <xdr:nvGraphicFramePr>
        <xdr:cNvPr id="67" name="Chart 66">
          <a:extLst>
            <a:ext uri="{FF2B5EF4-FFF2-40B4-BE49-F238E27FC236}">
              <a16:creationId xmlns=""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114300</xdr:colOff>
      <xdr:row>258</xdr:row>
      <xdr:rowOff>84667</xdr:rowOff>
    </xdr:from>
    <xdr:to>
      <xdr:col>10</xdr:col>
      <xdr:colOff>52918</xdr:colOff>
      <xdr:row>281</xdr:row>
      <xdr:rowOff>95930</xdr:rowOff>
    </xdr:to>
    <xdr:graphicFrame macro="">
      <xdr:nvGraphicFramePr>
        <xdr:cNvPr id="64" name="Chart 63">
          <a:extLst>
            <a:ext uri="{FF2B5EF4-FFF2-40B4-BE49-F238E27FC236}">
              <a16:creationId xmlns="" xmlns:a16="http://schemas.microsoft.com/office/drawing/2014/main" id="{00000000-0008-0000-04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13</xdr:col>
      <xdr:colOff>132442</xdr:colOff>
      <xdr:row>258</xdr:row>
      <xdr:rowOff>17235</xdr:rowOff>
    </xdr:from>
    <xdr:to>
      <xdr:col>22</xdr:col>
      <xdr:colOff>92075</xdr:colOff>
      <xdr:row>281</xdr:row>
      <xdr:rowOff>143103</xdr:rowOff>
    </xdr:to>
    <xdr:graphicFrame macro="">
      <xdr:nvGraphicFramePr>
        <xdr:cNvPr id="68" name="Chart 67">
          <a:extLst>
            <a:ext uri="{FF2B5EF4-FFF2-40B4-BE49-F238E27FC236}">
              <a16:creationId xmlns=""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13</xdr:col>
      <xdr:colOff>202251</xdr:colOff>
      <xdr:row>322</xdr:row>
      <xdr:rowOff>55246</xdr:rowOff>
    </xdr:from>
    <xdr:to>
      <xdr:col>21</xdr:col>
      <xdr:colOff>551827</xdr:colOff>
      <xdr:row>339</xdr:row>
      <xdr:rowOff>80645</xdr:rowOff>
    </xdr:to>
    <xdr:graphicFrame macro="">
      <xdr:nvGraphicFramePr>
        <xdr:cNvPr id="70" name="Chart 69">
          <a:extLst>
            <a:ext uri="{FF2B5EF4-FFF2-40B4-BE49-F238E27FC236}">
              <a16:creationId xmlns=""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19</xdr:col>
      <xdr:colOff>181428</xdr:colOff>
      <xdr:row>0</xdr:row>
      <xdr:rowOff>163286</xdr:rowOff>
    </xdr:from>
    <xdr:to>
      <xdr:col>22</xdr:col>
      <xdr:colOff>230196</xdr:colOff>
      <xdr:row>3</xdr:row>
      <xdr:rowOff>187889</xdr:rowOff>
    </xdr:to>
    <xdr:pic>
      <xdr:nvPicPr>
        <xdr:cNvPr id="71" name="Picture 70">
          <a:extLst>
            <a:ext uri="{FF2B5EF4-FFF2-40B4-BE49-F238E27FC236}">
              <a16:creationId xmlns="" xmlns:a16="http://schemas.microsoft.com/office/drawing/2014/main" id="{00000000-0008-0000-0400-000047000000}"/>
            </a:ext>
          </a:extLst>
        </xdr:cNvPr>
        <xdr:cNvPicPr>
          <a:picLocks noChangeAspect="1"/>
        </xdr:cNvPicPr>
      </xdr:nvPicPr>
      <xdr:blipFill>
        <a:blip xmlns:r="http://schemas.openxmlformats.org/officeDocument/2006/relationships" r:embed="rId40"/>
        <a:stretch>
          <a:fillRect/>
        </a:stretch>
      </xdr:blipFill>
      <xdr:spPr>
        <a:xfrm>
          <a:off x="16907328" y="163286"/>
          <a:ext cx="2944368" cy="659603"/>
        </a:xfrm>
        <a:prstGeom prst="rect">
          <a:avLst/>
        </a:prstGeom>
      </xdr:spPr>
    </xdr:pic>
    <xdr:clientData/>
  </xdr:twoCellAnchor>
  <xdr:twoCellAnchor editAs="absolute">
    <xdr:from>
      <xdr:col>18</xdr:col>
      <xdr:colOff>36437</xdr:colOff>
      <xdr:row>106</xdr:row>
      <xdr:rowOff>112039</xdr:rowOff>
    </xdr:from>
    <xdr:to>
      <xdr:col>27</xdr:col>
      <xdr:colOff>161472</xdr:colOff>
      <xdr:row>128</xdr:row>
      <xdr:rowOff>61821</xdr:rowOff>
    </xdr:to>
    <xdr:graphicFrame macro="">
      <xdr:nvGraphicFramePr>
        <xdr:cNvPr id="50" name="Chart 4">
          <a:extLst>
            <a:ext uri="{FF2B5EF4-FFF2-40B4-BE49-F238E27FC236}">
              <a16:creationId xmlns=""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99785</xdr:colOff>
      <xdr:row>644</xdr:row>
      <xdr:rowOff>62592</xdr:rowOff>
    </xdr:from>
    <xdr:to>
      <xdr:col>10</xdr:col>
      <xdr:colOff>59418</xdr:colOff>
      <xdr:row>667</xdr:row>
      <xdr:rowOff>188459</xdr:rowOff>
    </xdr:to>
    <xdr:graphicFrame macro="">
      <xdr:nvGraphicFramePr>
        <xdr:cNvPr id="54" name="Chart 53">
          <a:extLst>
            <a:ext uri="{FF2B5EF4-FFF2-40B4-BE49-F238E27FC236}">
              <a16:creationId xmlns="" xmlns:a16="http://schemas.microsoft.com/office/drawing/2014/main" id="{00000000-0008-0000-0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13</xdr:col>
      <xdr:colOff>89466</xdr:colOff>
      <xdr:row>644</xdr:row>
      <xdr:rowOff>68262</xdr:rowOff>
    </xdr:from>
    <xdr:to>
      <xdr:col>21</xdr:col>
      <xdr:colOff>444501</xdr:colOff>
      <xdr:row>667</xdr:row>
      <xdr:rowOff>142874</xdr:rowOff>
    </xdr:to>
    <xdr:graphicFrame macro="">
      <xdr:nvGraphicFramePr>
        <xdr:cNvPr id="55" name="Chart 54">
          <a:extLst>
            <a:ext uri="{FF2B5EF4-FFF2-40B4-BE49-F238E27FC236}">
              <a16:creationId xmlns="" xmlns:a16="http://schemas.microsoft.com/office/drawing/2014/main" id="{00000000-0008-0000-0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314324</xdr:colOff>
      <xdr:row>290</xdr:row>
      <xdr:rowOff>105833</xdr:rowOff>
    </xdr:from>
    <xdr:to>
      <xdr:col>10</xdr:col>
      <xdr:colOff>622300</xdr:colOff>
      <xdr:row>313</xdr:row>
      <xdr:rowOff>69849</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161471</xdr:colOff>
      <xdr:row>546</xdr:row>
      <xdr:rowOff>55335</xdr:rowOff>
    </xdr:from>
    <xdr:to>
      <xdr:col>9</xdr:col>
      <xdr:colOff>498929</xdr:colOff>
      <xdr:row>569</xdr:row>
      <xdr:rowOff>181202</xdr:rowOff>
    </xdr:to>
    <xdr:graphicFrame macro="">
      <xdr:nvGraphicFramePr>
        <xdr:cNvPr id="63" name="Chart 62">
          <a:extLst>
            <a:ext uri="{FF2B5EF4-FFF2-40B4-BE49-F238E27FC236}">
              <a16:creationId xmlns="" xmlns:a16="http://schemas.microsoft.com/office/drawing/2014/main" id="{00000000-0008-0000-04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120308</xdr:colOff>
      <xdr:row>546</xdr:row>
      <xdr:rowOff>77335</xdr:rowOff>
    </xdr:from>
    <xdr:to>
      <xdr:col>22</xdr:col>
      <xdr:colOff>877206</xdr:colOff>
      <xdr:row>569</xdr:row>
      <xdr:rowOff>133352</xdr:rowOff>
    </xdr:to>
    <xdr:graphicFrame macro="">
      <xdr:nvGraphicFramePr>
        <xdr:cNvPr id="72" name="Chart 71">
          <a:extLst>
            <a:ext uri="{FF2B5EF4-FFF2-40B4-BE49-F238E27FC236}">
              <a16:creationId xmlns=""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68035</xdr:colOff>
      <xdr:row>57</xdr:row>
      <xdr:rowOff>9070</xdr:rowOff>
    </xdr:from>
    <xdr:to>
      <xdr:col>9</xdr:col>
      <xdr:colOff>723900</xdr:colOff>
      <xdr:row>75</xdr:row>
      <xdr:rowOff>30198</xdr:rowOff>
    </xdr:to>
    <xdr:graphicFrame macro="">
      <xdr:nvGraphicFramePr>
        <xdr:cNvPr id="65" name="Chart 64">
          <a:extLst>
            <a:ext uri="{FF2B5EF4-FFF2-40B4-BE49-F238E27FC236}">
              <a16:creationId xmlns="" xmlns:a16="http://schemas.microsoft.com/office/drawing/2014/main" id="{00000000-0008-0000-04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80735</xdr:colOff>
      <xdr:row>76</xdr:row>
      <xdr:rowOff>9070</xdr:rowOff>
    </xdr:from>
    <xdr:to>
      <xdr:col>9</xdr:col>
      <xdr:colOff>736600</xdr:colOff>
      <xdr:row>94</xdr:row>
      <xdr:rowOff>68298</xdr:rowOff>
    </xdr:to>
    <xdr:graphicFrame macro="">
      <xdr:nvGraphicFramePr>
        <xdr:cNvPr id="73" name="Chart 72">
          <a:extLst>
            <a:ext uri="{FF2B5EF4-FFF2-40B4-BE49-F238E27FC236}">
              <a16:creationId xmlns=""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13</xdr:col>
      <xdr:colOff>55335</xdr:colOff>
      <xdr:row>31</xdr:row>
      <xdr:rowOff>72570</xdr:rowOff>
    </xdr:from>
    <xdr:to>
      <xdr:col>21</xdr:col>
      <xdr:colOff>571500</xdr:colOff>
      <xdr:row>49</xdr:row>
      <xdr:rowOff>93698</xdr:rowOff>
    </xdr:to>
    <xdr:graphicFrame macro="">
      <xdr:nvGraphicFramePr>
        <xdr:cNvPr id="75" name="Chart 74">
          <a:extLst>
            <a:ext uri="{FF2B5EF4-FFF2-40B4-BE49-F238E27FC236}">
              <a16:creationId xmlns=""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13</xdr:col>
      <xdr:colOff>68035</xdr:colOff>
      <xdr:row>57</xdr:row>
      <xdr:rowOff>9070</xdr:rowOff>
    </xdr:from>
    <xdr:to>
      <xdr:col>21</xdr:col>
      <xdr:colOff>584200</xdr:colOff>
      <xdr:row>75</xdr:row>
      <xdr:rowOff>30198</xdr:rowOff>
    </xdr:to>
    <xdr:graphicFrame macro="">
      <xdr:nvGraphicFramePr>
        <xdr:cNvPr id="76" name="Chart 75">
          <a:extLst>
            <a:ext uri="{FF2B5EF4-FFF2-40B4-BE49-F238E27FC236}">
              <a16:creationId xmlns=""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13</xdr:col>
      <xdr:colOff>68035</xdr:colOff>
      <xdr:row>76</xdr:row>
      <xdr:rowOff>21770</xdr:rowOff>
    </xdr:from>
    <xdr:to>
      <xdr:col>21</xdr:col>
      <xdr:colOff>584200</xdr:colOff>
      <xdr:row>94</xdr:row>
      <xdr:rowOff>80998</xdr:rowOff>
    </xdr:to>
    <xdr:graphicFrame macro="">
      <xdr:nvGraphicFramePr>
        <xdr:cNvPr id="77" name="Chart 76">
          <a:extLst>
            <a:ext uri="{FF2B5EF4-FFF2-40B4-BE49-F238E27FC236}">
              <a16:creationId xmlns=""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21</xdr:col>
      <xdr:colOff>492126</xdr:colOff>
      <xdr:row>677</xdr:row>
      <xdr:rowOff>79376</xdr:rowOff>
    </xdr:from>
    <xdr:to>
      <xdr:col>28</xdr:col>
      <xdr:colOff>396876</xdr:colOff>
      <xdr:row>701</xdr:row>
      <xdr:rowOff>127000</xdr:rowOff>
    </xdr:to>
    <xdr:graphicFrame macro="">
      <xdr:nvGraphicFramePr>
        <xdr:cNvPr id="69" name="Chart 68">
          <a:extLst>
            <a:ext uri="{FF2B5EF4-FFF2-40B4-BE49-F238E27FC236}">
              <a16:creationId xmlns=""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145142</xdr:colOff>
      <xdr:row>1</xdr:row>
      <xdr:rowOff>45356</xdr:rowOff>
    </xdr:from>
    <xdr:to>
      <xdr:col>14</xdr:col>
      <xdr:colOff>689210</xdr:colOff>
      <xdr:row>4</xdr:row>
      <xdr:rowOff>69960</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9016999" y="208642"/>
          <a:ext cx="2938925" cy="6505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607784</xdr:colOff>
      <xdr:row>1</xdr:row>
      <xdr:rowOff>9071</xdr:rowOff>
    </xdr:from>
    <xdr:to>
      <xdr:col>13</xdr:col>
      <xdr:colOff>13388</xdr:colOff>
      <xdr:row>4</xdr:row>
      <xdr:rowOff>33675</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901213" y="172357"/>
          <a:ext cx="2925318" cy="6505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616857</xdr:colOff>
      <xdr:row>1</xdr:row>
      <xdr:rowOff>117928</xdr:rowOff>
    </xdr:from>
    <xdr:to>
      <xdr:col>14</xdr:col>
      <xdr:colOff>6586</xdr:colOff>
      <xdr:row>4</xdr:row>
      <xdr:rowOff>142532</xdr:rowOff>
    </xdr:to>
    <xdr:pic>
      <xdr:nvPicPr>
        <xdr:cNvPr id="6" name="Picture 5">
          <a:extLst>
            <a:ext uri="{FF2B5EF4-FFF2-40B4-BE49-F238E27FC236}">
              <a16:creationId xmlns=""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9370786" y="281214"/>
          <a:ext cx="2945729" cy="6505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385534</xdr:colOff>
      <xdr:row>231</xdr:row>
      <xdr:rowOff>107042</xdr:rowOff>
    </xdr:from>
    <xdr:to>
      <xdr:col>12</xdr:col>
      <xdr:colOff>235855</xdr:colOff>
      <xdr:row>248</xdr:row>
      <xdr:rowOff>38099</xdr:rowOff>
    </xdr:to>
    <xdr:graphicFrame macro="">
      <xdr:nvGraphicFramePr>
        <xdr:cNvPr id="3" name="Chart 2">
          <a:extLst>
            <a:ext uri="{FF2B5EF4-FFF2-40B4-BE49-F238E27FC236}">
              <a16:creationId xmlns=""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299357</xdr:colOff>
      <xdr:row>1</xdr:row>
      <xdr:rowOff>208642</xdr:rowOff>
    </xdr:from>
    <xdr:to>
      <xdr:col>13</xdr:col>
      <xdr:colOff>789901</xdr:colOff>
      <xdr:row>5</xdr:row>
      <xdr:rowOff>33674</xdr:rowOff>
    </xdr:to>
    <xdr:pic>
      <xdr:nvPicPr>
        <xdr:cNvPr id="5" name="Picture 4">
          <a:extLst>
            <a:ext uri="{FF2B5EF4-FFF2-40B4-BE49-F238E27FC236}">
              <a16:creationId xmlns=""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8363857" y="371928"/>
          <a:ext cx="2921687" cy="6505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717776</xdr:colOff>
      <xdr:row>0</xdr:row>
      <xdr:rowOff>141741</xdr:rowOff>
    </xdr:from>
    <xdr:to>
      <xdr:col>12</xdr:col>
      <xdr:colOff>202756</xdr:colOff>
      <xdr:row>4</xdr:row>
      <xdr:rowOff>6460</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539490" y="141741"/>
          <a:ext cx="2932122" cy="653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81"/>
  <sheetViews>
    <sheetView tabSelected="1" zoomScale="80" zoomScaleNormal="80" zoomScalePageLayoutView="80" workbookViewId="0">
      <selection activeCell="B3" sqref="B3"/>
    </sheetView>
  </sheetViews>
  <sheetFormatPr defaultColWidth="9.1796875" defaultRowHeight="12.5" x14ac:dyDescent="0.25"/>
  <cols>
    <col min="1" max="1" width="4.453125" style="3" customWidth="1"/>
    <col min="2" max="2" width="36.1796875" style="3" customWidth="1"/>
    <col min="3" max="3" width="41.453125" style="3" customWidth="1"/>
    <col min="4" max="16384" width="9.1796875" style="3"/>
  </cols>
  <sheetData>
    <row r="1" spans="1:20" x14ac:dyDescent="0.25">
      <c r="A1" s="37"/>
      <c r="B1" s="37"/>
      <c r="C1" s="37"/>
      <c r="D1" s="37"/>
      <c r="E1" s="37"/>
      <c r="F1" s="37"/>
      <c r="G1" s="37"/>
      <c r="H1" s="37"/>
      <c r="I1" s="37"/>
      <c r="J1" s="37"/>
      <c r="K1" s="37"/>
      <c r="L1" s="37"/>
      <c r="M1" s="37"/>
      <c r="N1" s="37"/>
      <c r="O1" s="37"/>
      <c r="P1" s="37"/>
      <c r="Q1" s="37"/>
      <c r="R1" s="37"/>
      <c r="S1" s="37"/>
      <c r="T1" s="37"/>
    </row>
    <row r="2" spans="1:20" ht="18" x14ac:dyDescent="0.4">
      <c r="A2" s="37"/>
      <c r="B2" s="120" t="s">
        <v>181</v>
      </c>
      <c r="C2" s="37"/>
      <c r="D2" s="37"/>
      <c r="E2" s="37"/>
      <c r="F2" s="37"/>
      <c r="G2" s="37"/>
      <c r="H2" s="37"/>
      <c r="I2" s="37"/>
      <c r="J2" s="37"/>
      <c r="K2" s="37"/>
      <c r="L2" s="37"/>
      <c r="M2" s="37"/>
      <c r="N2" s="37"/>
      <c r="O2" s="37"/>
      <c r="P2" s="37"/>
      <c r="Q2" s="37"/>
      <c r="R2" s="37"/>
      <c r="S2" s="37"/>
      <c r="T2" s="37"/>
    </row>
    <row r="3" spans="1:20" ht="17.5" x14ac:dyDescent="0.35">
      <c r="A3" s="37"/>
      <c r="B3" s="237" t="s">
        <v>519</v>
      </c>
      <c r="C3" s="37"/>
      <c r="D3" s="37"/>
      <c r="E3" s="37"/>
      <c r="F3" s="37"/>
      <c r="G3" s="37"/>
      <c r="H3" s="37"/>
      <c r="I3" s="37"/>
      <c r="J3" s="37"/>
      <c r="K3" s="37"/>
      <c r="L3" s="37"/>
      <c r="M3" s="37"/>
      <c r="N3" s="37"/>
      <c r="O3" s="37"/>
      <c r="P3" s="37"/>
      <c r="Q3" s="37"/>
      <c r="R3" s="37"/>
      <c r="S3" s="37"/>
      <c r="T3" s="37"/>
    </row>
    <row r="4" spans="1:20" x14ac:dyDescent="0.25">
      <c r="A4" s="37"/>
      <c r="B4" s="37"/>
      <c r="C4" s="37"/>
      <c r="D4" s="37"/>
      <c r="E4" s="37"/>
      <c r="F4" s="37"/>
      <c r="G4" s="37"/>
      <c r="H4" s="37"/>
      <c r="I4" s="37"/>
      <c r="J4" s="37"/>
      <c r="K4" s="37"/>
      <c r="L4" s="37"/>
      <c r="M4" s="37"/>
      <c r="N4" s="37"/>
      <c r="O4" s="37"/>
      <c r="P4" s="37"/>
      <c r="Q4" s="37"/>
      <c r="R4" s="37"/>
      <c r="S4" s="37"/>
      <c r="T4" s="37"/>
    </row>
    <row r="5" spans="1:20" ht="13" x14ac:dyDescent="0.3">
      <c r="A5" s="37"/>
      <c r="B5" s="38" t="s">
        <v>30</v>
      </c>
      <c r="C5" s="37"/>
      <c r="D5" s="37"/>
      <c r="E5" s="37"/>
      <c r="F5" s="37"/>
      <c r="G5" s="37"/>
      <c r="H5" s="37"/>
      <c r="I5" s="37"/>
      <c r="J5" s="37"/>
      <c r="K5" s="37"/>
      <c r="L5" s="37"/>
      <c r="M5" s="37"/>
      <c r="N5" s="37"/>
      <c r="O5" s="37"/>
      <c r="P5" s="37"/>
      <c r="Q5" s="37"/>
      <c r="R5" s="37"/>
      <c r="S5" s="37"/>
      <c r="T5" s="37"/>
    </row>
    <row r="6" spans="1:20" ht="12.75" customHeight="1" x14ac:dyDescent="0.25">
      <c r="A6" s="37"/>
      <c r="B6" s="785" t="s">
        <v>464</v>
      </c>
      <c r="C6" s="785"/>
      <c r="D6" s="785"/>
      <c r="E6" s="785"/>
      <c r="F6" s="785"/>
      <c r="G6" s="785"/>
      <c r="H6" s="785"/>
      <c r="I6" s="785"/>
      <c r="J6" s="785"/>
      <c r="K6" s="785"/>
      <c r="L6" s="236"/>
      <c r="M6" s="236"/>
      <c r="N6" s="37"/>
      <c r="O6" s="37"/>
      <c r="P6" s="37"/>
      <c r="Q6" s="37"/>
      <c r="R6" s="37"/>
      <c r="S6" s="37"/>
      <c r="T6" s="37"/>
    </row>
    <row r="7" spans="1:20" x14ac:dyDescent="0.25">
      <c r="A7" s="37"/>
      <c r="B7" s="785"/>
      <c r="C7" s="785"/>
      <c r="D7" s="785"/>
      <c r="E7" s="785"/>
      <c r="F7" s="785"/>
      <c r="G7" s="785"/>
      <c r="H7" s="785"/>
      <c r="I7" s="785"/>
      <c r="J7" s="785"/>
      <c r="K7" s="785"/>
      <c r="L7" s="236"/>
      <c r="M7" s="236"/>
      <c r="N7" s="37"/>
      <c r="O7" s="37"/>
      <c r="P7" s="37"/>
      <c r="Q7" s="37"/>
      <c r="R7" s="37"/>
      <c r="S7" s="37"/>
      <c r="T7" s="37"/>
    </row>
    <row r="8" spans="1:20" x14ac:dyDescent="0.25">
      <c r="A8" s="37"/>
      <c r="B8" s="785"/>
      <c r="C8" s="785"/>
      <c r="D8" s="785"/>
      <c r="E8" s="785"/>
      <c r="F8" s="785"/>
      <c r="G8" s="785"/>
      <c r="H8" s="785"/>
      <c r="I8" s="785"/>
      <c r="J8" s="785"/>
      <c r="K8" s="785"/>
      <c r="L8" s="236"/>
      <c r="M8" s="236"/>
      <c r="N8" s="37"/>
      <c r="O8" s="37"/>
      <c r="P8" s="37"/>
      <c r="Q8" s="37"/>
      <c r="R8" s="37"/>
      <c r="S8" s="37"/>
      <c r="T8" s="37"/>
    </row>
    <row r="9" spans="1:20" x14ac:dyDescent="0.25">
      <c r="A9" s="37"/>
      <c r="B9" s="785"/>
      <c r="C9" s="785"/>
      <c r="D9" s="785"/>
      <c r="E9" s="785"/>
      <c r="F9" s="785"/>
      <c r="G9" s="785"/>
      <c r="H9" s="785"/>
      <c r="I9" s="785"/>
      <c r="J9" s="785"/>
      <c r="K9" s="785"/>
      <c r="L9" s="236"/>
      <c r="M9" s="236"/>
      <c r="N9" s="37"/>
      <c r="O9" s="37"/>
      <c r="P9" s="37"/>
      <c r="Q9" s="37"/>
      <c r="R9" s="37"/>
      <c r="S9" s="37"/>
      <c r="T9" s="37"/>
    </row>
    <row r="10" spans="1:20" ht="22.5" customHeight="1" x14ac:dyDescent="0.25">
      <c r="A10" s="37"/>
      <c r="B10" s="785"/>
      <c r="C10" s="785"/>
      <c r="D10" s="785"/>
      <c r="E10" s="785"/>
      <c r="F10" s="785"/>
      <c r="G10" s="785"/>
      <c r="H10" s="785"/>
      <c r="I10" s="785"/>
      <c r="J10" s="785"/>
      <c r="K10" s="785"/>
      <c r="L10" s="236"/>
      <c r="M10" s="236"/>
      <c r="N10" s="37"/>
      <c r="O10" s="37"/>
      <c r="P10" s="37"/>
      <c r="Q10" s="37"/>
      <c r="R10" s="37"/>
      <c r="S10" s="37"/>
      <c r="T10" s="37"/>
    </row>
    <row r="11" spans="1:20" x14ac:dyDescent="0.25">
      <c r="A11" s="37"/>
      <c r="B11" s="37" t="s">
        <v>31</v>
      </c>
      <c r="C11" s="37"/>
      <c r="D11" s="37"/>
      <c r="E11" s="37"/>
      <c r="F11" s="37"/>
      <c r="G11" s="37"/>
      <c r="H11" s="37"/>
      <c r="I11" s="37"/>
      <c r="J11" s="37"/>
      <c r="K11" s="37"/>
      <c r="L11" s="37"/>
      <c r="M11" s="37"/>
      <c r="N11" s="37"/>
      <c r="O11" s="37"/>
      <c r="P11" s="37"/>
      <c r="Q11" s="37"/>
      <c r="R11" s="37"/>
      <c r="S11" s="37"/>
      <c r="T11" s="37"/>
    </row>
    <row r="12" spans="1:20" x14ac:dyDescent="0.25">
      <c r="A12" s="37"/>
      <c r="B12" s="331" t="s">
        <v>32</v>
      </c>
      <c r="C12" s="332" t="s">
        <v>33</v>
      </c>
      <c r="D12" s="37"/>
      <c r="E12" s="37"/>
      <c r="F12" s="37"/>
      <c r="G12" s="37"/>
      <c r="H12" s="37"/>
      <c r="I12" s="37"/>
      <c r="J12" s="37"/>
      <c r="K12" s="37"/>
      <c r="L12" s="37" t="s">
        <v>101</v>
      </c>
      <c r="M12" s="37"/>
      <c r="N12" s="37"/>
      <c r="O12" s="37"/>
      <c r="P12" s="37"/>
      <c r="Q12" s="37"/>
      <c r="R12" s="37"/>
      <c r="S12" s="37"/>
      <c r="T12" s="37"/>
    </row>
    <row r="13" spans="1:20" x14ac:dyDescent="0.25">
      <c r="A13" s="37"/>
      <c r="B13" s="333" t="s">
        <v>164</v>
      </c>
      <c r="C13" s="334" t="s">
        <v>62</v>
      </c>
      <c r="D13" s="37"/>
      <c r="E13" s="37"/>
      <c r="F13" s="37"/>
      <c r="G13" s="37"/>
      <c r="H13" s="37"/>
      <c r="I13" s="37"/>
      <c r="J13" s="37"/>
      <c r="K13" s="37"/>
      <c r="L13" s="37"/>
      <c r="M13" s="37"/>
      <c r="N13" s="37"/>
      <c r="O13" s="37"/>
      <c r="P13" s="37"/>
      <c r="Q13" s="37"/>
      <c r="R13" s="37"/>
      <c r="S13" s="37"/>
      <c r="T13" s="37"/>
    </row>
    <row r="14" spans="1:20" x14ac:dyDescent="0.25">
      <c r="A14" s="37"/>
      <c r="B14" s="333" t="s">
        <v>165</v>
      </c>
      <c r="C14" s="335" t="s">
        <v>67</v>
      </c>
      <c r="D14" s="37"/>
      <c r="E14" s="37"/>
      <c r="F14" s="37"/>
      <c r="G14" s="37"/>
      <c r="H14" s="37"/>
      <c r="I14" s="37"/>
      <c r="J14" s="37"/>
      <c r="K14" s="37"/>
      <c r="L14" s="37"/>
      <c r="M14" s="37"/>
      <c r="N14" s="37"/>
      <c r="O14" s="37"/>
      <c r="P14" s="37"/>
      <c r="Q14" s="37"/>
      <c r="R14" s="37"/>
      <c r="S14" s="37"/>
      <c r="T14" s="37"/>
    </row>
    <row r="15" spans="1:20" x14ac:dyDescent="0.25">
      <c r="A15" s="37"/>
      <c r="B15" s="336" t="s">
        <v>88</v>
      </c>
      <c r="C15" s="335" t="s">
        <v>67</v>
      </c>
      <c r="D15" s="37"/>
      <c r="E15" s="37"/>
      <c r="F15" s="37"/>
      <c r="G15" s="37"/>
      <c r="H15" s="37"/>
      <c r="I15" s="37"/>
      <c r="J15" s="37"/>
      <c r="K15" s="37"/>
      <c r="L15" s="37"/>
      <c r="M15" s="37"/>
      <c r="N15" s="37"/>
      <c r="O15" s="37"/>
      <c r="P15" s="37"/>
      <c r="Q15" s="37"/>
      <c r="R15" s="37"/>
      <c r="S15" s="37"/>
      <c r="T15" s="37"/>
    </row>
    <row r="16" spans="1:20" x14ac:dyDescent="0.25">
      <c r="A16" s="37"/>
      <c r="B16" s="333" t="s">
        <v>97</v>
      </c>
      <c r="C16" s="335" t="s">
        <v>93</v>
      </c>
      <c r="D16" s="37"/>
      <c r="E16" s="37"/>
      <c r="F16" s="37"/>
      <c r="G16" s="37"/>
      <c r="H16" s="37"/>
      <c r="I16" s="37"/>
      <c r="J16" s="37"/>
      <c r="K16" s="37"/>
      <c r="L16" s="37"/>
      <c r="M16" s="37"/>
      <c r="N16" s="37"/>
      <c r="O16" s="37"/>
      <c r="P16" s="37"/>
      <c r="Q16" s="37"/>
      <c r="R16" s="37"/>
      <c r="S16" s="37"/>
      <c r="T16" s="37"/>
    </row>
    <row r="17" spans="1:20" x14ac:dyDescent="0.25">
      <c r="A17" s="37"/>
      <c r="B17" s="337" t="s">
        <v>467</v>
      </c>
      <c r="C17" s="335" t="s">
        <v>93</v>
      </c>
      <c r="D17" s="37"/>
      <c r="E17" s="37"/>
      <c r="F17" s="37"/>
      <c r="G17" s="37"/>
      <c r="H17" s="37"/>
      <c r="I17" s="37"/>
      <c r="J17" s="37"/>
      <c r="K17" s="37"/>
      <c r="L17" s="37"/>
      <c r="M17" s="37"/>
      <c r="N17" s="37"/>
      <c r="O17" s="37"/>
      <c r="P17" s="37"/>
      <c r="Q17" s="37"/>
      <c r="R17" s="37"/>
      <c r="S17" s="37"/>
      <c r="T17" s="37"/>
    </row>
    <row r="18" spans="1:20" x14ac:dyDescent="0.25">
      <c r="A18" s="37"/>
      <c r="B18" s="337" t="s">
        <v>166</v>
      </c>
      <c r="C18" s="335" t="s">
        <v>466</v>
      </c>
      <c r="D18" s="37"/>
      <c r="E18" s="37"/>
      <c r="F18" s="37"/>
      <c r="G18" s="37"/>
      <c r="H18" s="37"/>
      <c r="I18" s="37"/>
      <c r="J18" s="37"/>
      <c r="K18" s="37"/>
      <c r="L18" s="37"/>
      <c r="M18" s="37"/>
      <c r="N18" s="37"/>
      <c r="O18" s="37"/>
      <c r="P18" s="37"/>
      <c r="Q18" s="37"/>
      <c r="R18" s="37"/>
      <c r="S18" s="37"/>
      <c r="T18" s="37"/>
    </row>
    <row r="19" spans="1:20" x14ac:dyDescent="0.25">
      <c r="A19" s="37"/>
      <c r="B19" s="337" t="s">
        <v>167</v>
      </c>
      <c r="C19" s="335" t="s">
        <v>465</v>
      </c>
      <c r="D19" s="37"/>
      <c r="E19" s="37"/>
      <c r="F19" s="37"/>
      <c r="G19" s="37"/>
      <c r="H19" s="37"/>
      <c r="I19" s="37"/>
      <c r="J19" s="37"/>
      <c r="K19" s="37"/>
      <c r="L19" s="37"/>
      <c r="M19" s="37"/>
      <c r="N19" s="37"/>
      <c r="O19" s="37"/>
      <c r="P19" s="37"/>
      <c r="Q19" s="37"/>
      <c r="R19" s="37"/>
      <c r="S19" s="37"/>
      <c r="T19" s="37"/>
    </row>
    <row r="20" spans="1:20" s="16" customFormat="1" x14ac:dyDescent="0.25">
      <c r="A20" s="37"/>
      <c r="B20" s="337" t="s">
        <v>89</v>
      </c>
      <c r="C20" s="334" t="s">
        <v>93</v>
      </c>
      <c r="D20" s="37"/>
      <c r="E20" s="37"/>
      <c r="F20" s="37"/>
      <c r="G20" s="37"/>
      <c r="H20" s="37"/>
      <c r="I20" s="37"/>
      <c r="J20" s="37"/>
      <c r="K20" s="37"/>
      <c r="L20" s="37"/>
      <c r="M20" s="37"/>
      <c r="N20" s="37"/>
      <c r="O20" s="37"/>
      <c r="P20" s="37"/>
      <c r="Q20" s="37"/>
      <c r="R20" s="37"/>
      <c r="S20" s="37"/>
      <c r="T20" s="37"/>
    </row>
    <row r="21" spans="1:20" x14ac:dyDescent="0.25">
      <c r="A21" s="37"/>
      <c r="B21" s="337" t="s">
        <v>91</v>
      </c>
      <c r="C21" s="335" t="s">
        <v>93</v>
      </c>
      <c r="D21" s="37"/>
      <c r="E21" s="37"/>
      <c r="F21" s="37"/>
      <c r="G21" s="37"/>
      <c r="H21" s="37"/>
      <c r="I21" s="37"/>
      <c r="J21" s="37"/>
      <c r="K21" s="37"/>
      <c r="L21" s="37"/>
      <c r="M21" s="37"/>
      <c r="N21" s="37"/>
      <c r="O21" s="37"/>
      <c r="P21" s="37"/>
      <c r="Q21" s="37"/>
      <c r="R21" s="37"/>
      <c r="S21" s="37"/>
      <c r="T21" s="37"/>
    </row>
    <row r="22" spans="1:20" x14ac:dyDescent="0.25">
      <c r="A22" s="37"/>
      <c r="B22" s="337" t="s">
        <v>34</v>
      </c>
      <c r="C22" s="335" t="s">
        <v>465</v>
      </c>
      <c r="D22" s="37"/>
      <c r="E22" s="37"/>
      <c r="F22" s="37"/>
      <c r="G22" s="37"/>
      <c r="H22" s="37"/>
      <c r="I22" s="37"/>
      <c r="J22" s="37"/>
      <c r="K22" s="37"/>
      <c r="L22" s="37"/>
      <c r="M22" s="37"/>
      <c r="N22" s="37"/>
      <c r="O22" s="37"/>
      <c r="P22" s="37"/>
      <c r="Q22" s="37"/>
      <c r="R22" s="37"/>
      <c r="S22" s="37"/>
      <c r="T22" s="37"/>
    </row>
    <row r="23" spans="1:20" x14ac:dyDescent="0.25">
      <c r="A23" s="37"/>
      <c r="B23" s="337" t="s">
        <v>168</v>
      </c>
      <c r="C23" s="334" t="s">
        <v>169</v>
      </c>
      <c r="D23" s="37"/>
      <c r="E23" s="37"/>
      <c r="F23" s="37"/>
      <c r="G23" s="37"/>
      <c r="H23" s="37"/>
      <c r="I23" s="37"/>
      <c r="J23" s="37"/>
      <c r="K23" s="37"/>
      <c r="L23" s="37"/>
      <c r="M23" s="37"/>
      <c r="N23" s="37"/>
      <c r="O23" s="37"/>
      <c r="P23" s="37"/>
      <c r="Q23" s="37"/>
      <c r="R23" s="37"/>
      <c r="S23" s="37"/>
      <c r="T23" s="37"/>
    </row>
    <row r="24" spans="1:20" x14ac:dyDescent="0.25">
      <c r="A24" s="37"/>
      <c r="B24" s="337" t="s">
        <v>35</v>
      </c>
      <c r="C24" s="335" t="s">
        <v>67</v>
      </c>
      <c r="D24" s="37"/>
      <c r="E24" s="37"/>
      <c r="F24" s="37"/>
      <c r="G24" s="37"/>
      <c r="H24" s="37"/>
      <c r="I24" s="37"/>
      <c r="J24" s="37"/>
      <c r="K24" s="37"/>
      <c r="L24" s="37"/>
      <c r="M24" s="37"/>
      <c r="N24" s="37"/>
      <c r="O24" s="37"/>
      <c r="P24" s="37"/>
      <c r="Q24" s="37"/>
      <c r="R24" s="37"/>
      <c r="S24" s="37"/>
      <c r="T24" s="37"/>
    </row>
    <row r="25" spans="1:20" x14ac:dyDescent="0.25">
      <c r="A25" s="37"/>
      <c r="B25" s="337" t="s">
        <v>170</v>
      </c>
      <c r="C25" s="334" t="s">
        <v>169</v>
      </c>
      <c r="D25" s="37"/>
      <c r="E25" s="37"/>
      <c r="F25" s="37"/>
      <c r="G25" s="37"/>
      <c r="H25" s="37"/>
      <c r="I25" s="37"/>
      <c r="J25" s="37"/>
      <c r="K25" s="37"/>
      <c r="L25" s="37"/>
      <c r="M25" s="37"/>
      <c r="N25" s="37"/>
      <c r="O25" s="37"/>
      <c r="P25" s="37"/>
      <c r="Q25" s="37"/>
      <c r="R25" s="37"/>
      <c r="S25" s="37"/>
      <c r="T25" s="37"/>
    </row>
    <row r="26" spans="1:20" x14ac:dyDescent="0.25">
      <c r="A26" s="37"/>
      <c r="B26" s="338" t="s">
        <v>63</v>
      </c>
      <c r="C26" s="335" t="s">
        <v>93</v>
      </c>
      <c r="D26" s="37"/>
      <c r="E26" s="37"/>
      <c r="F26" s="37"/>
      <c r="G26" s="37"/>
      <c r="H26" s="37"/>
      <c r="I26" s="37"/>
      <c r="J26" s="37"/>
      <c r="K26" s="37"/>
      <c r="L26" s="37"/>
      <c r="M26" s="37"/>
      <c r="N26" s="37"/>
      <c r="O26" s="37"/>
      <c r="P26" s="37"/>
      <c r="Q26" s="37"/>
      <c r="R26" s="37"/>
      <c r="S26" s="37"/>
      <c r="T26" s="37"/>
    </row>
    <row r="27" spans="1:20" x14ac:dyDescent="0.25">
      <c r="A27" s="37"/>
      <c r="B27" s="338" t="s">
        <v>64</v>
      </c>
      <c r="C27" s="335" t="s">
        <v>67</v>
      </c>
      <c r="D27" s="37"/>
      <c r="E27" s="37"/>
      <c r="F27" s="37"/>
      <c r="G27" s="37"/>
      <c r="H27" s="37"/>
      <c r="I27" s="37"/>
      <c r="J27" s="37"/>
      <c r="K27" s="37"/>
      <c r="L27" s="37"/>
      <c r="M27" s="37"/>
      <c r="N27" s="37"/>
      <c r="O27" s="37"/>
      <c r="P27" s="37"/>
      <c r="Q27" s="37"/>
      <c r="R27" s="37"/>
      <c r="S27" s="37"/>
      <c r="T27" s="37"/>
    </row>
    <row r="28" spans="1:20" x14ac:dyDescent="0.25">
      <c r="A28" s="37"/>
      <c r="B28" s="337" t="s">
        <v>36</v>
      </c>
      <c r="C28" s="334" t="s">
        <v>93</v>
      </c>
      <c r="D28" s="37"/>
      <c r="E28" s="37"/>
      <c r="F28" s="37"/>
      <c r="G28" s="37"/>
      <c r="H28" s="37"/>
      <c r="I28" s="37"/>
      <c r="J28" s="37"/>
      <c r="K28" s="37"/>
      <c r="L28" s="37"/>
      <c r="M28" s="37"/>
      <c r="N28" s="37"/>
      <c r="O28" s="37"/>
      <c r="P28" s="37"/>
      <c r="Q28" s="37"/>
      <c r="R28" s="37"/>
      <c r="S28" s="37"/>
      <c r="T28" s="37"/>
    </row>
    <row r="29" spans="1:20" x14ac:dyDescent="0.25">
      <c r="A29" s="37"/>
      <c r="B29" s="338" t="s">
        <v>92</v>
      </c>
      <c r="C29" s="335" t="s">
        <v>67</v>
      </c>
      <c r="D29" s="37"/>
      <c r="E29" s="37"/>
      <c r="F29" s="37"/>
      <c r="G29" s="37"/>
      <c r="H29" s="37"/>
      <c r="I29" s="37"/>
      <c r="J29" s="37"/>
      <c r="K29" s="37"/>
      <c r="L29" s="37"/>
      <c r="M29" s="37"/>
      <c r="N29" s="37"/>
      <c r="O29" s="37"/>
      <c r="P29" s="37"/>
      <c r="Q29" s="37"/>
      <c r="R29" s="37"/>
      <c r="S29" s="37"/>
      <c r="T29" s="37"/>
    </row>
    <row r="30" spans="1:20" x14ac:dyDescent="0.25">
      <c r="A30" s="37"/>
      <c r="B30" s="337" t="s">
        <v>171</v>
      </c>
      <c r="C30" s="334" t="s">
        <v>67</v>
      </c>
      <c r="D30" s="37"/>
      <c r="E30" s="37"/>
      <c r="F30" s="37"/>
      <c r="G30" s="37"/>
      <c r="H30" s="37"/>
      <c r="I30" s="37"/>
      <c r="J30" s="37"/>
      <c r="K30" s="37"/>
      <c r="L30" s="37"/>
      <c r="M30" s="37"/>
      <c r="N30" s="37"/>
      <c r="O30" s="37"/>
      <c r="P30" s="37"/>
      <c r="Q30" s="37"/>
      <c r="R30" s="37"/>
      <c r="S30" s="37"/>
      <c r="T30" s="37"/>
    </row>
    <row r="31" spans="1:20" s="16" customFormat="1" x14ac:dyDescent="0.25">
      <c r="A31" s="37"/>
      <c r="B31" s="337" t="s">
        <v>172</v>
      </c>
      <c r="C31" s="334" t="s">
        <v>62</v>
      </c>
      <c r="D31" s="37"/>
      <c r="E31" s="37"/>
      <c r="F31" s="37"/>
      <c r="G31" s="37"/>
      <c r="H31" s="37"/>
      <c r="I31" s="37"/>
      <c r="J31" s="37"/>
      <c r="K31" s="37"/>
      <c r="L31" s="37"/>
      <c r="M31" s="37"/>
      <c r="N31" s="37"/>
      <c r="O31" s="37"/>
      <c r="P31" s="37"/>
      <c r="Q31" s="37"/>
      <c r="R31" s="37"/>
      <c r="S31" s="37"/>
      <c r="T31" s="37"/>
    </row>
    <row r="32" spans="1:20" x14ac:dyDescent="0.25">
      <c r="A32" s="37"/>
      <c r="B32" s="337" t="s">
        <v>173</v>
      </c>
      <c r="C32" s="335" t="s">
        <v>465</v>
      </c>
      <c r="D32" s="37"/>
      <c r="E32" s="37"/>
      <c r="F32" s="37"/>
      <c r="G32" s="37"/>
      <c r="H32" s="37"/>
      <c r="I32" s="37"/>
      <c r="J32" s="37"/>
      <c r="K32" s="37"/>
      <c r="L32" s="37"/>
      <c r="M32" s="37"/>
      <c r="N32" s="37"/>
      <c r="O32" s="37"/>
      <c r="P32" s="37"/>
      <c r="Q32" s="37"/>
      <c r="R32" s="37"/>
      <c r="S32" s="37"/>
      <c r="T32" s="37"/>
    </row>
    <row r="33" spans="1:20" x14ac:dyDescent="0.25">
      <c r="A33" s="37"/>
      <c r="B33" s="337" t="s">
        <v>174</v>
      </c>
      <c r="C33" s="335" t="s">
        <v>98</v>
      </c>
      <c r="D33" s="37"/>
      <c r="E33" s="37"/>
      <c r="F33" s="37"/>
      <c r="G33" s="37"/>
      <c r="H33" s="37"/>
      <c r="I33" s="37"/>
      <c r="J33" s="37"/>
      <c r="K33" s="37"/>
      <c r="L33" s="37"/>
      <c r="M33" s="37"/>
      <c r="N33" s="37"/>
      <c r="O33" s="37"/>
      <c r="P33" s="37"/>
      <c r="Q33" s="37"/>
      <c r="R33" s="37"/>
      <c r="S33" s="37"/>
      <c r="T33" s="37"/>
    </row>
    <row r="34" spans="1:20" x14ac:dyDescent="0.25">
      <c r="A34" s="37"/>
      <c r="B34" s="337" t="s">
        <v>175</v>
      </c>
      <c r="C34" s="335" t="s">
        <v>465</v>
      </c>
      <c r="D34" s="37"/>
      <c r="E34" s="37"/>
      <c r="F34" s="37"/>
      <c r="G34" s="37"/>
      <c r="H34" s="37"/>
      <c r="I34" s="37"/>
      <c r="J34" s="37"/>
      <c r="K34" s="37"/>
      <c r="L34" s="37"/>
      <c r="M34" s="37"/>
      <c r="N34" s="37"/>
      <c r="O34" s="37"/>
      <c r="P34" s="37"/>
      <c r="Q34" s="37"/>
      <c r="R34" s="37"/>
      <c r="S34" s="37"/>
      <c r="T34" s="37"/>
    </row>
    <row r="35" spans="1:20" x14ac:dyDescent="0.25">
      <c r="A35" s="37"/>
      <c r="B35" s="337" t="s">
        <v>150</v>
      </c>
      <c r="C35" s="335" t="s">
        <v>67</v>
      </c>
      <c r="D35" s="37"/>
      <c r="E35" s="37"/>
      <c r="F35" s="37"/>
      <c r="G35" s="37"/>
      <c r="H35" s="37"/>
      <c r="I35" s="37"/>
      <c r="J35" s="37"/>
      <c r="K35" s="37"/>
      <c r="L35" s="37"/>
      <c r="M35" s="37"/>
      <c r="N35" s="37"/>
      <c r="O35" s="37"/>
      <c r="P35" s="37"/>
      <c r="Q35" s="37"/>
      <c r="R35" s="37"/>
      <c r="S35" s="37"/>
      <c r="T35" s="37"/>
    </row>
    <row r="36" spans="1:20" ht="12.75" customHeight="1" x14ac:dyDescent="0.25">
      <c r="A36" s="37"/>
      <c r="B36" s="338" t="s">
        <v>90</v>
      </c>
      <c r="C36" s="335" t="s">
        <v>67</v>
      </c>
      <c r="D36" s="37"/>
      <c r="E36" s="37"/>
      <c r="F36" s="37"/>
      <c r="G36" s="37"/>
      <c r="H36" s="37"/>
      <c r="I36" s="37"/>
      <c r="J36" s="37"/>
      <c r="K36" s="37"/>
      <c r="L36" s="37"/>
      <c r="M36" s="37"/>
      <c r="N36" s="37"/>
      <c r="O36" s="37"/>
      <c r="P36" s="37"/>
      <c r="Q36" s="37"/>
      <c r="R36" s="37"/>
      <c r="S36" s="37"/>
      <c r="T36" s="37"/>
    </row>
    <row r="37" spans="1:20" s="160" customFormat="1" ht="12.75" customHeight="1" x14ac:dyDescent="0.25">
      <c r="A37" s="37"/>
      <c r="B37" s="338" t="s">
        <v>52</v>
      </c>
      <c r="C37" s="335" t="s">
        <v>93</v>
      </c>
      <c r="D37" s="37"/>
      <c r="E37" s="37"/>
      <c r="F37" s="37"/>
      <c r="G37" s="37"/>
      <c r="H37" s="37"/>
      <c r="I37" s="37"/>
      <c r="J37" s="37"/>
      <c r="K37" s="37"/>
      <c r="L37" s="37"/>
      <c r="M37" s="37"/>
      <c r="N37" s="37"/>
      <c r="O37" s="37"/>
      <c r="P37" s="37"/>
      <c r="Q37" s="37"/>
      <c r="R37" s="37"/>
      <c r="S37" s="37"/>
      <c r="T37" s="37"/>
    </row>
    <row r="38" spans="1:20" s="160" customFormat="1" ht="12.75" customHeight="1" x14ac:dyDescent="0.25">
      <c r="A38" s="37"/>
      <c r="B38" s="338" t="s">
        <v>65</v>
      </c>
      <c r="C38" s="335" t="s">
        <v>465</v>
      </c>
      <c r="D38" s="37"/>
      <c r="E38" s="37"/>
      <c r="F38" s="37"/>
      <c r="G38" s="37"/>
      <c r="H38" s="37"/>
      <c r="I38" s="37"/>
      <c r="J38" s="37"/>
      <c r="K38" s="37"/>
      <c r="L38" s="37"/>
      <c r="M38" s="37"/>
      <c r="N38" s="37"/>
      <c r="O38" s="37"/>
      <c r="P38" s="37"/>
      <c r="Q38" s="37"/>
      <c r="R38" s="37"/>
      <c r="S38" s="37"/>
      <c r="T38" s="37"/>
    </row>
    <row r="39" spans="1:20" s="160" customFormat="1" ht="12.75" customHeight="1" x14ac:dyDescent="0.25">
      <c r="A39" s="37"/>
      <c r="B39" s="337" t="s">
        <v>37</v>
      </c>
      <c r="C39" s="334" t="s">
        <v>98</v>
      </c>
      <c r="D39" s="37"/>
      <c r="E39" s="37"/>
      <c r="F39" s="37"/>
      <c r="G39" s="37"/>
      <c r="H39" s="37"/>
      <c r="I39" s="37"/>
      <c r="J39" s="37"/>
      <c r="K39" s="37"/>
      <c r="L39" s="37"/>
      <c r="M39" s="37"/>
      <c r="N39" s="37"/>
      <c r="O39" s="37"/>
      <c r="P39" s="37"/>
      <c r="Q39" s="37"/>
      <c r="R39" s="37"/>
      <c r="S39" s="37"/>
      <c r="T39" s="37"/>
    </row>
    <row r="40" spans="1:20" s="160" customFormat="1" ht="12.75" customHeight="1" x14ac:dyDescent="0.25">
      <c r="A40" s="37"/>
      <c r="B40" s="337" t="s">
        <v>176</v>
      </c>
      <c r="C40" s="334" t="s">
        <v>62</v>
      </c>
      <c r="D40" s="37"/>
      <c r="E40" s="37"/>
      <c r="F40" s="37"/>
      <c r="G40" s="37"/>
      <c r="H40" s="37"/>
      <c r="I40" s="37"/>
      <c r="J40" s="37"/>
      <c r="K40" s="37"/>
      <c r="L40" s="37"/>
      <c r="M40" s="37"/>
      <c r="N40" s="37"/>
      <c r="O40" s="37"/>
      <c r="P40" s="37"/>
      <c r="Q40" s="37"/>
      <c r="R40" s="37"/>
      <c r="S40" s="37"/>
      <c r="T40" s="37"/>
    </row>
    <row r="41" spans="1:20" s="160" customFormat="1" ht="12.75" customHeight="1" x14ac:dyDescent="0.25">
      <c r="A41" s="37"/>
      <c r="B41" s="337" t="s">
        <v>177</v>
      </c>
      <c r="C41" s="335" t="s">
        <v>67</v>
      </c>
      <c r="D41" s="37"/>
      <c r="E41" s="37"/>
      <c r="F41" s="37"/>
      <c r="G41" s="37"/>
      <c r="H41" s="37"/>
      <c r="I41" s="37"/>
      <c r="J41" s="37"/>
      <c r="K41" s="37"/>
      <c r="L41" s="37"/>
      <c r="M41" s="37"/>
      <c r="N41" s="37"/>
      <c r="O41" s="37"/>
      <c r="P41" s="37"/>
      <c r="Q41" s="37"/>
      <c r="R41" s="37"/>
      <c r="S41" s="37"/>
      <c r="T41" s="37"/>
    </row>
    <row r="42" spans="1:20" s="160" customFormat="1" ht="12.75" customHeight="1" x14ac:dyDescent="0.25">
      <c r="A42" s="37"/>
      <c r="B42" s="337" t="s">
        <v>66</v>
      </c>
      <c r="C42" s="335" t="s">
        <v>67</v>
      </c>
      <c r="D42" s="37"/>
      <c r="E42" s="37"/>
      <c r="F42" s="37"/>
      <c r="G42" s="37"/>
      <c r="H42" s="37"/>
      <c r="I42" s="37"/>
      <c r="J42" s="37"/>
      <c r="K42" s="37"/>
      <c r="L42" s="37"/>
      <c r="M42" s="37"/>
      <c r="N42" s="37"/>
      <c r="O42" s="37"/>
      <c r="P42" s="37"/>
      <c r="Q42" s="37"/>
      <c r="R42" s="37"/>
      <c r="S42" s="37"/>
      <c r="T42" s="37"/>
    </row>
    <row r="43" spans="1:20" s="160" customFormat="1" ht="12.75" customHeight="1" x14ac:dyDescent="0.25">
      <c r="A43" s="37"/>
      <c r="B43" s="337" t="s">
        <v>151</v>
      </c>
      <c r="C43" s="335" t="s">
        <v>93</v>
      </c>
      <c r="D43" s="37"/>
      <c r="E43" s="37"/>
      <c r="F43" s="37"/>
      <c r="G43" s="37"/>
      <c r="H43" s="37"/>
      <c r="I43" s="37"/>
      <c r="J43" s="37"/>
      <c r="K43" s="37"/>
      <c r="L43" s="37"/>
      <c r="M43" s="37"/>
      <c r="N43" s="37"/>
      <c r="O43" s="37"/>
      <c r="P43" s="37"/>
      <c r="Q43" s="37"/>
      <c r="R43" s="37"/>
      <c r="S43" s="37"/>
      <c r="T43" s="37"/>
    </row>
    <row r="44" spans="1:20" s="160" customFormat="1" ht="12.75" customHeight="1" x14ac:dyDescent="0.25">
      <c r="A44" s="37"/>
      <c r="B44" s="338" t="s">
        <v>99</v>
      </c>
      <c r="C44" s="335" t="s">
        <v>67</v>
      </c>
      <c r="D44" s="37"/>
      <c r="E44" s="37"/>
      <c r="F44" s="37"/>
      <c r="G44" s="37"/>
      <c r="H44" s="37"/>
      <c r="I44" s="37"/>
      <c r="J44" s="37"/>
      <c r="K44" s="37"/>
      <c r="L44" s="37"/>
      <c r="M44" s="37"/>
      <c r="N44" s="37"/>
      <c r="O44" s="37"/>
      <c r="P44" s="37"/>
      <c r="Q44" s="37"/>
      <c r="R44" s="37"/>
      <c r="S44" s="37"/>
      <c r="T44" s="37"/>
    </row>
    <row r="45" spans="1:20" s="160" customFormat="1" ht="12.75" customHeight="1" x14ac:dyDescent="0.25">
      <c r="A45" s="37"/>
      <c r="B45" s="338" t="s">
        <v>100</v>
      </c>
      <c r="C45" s="335" t="s">
        <v>93</v>
      </c>
      <c r="D45" s="37"/>
      <c r="E45" s="37"/>
      <c r="F45" s="37"/>
      <c r="G45" s="37"/>
      <c r="H45" s="37"/>
      <c r="I45" s="37"/>
      <c r="J45" s="37"/>
      <c r="K45" s="37"/>
      <c r="L45" s="37"/>
      <c r="M45" s="37"/>
      <c r="N45" s="37"/>
      <c r="O45" s="37"/>
      <c r="P45" s="37"/>
      <c r="Q45" s="37"/>
      <c r="R45" s="37"/>
      <c r="S45" s="37"/>
      <c r="T45" s="37"/>
    </row>
    <row r="46" spans="1:20" s="160" customFormat="1" ht="12.75" customHeight="1" x14ac:dyDescent="0.25">
      <c r="A46" s="37"/>
      <c r="B46" s="113"/>
      <c r="C46" s="113"/>
      <c r="D46" s="37"/>
      <c r="E46" s="37"/>
      <c r="F46" s="37"/>
      <c r="G46" s="37"/>
      <c r="H46" s="37"/>
      <c r="I46" s="37"/>
      <c r="J46" s="37"/>
      <c r="K46" s="37"/>
      <c r="L46" s="37"/>
      <c r="M46" s="37"/>
      <c r="N46" s="37"/>
      <c r="O46" s="37"/>
      <c r="P46" s="37"/>
      <c r="Q46" s="37"/>
      <c r="R46" s="37"/>
      <c r="S46" s="37"/>
      <c r="T46" s="37"/>
    </row>
    <row r="47" spans="1:20" s="160" customFormat="1" ht="12.75" customHeight="1" x14ac:dyDescent="0.25">
      <c r="A47" s="37"/>
      <c r="B47" s="113"/>
      <c r="C47" s="113"/>
      <c r="D47" s="37"/>
      <c r="E47" s="37"/>
      <c r="F47" s="37"/>
      <c r="G47" s="37"/>
      <c r="H47" s="37"/>
      <c r="I47" s="37"/>
      <c r="J47" s="37"/>
      <c r="K47" s="37"/>
      <c r="L47" s="37"/>
      <c r="M47" s="37"/>
      <c r="N47" s="37"/>
      <c r="O47" s="37"/>
      <c r="P47" s="37"/>
      <c r="Q47" s="37"/>
      <c r="R47" s="37"/>
      <c r="S47" s="37"/>
      <c r="T47" s="37"/>
    </row>
    <row r="48" spans="1:20" ht="48" customHeight="1" x14ac:dyDescent="0.25">
      <c r="A48" s="37"/>
      <c r="B48" s="784" t="s">
        <v>102</v>
      </c>
      <c r="C48" s="784"/>
      <c r="D48" s="784"/>
      <c r="E48" s="784"/>
      <c r="F48" s="784"/>
      <c r="G48" s="784"/>
      <c r="H48" s="784"/>
      <c r="I48" s="784"/>
      <c r="J48" s="784"/>
      <c r="K48" s="784"/>
      <c r="L48" s="37"/>
      <c r="M48" s="37"/>
      <c r="N48" s="37"/>
      <c r="O48" s="37"/>
      <c r="P48" s="37"/>
      <c r="Q48" s="37"/>
      <c r="R48" s="37"/>
      <c r="S48" s="37"/>
      <c r="T48" s="37"/>
    </row>
    <row r="49" spans="1:20" x14ac:dyDescent="0.25">
      <c r="A49" s="37"/>
      <c r="B49" s="172"/>
      <c r="C49" s="172"/>
      <c r="D49" s="37"/>
      <c r="E49" s="37"/>
      <c r="F49" s="37"/>
      <c r="G49" s="37"/>
      <c r="H49" s="37"/>
      <c r="I49" s="37"/>
      <c r="J49" s="37"/>
      <c r="K49" s="37"/>
      <c r="L49" s="37"/>
      <c r="M49" s="37"/>
      <c r="N49" s="37"/>
      <c r="O49" s="37"/>
      <c r="P49" s="37"/>
      <c r="Q49" s="37"/>
      <c r="R49" s="37"/>
      <c r="S49" s="37"/>
      <c r="T49" s="37"/>
    </row>
    <row r="50" spans="1:20" x14ac:dyDescent="0.25">
      <c r="A50" s="37"/>
      <c r="B50" s="172"/>
      <c r="C50" s="172"/>
      <c r="D50" s="37"/>
      <c r="E50" s="37"/>
      <c r="F50" s="37"/>
      <c r="G50" s="37"/>
      <c r="H50" s="37"/>
      <c r="I50" s="37"/>
      <c r="J50" s="37"/>
      <c r="K50" s="37"/>
      <c r="L50" s="37"/>
      <c r="M50" s="37"/>
      <c r="N50" s="37"/>
      <c r="O50" s="37"/>
      <c r="P50" s="37"/>
      <c r="Q50" s="37"/>
      <c r="R50" s="37"/>
      <c r="S50" s="37"/>
      <c r="T50" s="37"/>
    </row>
    <row r="51" spans="1:20" ht="12.75" customHeight="1" x14ac:dyDescent="0.25">
      <c r="A51" s="37"/>
      <c r="B51" s="172"/>
      <c r="C51" s="172"/>
      <c r="D51" s="37"/>
      <c r="E51" s="37"/>
      <c r="F51" s="37"/>
      <c r="G51" s="37"/>
      <c r="H51" s="37"/>
      <c r="I51" s="37"/>
      <c r="J51" s="37"/>
      <c r="K51" s="37"/>
      <c r="L51" s="37"/>
      <c r="M51" s="37"/>
      <c r="N51" s="37"/>
      <c r="O51" s="37"/>
      <c r="P51" s="37"/>
      <c r="Q51" s="37"/>
      <c r="R51" s="37"/>
      <c r="S51" s="37"/>
      <c r="T51" s="37"/>
    </row>
    <row r="52" spans="1:20" x14ac:dyDescent="0.25">
      <c r="A52" s="37"/>
      <c r="B52" s="172"/>
      <c r="C52" s="172"/>
      <c r="D52" s="37"/>
      <c r="E52" s="37"/>
      <c r="F52" s="37"/>
      <c r="G52" s="37"/>
      <c r="H52" s="37"/>
      <c r="I52" s="37"/>
      <c r="J52" s="37"/>
      <c r="K52" s="37"/>
      <c r="L52" s="37"/>
      <c r="M52" s="37"/>
      <c r="N52" s="37"/>
      <c r="O52" s="37"/>
      <c r="P52" s="37"/>
      <c r="Q52" s="37"/>
      <c r="R52" s="37"/>
      <c r="S52" s="37"/>
      <c r="T52" s="37"/>
    </row>
    <row r="53" spans="1:20" x14ac:dyDescent="0.25">
      <c r="A53" s="37"/>
      <c r="B53" s="172"/>
      <c r="C53" s="172"/>
      <c r="D53" s="37"/>
      <c r="E53" s="37"/>
      <c r="F53" s="37"/>
      <c r="G53" s="37"/>
      <c r="H53" s="37"/>
      <c r="I53" s="37"/>
      <c r="J53" s="37"/>
      <c r="K53" s="37"/>
      <c r="L53" s="37"/>
      <c r="M53" s="37"/>
      <c r="N53" s="37"/>
      <c r="O53" s="37"/>
      <c r="P53" s="37"/>
      <c r="Q53" s="37"/>
      <c r="R53" s="37"/>
      <c r="S53" s="37"/>
      <c r="T53" s="37"/>
    </row>
    <row r="54" spans="1:20" x14ac:dyDescent="0.25">
      <c r="A54" s="37"/>
      <c r="B54" s="172"/>
      <c r="C54" s="172"/>
      <c r="D54" s="37"/>
      <c r="E54" s="37"/>
      <c r="F54" s="37"/>
      <c r="G54" s="37"/>
      <c r="H54" s="37"/>
      <c r="I54" s="37"/>
      <c r="J54" s="37"/>
      <c r="K54" s="37"/>
      <c r="L54" s="37"/>
      <c r="M54" s="37"/>
      <c r="N54" s="37"/>
      <c r="O54" s="37"/>
      <c r="P54" s="37"/>
      <c r="Q54" s="37"/>
      <c r="R54" s="37"/>
      <c r="S54" s="37"/>
      <c r="T54" s="37"/>
    </row>
    <row r="55" spans="1:20" x14ac:dyDescent="0.25">
      <c r="A55" s="37"/>
      <c r="B55" s="37"/>
      <c r="C55" s="37"/>
      <c r="D55" s="37"/>
      <c r="E55" s="37"/>
      <c r="F55" s="37"/>
      <c r="G55" s="37"/>
      <c r="H55" s="37"/>
      <c r="I55" s="37"/>
      <c r="J55" s="37"/>
      <c r="K55" s="37"/>
      <c r="L55" s="37"/>
      <c r="M55" s="37"/>
      <c r="N55" s="37"/>
      <c r="O55" s="37"/>
      <c r="P55" s="37"/>
      <c r="Q55" s="37"/>
      <c r="R55" s="37"/>
      <c r="S55" s="37"/>
      <c r="T55" s="37"/>
    </row>
    <row r="56" spans="1:20" x14ac:dyDescent="0.25">
      <c r="A56" s="37"/>
      <c r="B56" s="37"/>
      <c r="C56" s="37"/>
      <c r="D56" s="37"/>
      <c r="E56" s="37"/>
      <c r="F56" s="37"/>
      <c r="G56" s="37"/>
      <c r="H56" s="37"/>
      <c r="I56" s="37"/>
      <c r="J56" s="37"/>
      <c r="K56" s="37"/>
      <c r="L56" s="37"/>
      <c r="M56" s="37"/>
      <c r="N56" s="37"/>
      <c r="O56" s="37"/>
      <c r="P56" s="37"/>
      <c r="Q56" s="37"/>
      <c r="R56" s="37"/>
      <c r="S56" s="37"/>
      <c r="T56" s="37"/>
    </row>
    <row r="57" spans="1:20" x14ac:dyDescent="0.25">
      <c r="A57" s="37"/>
      <c r="B57" s="37"/>
      <c r="C57" s="37"/>
      <c r="D57" s="37"/>
      <c r="E57" s="37"/>
      <c r="F57" s="37"/>
      <c r="G57" s="37"/>
      <c r="H57" s="37"/>
      <c r="I57" s="37"/>
      <c r="J57" s="37"/>
      <c r="K57" s="37"/>
      <c r="L57" s="37"/>
      <c r="M57" s="37"/>
      <c r="N57" s="37"/>
      <c r="O57" s="37"/>
      <c r="P57" s="37"/>
      <c r="Q57" s="37"/>
      <c r="R57" s="37"/>
      <c r="S57" s="37"/>
      <c r="T57" s="37"/>
    </row>
    <row r="58" spans="1:20" x14ac:dyDescent="0.25">
      <c r="A58" s="37"/>
      <c r="B58" s="37"/>
      <c r="C58" s="37"/>
      <c r="D58" s="37"/>
      <c r="E58" s="37"/>
      <c r="F58" s="37"/>
      <c r="G58" s="37"/>
      <c r="H58" s="37"/>
      <c r="I58" s="37"/>
      <c r="J58" s="37"/>
      <c r="K58" s="37"/>
      <c r="L58" s="37"/>
      <c r="M58" s="37"/>
      <c r="N58" s="37"/>
      <c r="O58" s="37"/>
      <c r="P58" s="37"/>
      <c r="Q58" s="37"/>
      <c r="R58" s="37"/>
      <c r="S58" s="37"/>
      <c r="T58" s="37"/>
    </row>
    <row r="59" spans="1:20" x14ac:dyDescent="0.25">
      <c r="A59" s="37"/>
      <c r="B59" s="37"/>
      <c r="C59" s="37"/>
      <c r="D59" s="37"/>
      <c r="E59" s="37"/>
      <c r="F59" s="37"/>
      <c r="G59" s="37"/>
      <c r="H59" s="37"/>
      <c r="I59" s="37"/>
      <c r="J59" s="37"/>
      <c r="K59" s="37"/>
      <c r="L59" s="37"/>
      <c r="M59" s="37"/>
      <c r="N59" s="37"/>
      <c r="O59" s="37"/>
      <c r="P59" s="37"/>
      <c r="Q59" s="37"/>
      <c r="R59" s="37"/>
      <c r="S59" s="37"/>
      <c r="T59" s="37"/>
    </row>
    <row r="60" spans="1:20" x14ac:dyDescent="0.25">
      <c r="A60" s="37"/>
      <c r="B60" s="37"/>
      <c r="C60" s="37"/>
      <c r="D60" s="37"/>
      <c r="E60" s="37"/>
      <c r="F60" s="37"/>
      <c r="G60" s="37"/>
      <c r="H60" s="37"/>
      <c r="I60" s="37"/>
      <c r="J60" s="37"/>
      <c r="K60" s="37"/>
      <c r="L60" s="37"/>
      <c r="M60" s="37"/>
      <c r="N60" s="37"/>
      <c r="O60" s="37"/>
      <c r="P60" s="37"/>
      <c r="Q60" s="37"/>
      <c r="R60" s="37"/>
      <c r="S60" s="37"/>
      <c r="T60" s="37"/>
    </row>
    <row r="61" spans="1:20" x14ac:dyDescent="0.25">
      <c r="A61" s="37"/>
      <c r="B61" s="37"/>
      <c r="C61" s="37"/>
      <c r="D61" s="37"/>
      <c r="E61" s="37"/>
      <c r="F61" s="37"/>
      <c r="G61" s="37"/>
      <c r="H61" s="37"/>
      <c r="I61" s="37"/>
      <c r="J61" s="37"/>
      <c r="K61" s="37"/>
      <c r="L61" s="37"/>
      <c r="M61" s="37"/>
      <c r="N61" s="37"/>
      <c r="O61" s="37"/>
      <c r="P61" s="37"/>
      <c r="Q61" s="37"/>
      <c r="R61" s="37"/>
      <c r="S61" s="37"/>
      <c r="T61" s="37"/>
    </row>
    <row r="62" spans="1:20" x14ac:dyDescent="0.25">
      <c r="A62" s="37"/>
      <c r="B62" s="37"/>
      <c r="C62" s="37"/>
      <c r="D62" s="37"/>
      <c r="E62" s="37"/>
      <c r="F62" s="37"/>
      <c r="G62" s="37"/>
      <c r="H62" s="37"/>
      <c r="I62" s="37"/>
      <c r="J62" s="37"/>
      <c r="K62" s="37"/>
      <c r="L62" s="37"/>
      <c r="M62" s="37"/>
      <c r="N62" s="37"/>
      <c r="O62" s="37"/>
      <c r="P62" s="37"/>
      <c r="Q62" s="37"/>
      <c r="R62" s="37"/>
      <c r="S62" s="37"/>
      <c r="T62" s="37"/>
    </row>
    <row r="63" spans="1:20" x14ac:dyDescent="0.25">
      <c r="A63" s="37"/>
      <c r="B63" s="37"/>
      <c r="C63" s="37"/>
      <c r="D63" s="37"/>
      <c r="E63" s="37"/>
      <c r="F63" s="37"/>
      <c r="G63" s="37"/>
      <c r="H63" s="37"/>
      <c r="I63" s="37"/>
      <c r="J63" s="37"/>
      <c r="K63" s="37"/>
      <c r="L63" s="37"/>
      <c r="M63" s="37"/>
      <c r="N63" s="37"/>
      <c r="O63" s="37"/>
      <c r="P63" s="37"/>
      <c r="Q63" s="37"/>
      <c r="R63" s="37"/>
      <c r="S63" s="37"/>
      <c r="T63" s="37"/>
    </row>
    <row r="64" spans="1:20" x14ac:dyDescent="0.25">
      <c r="A64" s="37"/>
      <c r="B64" s="37"/>
      <c r="C64" s="37"/>
      <c r="D64" s="37"/>
      <c r="E64" s="37"/>
      <c r="F64" s="37"/>
      <c r="G64" s="37"/>
      <c r="H64" s="37"/>
      <c r="I64" s="37"/>
      <c r="J64" s="37"/>
      <c r="K64" s="37"/>
      <c r="L64" s="37"/>
      <c r="M64" s="37"/>
      <c r="N64" s="37"/>
      <c r="O64" s="37"/>
      <c r="P64" s="37"/>
      <c r="Q64" s="37"/>
      <c r="R64" s="37"/>
      <c r="S64" s="37"/>
      <c r="T64" s="37"/>
    </row>
    <row r="65" spans="1:20" x14ac:dyDescent="0.25">
      <c r="A65" s="37"/>
      <c r="B65" s="37"/>
      <c r="C65" s="37"/>
      <c r="D65" s="37"/>
      <c r="E65" s="37"/>
      <c r="F65" s="37"/>
      <c r="G65" s="37"/>
      <c r="H65" s="37"/>
      <c r="I65" s="37"/>
      <c r="J65" s="37"/>
      <c r="K65" s="37"/>
      <c r="L65" s="37"/>
      <c r="M65" s="37"/>
      <c r="N65" s="37"/>
      <c r="O65" s="37"/>
      <c r="P65" s="37"/>
      <c r="Q65" s="37"/>
      <c r="R65" s="37"/>
      <c r="S65" s="37"/>
      <c r="T65" s="37"/>
    </row>
    <row r="66" spans="1:20" x14ac:dyDescent="0.25">
      <c r="A66" s="37"/>
      <c r="B66" s="37"/>
      <c r="C66" s="37"/>
      <c r="D66" s="37"/>
      <c r="E66" s="37"/>
      <c r="F66" s="37"/>
      <c r="G66" s="37"/>
      <c r="H66" s="37"/>
      <c r="I66" s="37"/>
      <c r="J66" s="37"/>
      <c r="K66" s="37"/>
      <c r="L66" s="37"/>
      <c r="M66" s="37"/>
      <c r="N66" s="37"/>
      <c r="O66" s="37"/>
      <c r="P66" s="37"/>
      <c r="Q66" s="37"/>
      <c r="R66" s="37"/>
      <c r="S66" s="37"/>
      <c r="T66" s="37"/>
    </row>
    <row r="67" spans="1:20" x14ac:dyDescent="0.25">
      <c r="A67" s="37"/>
      <c r="B67" s="37"/>
      <c r="C67" s="37"/>
      <c r="D67" s="37"/>
      <c r="E67" s="37"/>
      <c r="F67" s="37"/>
      <c r="G67" s="37"/>
      <c r="H67" s="37"/>
      <c r="I67" s="37"/>
      <c r="J67" s="37"/>
      <c r="K67" s="37"/>
      <c r="L67" s="37"/>
      <c r="M67" s="37"/>
      <c r="N67" s="37"/>
      <c r="O67" s="37"/>
      <c r="P67" s="37"/>
      <c r="Q67" s="37"/>
      <c r="R67" s="37"/>
      <c r="S67" s="37"/>
      <c r="T67" s="37"/>
    </row>
    <row r="68" spans="1:20" x14ac:dyDescent="0.25">
      <c r="A68" s="37"/>
      <c r="B68" s="37"/>
      <c r="C68" s="37"/>
      <c r="D68" s="37"/>
      <c r="E68" s="37"/>
      <c r="F68" s="37"/>
      <c r="G68" s="37"/>
      <c r="H68" s="37"/>
      <c r="I68" s="37"/>
      <c r="J68" s="37"/>
      <c r="K68" s="37"/>
      <c r="L68" s="37"/>
      <c r="M68" s="37"/>
      <c r="N68" s="37"/>
      <c r="O68" s="37"/>
      <c r="P68" s="37"/>
      <c r="Q68" s="37"/>
      <c r="R68" s="37"/>
      <c r="S68" s="37"/>
      <c r="T68" s="37"/>
    </row>
    <row r="69" spans="1:20" x14ac:dyDescent="0.25">
      <c r="A69" s="37"/>
      <c r="B69" s="37"/>
      <c r="C69" s="37"/>
      <c r="D69" s="37"/>
      <c r="E69" s="37"/>
      <c r="F69" s="37"/>
      <c r="G69" s="37"/>
      <c r="H69" s="37"/>
      <c r="I69" s="37"/>
      <c r="J69" s="37"/>
      <c r="K69" s="37"/>
      <c r="L69" s="37"/>
      <c r="M69" s="37"/>
      <c r="N69" s="37"/>
      <c r="O69" s="37"/>
      <c r="P69" s="37"/>
      <c r="Q69" s="37"/>
      <c r="R69" s="37"/>
      <c r="S69" s="37"/>
      <c r="T69" s="37"/>
    </row>
    <row r="70" spans="1:20" x14ac:dyDescent="0.25">
      <c r="A70" s="37"/>
      <c r="B70" s="37"/>
      <c r="C70" s="37"/>
      <c r="D70" s="37"/>
      <c r="E70" s="37"/>
      <c r="F70" s="37"/>
      <c r="G70" s="37"/>
      <c r="H70" s="37"/>
      <c r="I70" s="37"/>
      <c r="J70" s="37"/>
      <c r="K70" s="37"/>
      <c r="L70" s="37"/>
      <c r="M70" s="37"/>
      <c r="N70" s="37"/>
      <c r="O70" s="37"/>
      <c r="P70" s="37"/>
      <c r="Q70" s="37"/>
      <c r="R70" s="37"/>
      <c r="S70" s="37"/>
      <c r="T70" s="37"/>
    </row>
    <row r="71" spans="1:20" x14ac:dyDescent="0.25">
      <c r="A71" s="37"/>
      <c r="B71" s="37"/>
      <c r="C71" s="37"/>
      <c r="D71" s="37"/>
      <c r="E71" s="37"/>
      <c r="F71" s="37"/>
      <c r="G71" s="37"/>
      <c r="H71" s="37"/>
      <c r="I71" s="37"/>
      <c r="J71" s="37"/>
      <c r="K71" s="37"/>
      <c r="L71" s="37"/>
      <c r="M71" s="37"/>
      <c r="N71" s="37"/>
      <c r="O71" s="37"/>
      <c r="P71" s="37"/>
      <c r="Q71" s="37"/>
      <c r="R71" s="37"/>
      <c r="S71" s="37"/>
      <c r="T71" s="37"/>
    </row>
    <row r="72" spans="1:20" x14ac:dyDescent="0.25">
      <c r="A72" s="37"/>
      <c r="B72" s="37"/>
      <c r="C72" s="37"/>
      <c r="D72" s="37"/>
      <c r="E72" s="37"/>
      <c r="F72" s="37"/>
      <c r="G72" s="37"/>
      <c r="H72" s="37"/>
      <c r="I72" s="37"/>
      <c r="J72" s="37"/>
      <c r="K72" s="37"/>
      <c r="L72" s="37"/>
      <c r="M72" s="37"/>
      <c r="N72" s="37"/>
      <c r="O72" s="37"/>
      <c r="P72" s="37"/>
      <c r="Q72" s="37"/>
      <c r="R72" s="37"/>
      <c r="S72" s="37"/>
      <c r="T72" s="37"/>
    </row>
    <row r="73" spans="1:20" x14ac:dyDescent="0.25">
      <c r="A73" s="37"/>
      <c r="B73" s="37"/>
      <c r="C73" s="37"/>
      <c r="D73" s="37"/>
      <c r="E73" s="37"/>
      <c r="F73" s="37"/>
      <c r="G73" s="37"/>
      <c r="H73" s="37"/>
      <c r="I73" s="37"/>
      <c r="J73" s="37"/>
      <c r="K73" s="37"/>
      <c r="L73" s="37"/>
      <c r="M73" s="37"/>
      <c r="N73" s="37"/>
      <c r="O73" s="37"/>
      <c r="P73" s="37"/>
      <c r="Q73" s="37"/>
      <c r="R73" s="37"/>
      <c r="S73" s="37"/>
      <c r="T73" s="37"/>
    </row>
    <row r="74" spans="1:20" x14ac:dyDescent="0.25">
      <c r="A74" s="37"/>
      <c r="B74" s="37"/>
      <c r="C74" s="37"/>
      <c r="D74" s="37"/>
      <c r="E74" s="37"/>
      <c r="F74" s="37"/>
      <c r="G74" s="37"/>
      <c r="H74" s="37"/>
      <c r="I74" s="37"/>
      <c r="J74" s="37"/>
      <c r="K74" s="37"/>
      <c r="L74" s="37"/>
      <c r="M74" s="37"/>
      <c r="N74" s="37"/>
      <c r="O74" s="37"/>
      <c r="P74" s="37"/>
      <c r="Q74" s="37"/>
      <c r="R74" s="37"/>
      <c r="S74" s="37"/>
      <c r="T74" s="37"/>
    </row>
    <row r="75" spans="1:20" x14ac:dyDescent="0.25">
      <c r="A75" s="37"/>
      <c r="B75" s="37"/>
      <c r="C75" s="37"/>
      <c r="D75" s="37"/>
      <c r="E75" s="37"/>
      <c r="F75" s="37"/>
      <c r="G75" s="37"/>
      <c r="H75" s="37"/>
      <c r="I75" s="37"/>
      <c r="J75" s="37"/>
      <c r="K75" s="37"/>
      <c r="L75" s="37"/>
      <c r="M75" s="37"/>
      <c r="N75" s="37"/>
      <c r="O75" s="37"/>
      <c r="P75" s="37"/>
      <c r="Q75" s="37"/>
      <c r="R75" s="37"/>
      <c r="S75" s="37"/>
      <c r="T75" s="37"/>
    </row>
    <row r="76" spans="1:20" x14ac:dyDescent="0.25">
      <c r="A76" s="37"/>
      <c r="B76" s="37"/>
      <c r="C76" s="37"/>
      <c r="D76" s="37"/>
      <c r="E76" s="37"/>
      <c r="F76" s="37"/>
      <c r="G76" s="37"/>
      <c r="H76" s="37"/>
      <c r="I76" s="37"/>
      <c r="J76" s="37"/>
      <c r="K76" s="37"/>
      <c r="L76" s="37"/>
      <c r="M76" s="37"/>
      <c r="N76" s="37"/>
      <c r="O76" s="37"/>
      <c r="P76" s="37"/>
      <c r="Q76" s="37"/>
      <c r="R76" s="37"/>
      <c r="S76" s="37"/>
      <c r="T76" s="37"/>
    </row>
    <row r="77" spans="1:20" x14ac:dyDescent="0.25">
      <c r="A77" s="37"/>
      <c r="B77" s="37"/>
      <c r="C77" s="37"/>
      <c r="D77" s="37"/>
      <c r="E77" s="37"/>
      <c r="F77" s="37"/>
      <c r="G77" s="37"/>
      <c r="H77" s="37"/>
      <c r="I77" s="37"/>
      <c r="J77" s="37"/>
      <c r="K77" s="37"/>
      <c r="L77" s="37"/>
      <c r="M77" s="37"/>
      <c r="N77" s="37"/>
      <c r="O77" s="37"/>
      <c r="P77" s="37"/>
      <c r="Q77" s="37"/>
      <c r="R77" s="37"/>
      <c r="S77" s="37"/>
      <c r="T77" s="37"/>
    </row>
    <row r="78" spans="1:20" x14ac:dyDescent="0.25">
      <c r="A78" s="37"/>
      <c r="B78" s="37"/>
      <c r="C78" s="37"/>
      <c r="D78" s="37"/>
      <c r="E78" s="37"/>
      <c r="F78" s="37"/>
      <c r="G78" s="37"/>
      <c r="H78" s="37"/>
      <c r="I78" s="37"/>
      <c r="J78" s="37"/>
      <c r="K78" s="37"/>
      <c r="L78" s="37"/>
      <c r="M78" s="37"/>
      <c r="N78" s="37"/>
      <c r="O78" s="37"/>
      <c r="P78" s="37"/>
      <c r="Q78" s="37"/>
      <c r="R78" s="37"/>
      <c r="S78" s="37"/>
      <c r="T78" s="37"/>
    </row>
    <row r="79" spans="1:20" x14ac:dyDescent="0.25">
      <c r="A79" s="37"/>
      <c r="B79" s="37"/>
      <c r="C79" s="37"/>
      <c r="D79" s="37"/>
      <c r="E79" s="37"/>
      <c r="F79" s="37"/>
      <c r="G79" s="37"/>
      <c r="H79" s="37"/>
      <c r="I79" s="37"/>
      <c r="J79" s="37"/>
      <c r="K79" s="37"/>
      <c r="L79" s="37"/>
      <c r="M79" s="37"/>
      <c r="N79" s="37"/>
      <c r="O79" s="37"/>
      <c r="P79" s="37"/>
      <c r="Q79" s="37"/>
      <c r="R79" s="37"/>
      <c r="S79" s="37"/>
      <c r="T79" s="37"/>
    </row>
    <row r="80" spans="1:20" x14ac:dyDescent="0.25">
      <c r="A80" s="37"/>
      <c r="B80" s="37"/>
      <c r="C80" s="37"/>
      <c r="D80" s="37"/>
      <c r="E80" s="37"/>
      <c r="F80" s="37"/>
      <c r="G80" s="37"/>
      <c r="H80" s="37"/>
      <c r="I80" s="37"/>
      <c r="J80" s="37"/>
      <c r="K80" s="37"/>
      <c r="L80" s="37"/>
      <c r="M80" s="37"/>
      <c r="N80" s="37"/>
      <c r="O80" s="37"/>
      <c r="P80" s="37"/>
      <c r="Q80" s="37"/>
      <c r="R80" s="37"/>
      <c r="S80" s="37"/>
      <c r="T80" s="37"/>
    </row>
    <row r="81" spans="1:20" x14ac:dyDescent="0.25">
      <c r="A81" s="37"/>
      <c r="B81" s="37"/>
      <c r="C81" s="37"/>
      <c r="D81" s="37"/>
      <c r="E81" s="37"/>
      <c r="F81" s="37"/>
      <c r="G81" s="37"/>
      <c r="H81" s="37"/>
      <c r="I81" s="37"/>
      <c r="J81" s="37"/>
      <c r="K81" s="37"/>
      <c r="L81" s="37"/>
      <c r="M81" s="37"/>
      <c r="N81" s="37"/>
      <c r="O81" s="37"/>
      <c r="P81" s="37"/>
      <c r="Q81" s="37"/>
      <c r="R81" s="37"/>
      <c r="S81" s="37"/>
      <c r="T81" s="37"/>
    </row>
  </sheetData>
  <mergeCells count="2">
    <mergeCell ref="B48:K48"/>
    <mergeCell ref="B6:K10"/>
  </mergeCells>
  <hyperlinks>
    <hyperlink ref="B60" r:id="rId1" display="info@lightcounting.com"/>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B2:AF228"/>
  <sheetViews>
    <sheetView showGridLines="0" zoomScale="70" zoomScaleNormal="70" zoomScalePageLayoutView="70" workbookViewId="0">
      <selection activeCell="G208" sqref="G208:N227"/>
    </sheetView>
  </sheetViews>
  <sheetFormatPr defaultColWidth="9.1796875" defaultRowHeight="12.5" x14ac:dyDescent="0.25"/>
  <cols>
    <col min="1" max="1" width="4.453125" style="160" customWidth="1"/>
    <col min="2" max="2" width="12.1796875" style="602" customWidth="1"/>
    <col min="3" max="3" width="12.81640625" style="602" customWidth="1"/>
    <col min="4" max="4" width="18.81640625" style="602" customWidth="1"/>
    <col min="5" max="13" width="12.36328125" style="160" customWidth="1"/>
    <col min="14" max="14" width="13.453125" style="160" customWidth="1"/>
    <col min="15" max="16" width="14.453125" style="160" customWidth="1"/>
    <col min="17" max="17" width="11.453125" style="160" customWidth="1"/>
    <col min="18" max="18" width="12.36328125" style="160" customWidth="1"/>
    <col min="19" max="24" width="9.1796875" style="160" customWidth="1"/>
    <col min="25" max="16384" width="9.1796875" style="160"/>
  </cols>
  <sheetData>
    <row r="2" spans="2:14" ht="18" x14ac:dyDescent="0.4">
      <c r="B2" s="76" t="str">
        <f>Introduction!B2</f>
        <v>LightCounting Optical Components Market Forecast for China</v>
      </c>
    </row>
    <row r="3" spans="2:14" ht="15.5" x14ac:dyDescent="0.35">
      <c r="B3" s="215" t="str">
        <f>Introduction!B3</f>
        <v>January 25, 2021 - sample only - for illustrative purposes</v>
      </c>
    </row>
    <row r="4" spans="2:14" ht="15.5" x14ac:dyDescent="0.35">
      <c r="B4" s="217" t="s">
        <v>123</v>
      </c>
      <c r="D4" s="278" t="s">
        <v>138</v>
      </c>
    </row>
    <row r="5" spans="2:14" ht="15.5" x14ac:dyDescent="0.35">
      <c r="B5" s="217"/>
      <c r="C5" s="628"/>
      <c r="D5" s="278"/>
    </row>
    <row r="6" spans="2:14" ht="15.5" x14ac:dyDescent="0.35">
      <c r="B6" s="221" t="s">
        <v>418</v>
      </c>
      <c r="C6" s="160"/>
      <c r="D6" s="198"/>
      <c r="E6" s="371"/>
    </row>
    <row r="7" spans="2:14" x14ac:dyDescent="0.25">
      <c r="B7" s="225" t="s">
        <v>10</v>
      </c>
      <c r="C7" s="7" t="s">
        <v>11</v>
      </c>
      <c r="D7" s="226" t="s">
        <v>12</v>
      </c>
      <c r="E7" s="39">
        <v>2016</v>
      </c>
      <c r="F7" s="7">
        <v>2017</v>
      </c>
      <c r="G7" s="7">
        <v>2018</v>
      </c>
      <c r="H7" s="7">
        <v>2019</v>
      </c>
      <c r="I7" s="7">
        <v>2020</v>
      </c>
      <c r="J7" s="7">
        <v>2021</v>
      </c>
      <c r="K7" s="7">
        <v>2022</v>
      </c>
      <c r="L7" s="7">
        <v>2023</v>
      </c>
      <c r="M7" s="7">
        <v>2024</v>
      </c>
      <c r="N7" s="7">
        <v>2025</v>
      </c>
    </row>
    <row r="8" spans="2:14" x14ac:dyDescent="0.25">
      <c r="B8" s="607" t="s">
        <v>469</v>
      </c>
      <c r="C8" s="610" t="s">
        <v>20</v>
      </c>
      <c r="D8" s="203" t="s">
        <v>20</v>
      </c>
      <c r="E8" s="633">
        <v>0.16000000000000003</v>
      </c>
      <c r="F8" s="633">
        <v>0.17000000000000004</v>
      </c>
      <c r="G8" s="633"/>
      <c r="H8" s="633"/>
      <c r="I8" s="633"/>
      <c r="J8" s="633"/>
      <c r="K8" s="633"/>
      <c r="L8" s="633"/>
      <c r="M8" s="633"/>
      <c r="N8" s="634"/>
    </row>
    <row r="9" spans="2:14" x14ac:dyDescent="0.25">
      <c r="B9" s="607" t="s">
        <v>470</v>
      </c>
      <c r="C9" s="610" t="s">
        <v>20</v>
      </c>
      <c r="D9" s="203" t="s">
        <v>20</v>
      </c>
      <c r="E9" s="633">
        <v>0.16999999999999998</v>
      </c>
      <c r="F9" s="633">
        <v>0.18999999999999997</v>
      </c>
      <c r="G9" s="633"/>
      <c r="H9" s="633"/>
      <c r="I9" s="633"/>
      <c r="J9" s="633"/>
      <c r="K9" s="633"/>
      <c r="L9" s="633"/>
      <c r="M9" s="633"/>
      <c r="N9" s="634"/>
    </row>
    <row r="10" spans="2:14" ht="13" x14ac:dyDescent="0.3">
      <c r="B10" s="607" t="s">
        <v>471</v>
      </c>
      <c r="C10" s="610" t="s">
        <v>20</v>
      </c>
      <c r="D10" s="282" t="s">
        <v>154</v>
      </c>
      <c r="E10" s="633">
        <v>0.05</v>
      </c>
      <c r="F10" s="633">
        <v>7.0000000000000007E-2</v>
      </c>
      <c r="G10" s="633"/>
      <c r="H10" s="633"/>
      <c r="I10" s="633"/>
      <c r="J10" s="633"/>
      <c r="K10" s="633"/>
      <c r="L10" s="633"/>
      <c r="M10" s="633"/>
      <c r="N10" s="634"/>
    </row>
    <row r="11" spans="2:14" x14ac:dyDescent="0.25">
      <c r="B11" s="199" t="s">
        <v>472</v>
      </c>
      <c r="C11" s="321" t="s">
        <v>161</v>
      </c>
      <c r="D11" s="199" t="s">
        <v>137</v>
      </c>
      <c r="E11" s="633">
        <v>0.15</v>
      </c>
      <c r="F11" s="633">
        <v>0.16999999999999998</v>
      </c>
      <c r="G11" s="633"/>
      <c r="H11" s="633"/>
      <c r="I11" s="633"/>
      <c r="J11" s="633"/>
      <c r="K11" s="633"/>
      <c r="L11" s="633"/>
      <c r="M11" s="633"/>
      <c r="N11" s="634"/>
    </row>
    <row r="12" spans="2:14" x14ac:dyDescent="0.25">
      <c r="B12" s="203" t="s">
        <v>473</v>
      </c>
      <c r="C12" s="606" t="s">
        <v>22</v>
      </c>
      <c r="D12" s="203" t="s">
        <v>137</v>
      </c>
      <c r="E12" s="625"/>
      <c r="F12" s="625"/>
      <c r="G12" s="625"/>
      <c r="H12" s="625"/>
      <c r="I12" s="625"/>
      <c r="J12" s="625"/>
      <c r="K12" s="625"/>
      <c r="L12" s="573"/>
      <c r="M12" s="573"/>
      <c r="N12" s="573"/>
    </row>
    <row r="13" spans="2:14" x14ac:dyDescent="0.25">
      <c r="B13" s="797" t="s">
        <v>474</v>
      </c>
      <c r="C13" s="800" t="s">
        <v>23</v>
      </c>
      <c r="D13" s="298" t="s">
        <v>146</v>
      </c>
      <c r="E13" s="573"/>
      <c r="F13" s="573"/>
      <c r="G13" s="573"/>
      <c r="H13" s="573"/>
      <c r="I13" s="573"/>
      <c r="J13" s="573"/>
      <c r="K13" s="573"/>
      <c r="L13" s="573"/>
      <c r="M13" s="573"/>
      <c r="N13" s="573"/>
    </row>
    <row r="14" spans="2:14" ht="25" x14ac:dyDescent="0.25">
      <c r="B14" s="798"/>
      <c r="C14" s="801"/>
      <c r="D14" s="299" t="s">
        <v>147</v>
      </c>
      <c r="E14" s="573"/>
      <c r="F14" s="573"/>
      <c r="G14" s="573"/>
      <c r="H14" s="573"/>
      <c r="I14" s="573"/>
      <c r="J14" s="573"/>
      <c r="K14" s="573"/>
      <c r="L14" s="573"/>
      <c r="M14" s="573"/>
      <c r="N14" s="573"/>
    </row>
    <row r="15" spans="2:14" x14ac:dyDescent="0.25">
      <c r="B15" s="798"/>
      <c r="C15" s="606" t="s">
        <v>24</v>
      </c>
      <c r="D15" s="202" t="s">
        <v>20</v>
      </c>
      <c r="E15" s="412">
        <v>0.1</v>
      </c>
      <c r="F15" s="412">
        <v>0.1</v>
      </c>
      <c r="G15" s="412"/>
      <c r="H15" s="412"/>
      <c r="I15" s="412"/>
      <c r="J15" s="412"/>
      <c r="K15" s="412"/>
      <c r="L15" s="412"/>
      <c r="M15" s="412"/>
      <c r="N15" s="412"/>
    </row>
    <row r="16" spans="2:14" x14ac:dyDescent="0.25">
      <c r="B16" s="799"/>
      <c r="C16" s="171" t="s">
        <v>25</v>
      </c>
      <c r="D16" s="202" t="s">
        <v>20</v>
      </c>
      <c r="E16" s="412">
        <v>0.1</v>
      </c>
      <c r="F16" s="412">
        <v>0.1</v>
      </c>
      <c r="G16" s="412"/>
      <c r="H16" s="412"/>
      <c r="I16" s="412"/>
      <c r="J16" s="412"/>
      <c r="K16" s="412"/>
      <c r="L16" s="412"/>
      <c r="M16" s="412"/>
      <c r="N16" s="412"/>
    </row>
    <row r="17" spans="2:15" x14ac:dyDescent="0.25">
      <c r="B17" s="604" t="s">
        <v>475</v>
      </c>
      <c r="C17" s="606" t="s">
        <v>60</v>
      </c>
      <c r="D17" s="202" t="s">
        <v>20</v>
      </c>
      <c r="E17" s="573"/>
      <c r="F17" s="573"/>
      <c r="G17" s="573"/>
      <c r="H17" s="573"/>
      <c r="I17" s="573"/>
      <c r="J17" s="573"/>
      <c r="K17" s="573"/>
      <c r="L17" s="573"/>
      <c r="M17" s="573"/>
      <c r="N17" s="573"/>
    </row>
    <row r="18" spans="2:15" x14ac:dyDescent="0.25">
      <c r="B18" s="802" t="s">
        <v>476</v>
      </c>
      <c r="C18" s="606" t="s">
        <v>161</v>
      </c>
      <c r="D18" s="202" t="s">
        <v>20</v>
      </c>
      <c r="E18" s="412"/>
      <c r="F18" s="412"/>
      <c r="G18" s="412"/>
      <c r="H18" s="633"/>
      <c r="I18" s="633"/>
      <c r="J18" s="633"/>
      <c r="K18" s="633"/>
      <c r="L18" s="633"/>
      <c r="M18" s="633"/>
      <c r="N18" s="634"/>
    </row>
    <row r="19" spans="2:15" x14ac:dyDescent="0.25">
      <c r="B19" s="803"/>
      <c r="C19" s="610" t="s">
        <v>22</v>
      </c>
      <c r="D19" s="203" t="s">
        <v>162</v>
      </c>
      <c r="E19" s="574"/>
      <c r="F19" s="574"/>
      <c r="G19" s="574"/>
      <c r="H19" s="574"/>
      <c r="I19" s="574"/>
      <c r="J19" s="574"/>
      <c r="K19" s="574"/>
      <c r="L19" s="574"/>
      <c r="M19" s="574"/>
      <c r="N19" s="574"/>
    </row>
    <row r="20" spans="2:15" x14ac:dyDescent="0.25">
      <c r="B20" s="803"/>
      <c r="C20" s="606" t="s">
        <v>23</v>
      </c>
      <c r="D20" s="605" t="s">
        <v>162</v>
      </c>
      <c r="E20" s="412"/>
      <c r="F20" s="412"/>
      <c r="G20" s="412"/>
      <c r="H20" s="633"/>
      <c r="I20" s="633"/>
      <c r="J20" s="633"/>
      <c r="K20" s="633"/>
      <c r="L20" s="633"/>
      <c r="M20" s="633"/>
      <c r="N20" s="634"/>
    </row>
    <row r="21" spans="2:15" x14ac:dyDescent="0.25">
      <c r="B21" s="803"/>
      <c r="C21" s="606" t="s">
        <v>163</v>
      </c>
      <c r="D21" s="202" t="s">
        <v>20</v>
      </c>
      <c r="E21" s="412"/>
      <c r="F21" s="412"/>
      <c r="G21" s="412"/>
      <c r="H21" s="633"/>
      <c r="I21" s="633"/>
      <c r="J21" s="633"/>
      <c r="K21" s="633"/>
      <c r="L21" s="633"/>
      <c r="M21" s="633"/>
      <c r="N21" s="634"/>
    </row>
    <row r="22" spans="2:15" x14ac:dyDescent="0.25">
      <c r="B22" s="804"/>
      <c r="C22" s="171" t="s">
        <v>25</v>
      </c>
      <c r="D22" s="199" t="s">
        <v>20</v>
      </c>
      <c r="E22" s="626"/>
      <c r="F22" s="626"/>
      <c r="G22" s="626"/>
      <c r="H22" s="626"/>
      <c r="I22" s="626"/>
      <c r="J22" s="626"/>
      <c r="K22" s="626"/>
      <c r="L22" s="626"/>
      <c r="M22" s="626"/>
      <c r="N22" s="574"/>
    </row>
    <row r="23" spans="2:15" x14ac:dyDescent="0.25">
      <c r="B23" s="609" t="s">
        <v>477</v>
      </c>
      <c r="C23" s="203" t="s">
        <v>20</v>
      </c>
      <c r="D23" s="203" t="s">
        <v>20</v>
      </c>
      <c r="E23" s="574"/>
      <c r="F23" s="574"/>
      <c r="G23" s="574"/>
      <c r="H23" s="574"/>
      <c r="I23" s="574"/>
      <c r="J23" s="574"/>
      <c r="K23" s="574"/>
      <c r="L23" s="574"/>
      <c r="M23" s="574"/>
      <c r="N23" s="574"/>
    </row>
    <row r="24" spans="2:15" x14ac:dyDescent="0.25">
      <c r="B24" s="203" t="s">
        <v>478</v>
      </c>
      <c r="C24" s="203" t="s">
        <v>20</v>
      </c>
      <c r="D24" s="203" t="s">
        <v>20</v>
      </c>
      <c r="E24" s="574"/>
      <c r="F24" s="574"/>
      <c r="G24" s="574"/>
      <c r="H24" s="414"/>
      <c r="I24" s="630"/>
      <c r="J24" s="630"/>
      <c r="K24" s="630"/>
      <c r="L24" s="630"/>
      <c r="M24" s="630"/>
      <c r="N24" s="630"/>
    </row>
    <row r="25" spans="2:15" x14ac:dyDescent="0.25">
      <c r="B25" s="203" t="s">
        <v>480</v>
      </c>
      <c r="C25" s="203" t="s">
        <v>20</v>
      </c>
      <c r="D25" s="203" t="s">
        <v>20</v>
      </c>
      <c r="E25" s="574"/>
      <c r="F25" s="574"/>
      <c r="G25" s="574"/>
      <c r="H25" s="414"/>
      <c r="I25" s="630"/>
      <c r="J25" s="630"/>
      <c r="K25" s="574"/>
      <c r="L25" s="574"/>
      <c r="M25" s="574"/>
      <c r="N25" s="574"/>
      <c r="O25" s="360"/>
    </row>
    <row r="26" spans="2:15" ht="15.5" x14ac:dyDescent="0.35">
      <c r="B26" s="217"/>
      <c r="C26" s="628"/>
      <c r="D26" s="278"/>
    </row>
    <row r="27" spans="2:15" ht="15.5" x14ac:dyDescent="0.35">
      <c r="B27" s="217"/>
      <c r="C27" s="628"/>
      <c r="D27" s="278"/>
    </row>
    <row r="28" spans="2:15" ht="15.5" x14ac:dyDescent="0.35">
      <c r="B28" s="221" t="s">
        <v>0</v>
      </c>
      <c r="C28" s="273" t="s">
        <v>417</v>
      </c>
      <c r="D28" s="198"/>
      <c r="E28" s="371" t="s">
        <v>482</v>
      </c>
      <c r="L28" s="684" t="str">
        <f>B28</f>
        <v>Units</v>
      </c>
      <c r="N28" s="685" t="str">
        <f>C28</f>
        <v>China-Enterprise</v>
      </c>
      <c r="O28" s="44"/>
    </row>
    <row r="29" spans="2:15" x14ac:dyDescent="0.25">
      <c r="B29" s="225" t="s">
        <v>10</v>
      </c>
      <c r="C29" s="7" t="s">
        <v>11</v>
      </c>
      <c r="D29" s="226" t="s">
        <v>12</v>
      </c>
      <c r="E29" s="39">
        <v>2016</v>
      </c>
      <c r="F29" s="7">
        <v>2017</v>
      </c>
      <c r="G29" s="7">
        <v>2018</v>
      </c>
      <c r="H29" s="7">
        <v>2019</v>
      </c>
      <c r="I29" s="7">
        <v>2020</v>
      </c>
      <c r="J29" s="7">
        <v>2021</v>
      </c>
      <c r="K29" s="7">
        <v>2022</v>
      </c>
      <c r="L29" s="7">
        <v>2023</v>
      </c>
      <c r="M29" s="7">
        <v>2024</v>
      </c>
      <c r="N29" s="7">
        <v>2025</v>
      </c>
      <c r="O29" s="566"/>
    </row>
    <row r="30" spans="2:15" ht="12.75" customHeight="1" x14ac:dyDescent="0.25">
      <c r="B30" s="607" t="s">
        <v>469</v>
      </c>
      <c r="C30" s="610" t="s">
        <v>20</v>
      </c>
      <c r="D30" s="203" t="s">
        <v>20</v>
      </c>
      <c r="E30" s="409">
        <f t="shared" ref="E30:M30" si="0">E8*E165</f>
        <v>1731323.8313760003</v>
      </c>
      <c r="F30" s="409">
        <f t="shared" si="0"/>
        <v>1552777.0963999999</v>
      </c>
      <c r="G30" s="409"/>
      <c r="H30" s="409"/>
      <c r="I30" s="409"/>
      <c r="J30" s="409"/>
      <c r="K30" s="409"/>
      <c r="L30" s="410"/>
      <c r="M30" s="410"/>
      <c r="N30" s="410"/>
      <c r="O30" s="567"/>
    </row>
    <row r="31" spans="2:15" x14ac:dyDescent="0.25">
      <c r="B31" s="607" t="s">
        <v>470</v>
      </c>
      <c r="C31" s="610" t="s">
        <v>20</v>
      </c>
      <c r="D31" s="203" t="s">
        <v>20</v>
      </c>
      <c r="E31" s="409">
        <f t="shared" ref="E31:M31" si="1">E9*E166</f>
        <v>1623305.6896033788</v>
      </c>
      <c r="F31" s="409">
        <f t="shared" si="1"/>
        <v>2021379.1738055439</v>
      </c>
      <c r="G31" s="409"/>
      <c r="H31" s="409"/>
      <c r="I31" s="409"/>
      <c r="J31" s="409"/>
      <c r="K31" s="409"/>
      <c r="L31" s="410"/>
      <c r="M31" s="410"/>
      <c r="N31" s="410"/>
      <c r="O31" s="567"/>
    </row>
    <row r="32" spans="2:15" ht="13" x14ac:dyDescent="0.3">
      <c r="B32" s="607" t="s">
        <v>471</v>
      </c>
      <c r="C32" s="610" t="s">
        <v>20</v>
      </c>
      <c r="D32" s="282" t="s">
        <v>154</v>
      </c>
      <c r="E32" s="409">
        <f t="shared" ref="E32:M32" si="2">E10*E167</f>
        <v>516.48</v>
      </c>
      <c r="F32" s="409">
        <f t="shared" si="2"/>
        <v>7566.1880000000001</v>
      </c>
      <c r="G32" s="409"/>
      <c r="H32" s="409"/>
      <c r="I32" s="409"/>
      <c r="J32" s="409"/>
      <c r="K32" s="409"/>
      <c r="L32" s="410"/>
      <c r="M32" s="410"/>
      <c r="N32" s="410"/>
      <c r="O32" s="567"/>
    </row>
    <row r="33" spans="2:15" x14ac:dyDescent="0.25">
      <c r="B33" s="199" t="s">
        <v>472</v>
      </c>
      <c r="C33" s="321" t="s">
        <v>161</v>
      </c>
      <c r="D33" s="199" t="s">
        <v>137</v>
      </c>
      <c r="E33" s="409">
        <f t="shared" ref="E33:M33" si="3">E11*E168</f>
        <v>105872.16</v>
      </c>
      <c r="F33" s="409">
        <f t="shared" si="3"/>
        <v>149014.12899999999</v>
      </c>
      <c r="G33" s="409"/>
      <c r="H33" s="409"/>
      <c r="I33" s="409"/>
      <c r="J33" s="409"/>
      <c r="K33" s="409"/>
      <c r="L33" s="410"/>
      <c r="M33" s="410"/>
      <c r="N33" s="410"/>
      <c r="O33" s="567"/>
    </row>
    <row r="34" spans="2:15" ht="25" customHeight="1" x14ac:dyDescent="0.25">
      <c r="B34" s="203" t="s">
        <v>473</v>
      </c>
      <c r="C34" s="606" t="s">
        <v>22</v>
      </c>
      <c r="D34" s="203" t="s">
        <v>137</v>
      </c>
      <c r="E34" s="409">
        <f t="shared" ref="E34:M34" si="4">E12*E169</f>
        <v>0</v>
      </c>
      <c r="F34" s="409">
        <f t="shared" si="4"/>
        <v>0</v>
      </c>
      <c r="G34" s="409"/>
      <c r="H34" s="409"/>
      <c r="I34" s="409"/>
      <c r="J34" s="409"/>
      <c r="K34" s="409"/>
      <c r="L34" s="410"/>
      <c r="M34" s="410"/>
      <c r="N34" s="410"/>
      <c r="O34" s="567"/>
    </row>
    <row r="35" spans="2:15" x14ac:dyDescent="0.25">
      <c r="B35" s="797" t="s">
        <v>474</v>
      </c>
      <c r="C35" s="800" t="s">
        <v>23</v>
      </c>
      <c r="D35" s="298" t="s">
        <v>146</v>
      </c>
      <c r="E35" s="409">
        <f t="shared" ref="E35:M35" si="5">E13*E170</f>
        <v>0</v>
      </c>
      <c r="F35" s="409">
        <f t="shared" si="5"/>
        <v>0</v>
      </c>
      <c r="G35" s="409"/>
      <c r="H35" s="409"/>
      <c r="I35" s="409"/>
      <c r="J35" s="409"/>
      <c r="K35" s="409"/>
      <c r="L35" s="409"/>
      <c r="M35" s="417"/>
      <c r="N35" s="417"/>
      <c r="O35" s="567"/>
    </row>
    <row r="36" spans="2:15" ht="12" customHeight="1" x14ac:dyDescent="0.25">
      <c r="B36" s="798"/>
      <c r="C36" s="801"/>
      <c r="D36" s="299" t="s">
        <v>147</v>
      </c>
      <c r="E36" s="409">
        <f t="shared" ref="E36:M36" si="6">E14*E171</f>
        <v>0</v>
      </c>
      <c r="F36" s="409">
        <f t="shared" si="6"/>
        <v>0</v>
      </c>
      <c r="G36" s="409"/>
      <c r="H36" s="409"/>
      <c r="I36" s="409"/>
      <c r="J36" s="409"/>
      <c r="K36" s="409"/>
      <c r="L36" s="410"/>
      <c r="M36" s="410"/>
      <c r="N36" s="410"/>
      <c r="O36" s="567"/>
    </row>
    <row r="37" spans="2:15" x14ac:dyDescent="0.25">
      <c r="B37" s="798"/>
      <c r="C37" s="606" t="s">
        <v>24</v>
      </c>
      <c r="D37" s="202" t="s">
        <v>20</v>
      </c>
      <c r="E37" s="409">
        <f t="shared" ref="E37:M37" si="7">E15*E172</f>
        <v>6544.619999999999</v>
      </c>
      <c r="F37" s="409">
        <f t="shared" si="7"/>
        <v>8487.159999999998</v>
      </c>
      <c r="G37" s="409"/>
      <c r="H37" s="409"/>
      <c r="I37" s="409"/>
      <c r="J37" s="409"/>
      <c r="K37" s="409"/>
      <c r="L37" s="410"/>
      <c r="M37" s="410"/>
      <c r="N37" s="410"/>
      <c r="O37" s="567"/>
    </row>
    <row r="38" spans="2:15" x14ac:dyDescent="0.25">
      <c r="B38" s="799"/>
      <c r="C38" s="171" t="s">
        <v>25</v>
      </c>
      <c r="D38" s="202" t="s">
        <v>20</v>
      </c>
      <c r="E38" s="409">
        <f t="shared" ref="E38:M38" si="8">E16*E173</f>
        <v>220.23000000000002</v>
      </c>
      <c r="F38" s="409">
        <f t="shared" si="8"/>
        <v>282.464</v>
      </c>
      <c r="G38" s="409"/>
      <c r="H38" s="409"/>
      <c r="I38" s="409"/>
      <c r="J38" s="409"/>
      <c r="K38" s="409"/>
      <c r="L38" s="410"/>
      <c r="M38" s="410"/>
      <c r="N38" s="410"/>
      <c r="O38" s="567"/>
    </row>
    <row r="39" spans="2:15" x14ac:dyDescent="0.25">
      <c r="B39" s="604" t="s">
        <v>475</v>
      </c>
      <c r="C39" s="606" t="s">
        <v>60</v>
      </c>
      <c r="D39" s="202" t="s">
        <v>20</v>
      </c>
      <c r="E39" s="409">
        <f t="shared" ref="E39:M39" si="9">E17*E174</f>
        <v>0</v>
      </c>
      <c r="F39" s="409">
        <f t="shared" si="9"/>
        <v>0</v>
      </c>
      <c r="G39" s="409"/>
      <c r="H39" s="409"/>
      <c r="I39" s="409"/>
      <c r="J39" s="409"/>
      <c r="K39" s="409"/>
      <c r="L39" s="410"/>
      <c r="M39" s="410"/>
      <c r="N39" s="410"/>
      <c r="O39" s="567"/>
    </row>
    <row r="40" spans="2:15" x14ac:dyDescent="0.25">
      <c r="B40" s="802" t="s">
        <v>476</v>
      </c>
      <c r="C40" s="606" t="s">
        <v>161</v>
      </c>
      <c r="D40" s="202" t="s">
        <v>20</v>
      </c>
      <c r="E40" s="409">
        <f t="shared" ref="E40:M40" si="10">E18*E175</f>
        <v>0</v>
      </c>
      <c r="F40" s="409">
        <f t="shared" si="10"/>
        <v>0</v>
      </c>
      <c r="G40" s="409"/>
      <c r="H40" s="409"/>
      <c r="I40" s="409"/>
      <c r="J40" s="409"/>
      <c r="K40" s="409"/>
      <c r="L40" s="410"/>
      <c r="M40" s="410"/>
      <c r="N40" s="410"/>
      <c r="O40" s="567"/>
    </row>
    <row r="41" spans="2:15" x14ac:dyDescent="0.25">
      <c r="B41" s="803"/>
      <c r="C41" s="610" t="s">
        <v>22</v>
      </c>
      <c r="D41" s="203" t="s">
        <v>162</v>
      </c>
      <c r="E41" s="409">
        <f t="shared" ref="E41:M41" si="11">E19*E176</f>
        <v>0</v>
      </c>
      <c r="F41" s="409">
        <f t="shared" si="11"/>
        <v>0</v>
      </c>
      <c r="G41" s="409"/>
      <c r="H41" s="409"/>
      <c r="I41" s="409"/>
      <c r="J41" s="409"/>
      <c r="K41" s="409"/>
      <c r="L41" s="410"/>
      <c r="M41" s="410"/>
      <c r="N41" s="410"/>
      <c r="O41" s="567"/>
    </row>
    <row r="42" spans="2:15" x14ac:dyDescent="0.25">
      <c r="B42" s="803"/>
      <c r="C42" s="606" t="s">
        <v>23</v>
      </c>
      <c r="D42" s="605" t="s">
        <v>162</v>
      </c>
      <c r="E42" s="409">
        <f t="shared" ref="E42:M42" si="12">E20*E177</f>
        <v>0</v>
      </c>
      <c r="F42" s="409">
        <f t="shared" si="12"/>
        <v>0</v>
      </c>
      <c r="G42" s="409"/>
      <c r="H42" s="409"/>
      <c r="I42" s="409"/>
      <c r="J42" s="409"/>
      <c r="K42" s="409"/>
      <c r="L42" s="410"/>
      <c r="M42" s="410"/>
      <c r="N42" s="410"/>
      <c r="O42" s="567"/>
    </row>
    <row r="43" spans="2:15" x14ac:dyDescent="0.25">
      <c r="B43" s="803"/>
      <c r="C43" s="606" t="s">
        <v>163</v>
      </c>
      <c r="D43" s="202" t="s">
        <v>20</v>
      </c>
      <c r="E43" s="409">
        <f t="shared" ref="E43:M43" si="13">E21*E178</f>
        <v>0</v>
      </c>
      <c r="F43" s="409">
        <f t="shared" si="13"/>
        <v>0</v>
      </c>
      <c r="G43" s="409"/>
      <c r="H43" s="409"/>
      <c r="I43" s="409"/>
      <c r="J43" s="409"/>
      <c r="K43" s="409"/>
      <c r="L43" s="410"/>
      <c r="M43" s="410"/>
      <c r="N43" s="410"/>
      <c r="O43" s="567"/>
    </row>
    <row r="44" spans="2:15" x14ac:dyDescent="0.25">
      <c r="B44" s="804"/>
      <c r="C44" s="171" t="s">
        <v>25</v>
      </c>
      <c r="D44" s="199" t="s">
        <v>20</v>
      </c>
      <c r="E44" s="409">
        <f t="shared" ref="E44:M44" si="14">E22*E179</f>
        <v>0</v>
      </c>
      <c r="F44" s="409">
        <f t="shared" si="14"/>
        <v>0</v>
      </c>
      <c r="G44" s="409"/>
      <c r="H44" s="409"/>
      <c r="I44" s="409"/>
      <c r="J44" s="409"/>
      <c r="K44" s="409"/>
      <c r="L44" s="410"/>
      <c r="M44" s="410"/>
      <c r="N44" s="410"/>
      <c r="O44" s="567"/>
    </row>
    <row r="45" spans="2:15" x14ac:dyDescent="0.25">
      <c r="B45" s="609" t="s">
        <v>477</v>
      </c>
      <c r="C45" s="203" t="s">
        <v>20</v>
      </c>
      <c r="D45" s="203" t="s">
        <v>20</v>
      </c>
      <c r="E45" s="409">
        <f t="shared" ref="E45:M45" si="15">E23*E180</f>
        <v>0</v>
      </c>
      <c r="F45" s="409">
        <f t="shared" si="15"/>
        <v>0</v>
      </c>
      <c r="G45" s="409"/>
      <c r="H45" s="409"/>
      <c r="I45" s="409"/>
      <c r="J45" s="409"/>
      <c r="K45" s="409"/>
      <c r="L45" s="410"/>
      <c r="M45" s="410"/>
      <c r="N45" s="410"/>
      <c r="O45" s="567"/>
    </row>
    <row r="46" spans="2:15" x14ac:dyDescent="0.25">
      <c r="B46" s="203" t="s">
        <v>478</v>
      </c>
      <c r="C46" s="203" t="s">
        <v>20</v>
      </c>
      <c r="D46" s="203" t="s">
        <v>20</v>
      </c>
      <c r="E46" s="409">
        <f t="shared" ref="E46:N46" si="16">E24*E181</f>
        <v>0</v>
      </c>
      <c r="F46" s="409">
        <f t="shared" si="16"/>
        <v>0</v>
      </c>
      <c r="G46" s="409"/>
      <c r="H46" s="409"/>
      <c r="I46" s="409"/>
      <c r="J46" s="409"/>
      <c r="K46" s="409"/>
      <c r="L46" s="410"/>
      <c r="M46" s="410"/>
      <c r="N46" s="410"/>
      <c r="O46" s="567"/>
    </row>
    <row r="47" spans="2:15" x14ac:dyDescent="0.25">
      <c r="B47" s="203" t="s">
        <v>480</v>
      </c>
      <c r="C47" s="203" t="s">
        <v>20</v>
      </c>
      <c r="D47" s="203" t="s">
        <v>20</v>
      </c>
      <c r="E47" s="409">
        <f t="shared" ref="E47:N47" si="17">E25*E182</f>
        <v>0</v>
      </c>
      <c r="F47" s="409">
        <f t="shared" si="17"/>
        <v>0</v>
      </c>
      <c r="G47" s="409"/>
      <c r="H47" s="409"/>
      <c r="I47" s="409"/>
      <c r="J47" s="409"/>
      <c r="K47" s="409"/>
      <c r="L47" s="410"/>
      <c r="M47" s="410"/>
      <c r="N47" s="410"/>
      <c r="O47" s="567"/>
    </row>
    <row r="48" spans="2:15" x14ac:dyDescent="0.25">
      <c r="B48" s="206" t="s">
        <v>9</v>
      </c>
      <c r="C48" s="203" t="s">
        <v>20</v>
      </c>
      <c r="D48" s="203" t="s">
        <v>20</v>
      </c>
      <c r="E48" s="235">
        <f>SUM(E30:E47)</f>
        <v>3467783.0109793795</v>
      </c>
      <c r="F48" s="235">
        <f t="shared" ref="F48:N48" si="18">SUM(F30:F47)</f>
        <v>3739506.2112055444</v>
      </c>
      <c r="G48" s="235"/>
      <c r="H48" s="235"/>
      <c r="I48" s="235"/>
      <c r="J48" s="235"/>
      <c r="K48" s="235"/>
      <c r="L48" s="235"/>
      <c r="M48" s="235"/>
      <c r="N48" s="235"/>
      <c r="O48" s="567"/>
    </row>
    <row r="49" spans="2:32" x14ac:dyDescent="0.25">
      <c r="B49" s="160"/>
      <c r="C49" s="160"/>
      <c r="D49" s="207"/>
      <c r="E49" s="8"/>
      <c r="F49" s="8">
        <f t="shared" ref="F49:N49" si="19">IF(E48=0,"",F48/E48-1)</f>
        <v>7.8356459837844339E-2</v>
      </c>
      <c r="G49" s="8">
        <f t="shared" si="19"/>
        <v>-1</v>
      </c>
      <c r="H49" s="8" t="str">
        <f t="shared" si="19"/>
        <v/>
      </c>
      <c r="I49" s="8" t="str">
        <f t="shared" si="19"/>
        <v/>
      </c>
      <c r="J49" s="8" t="str">
        <f t="shared" si="19"/>
        <v/>
      </c>
      <c r="K49" s="8" t="str">
        <f t="shared" si="19"/>
        <v/>
      </c>
      <c r="L49" s="8" t="str">
        <f t="shared" si="19"/>
        <v/>
      </c>
      <c r="M49" s="8" t="str">
        <f t="shared" si="19"/>
        <v/>
      </c>
      <c r="N49" s="8" t="str">
        <f t="shared" si="19"/>
        <v/>
      </c>
      <c r="O49" s="44"/>
      <c r="R49" s="207"/>
      <c r="S49" s="2"/>
      <c r="T49" s="8" t="str">
        <f t="shared" ref="T49:AF49" si="20">IF(S48=0,"",T48/S48-1)</f>
        <v/>
      </c>
      <c r="U49" s="8" t="str">
        <f t="shared" si="20"/>
        <v/>
      </c>
      <c r="V49" s="8" t="str">
        <f t="shared" si="20"/>
        <v/>
      </c>
      <c r="W49" s="8" t="str">
        <f t="shared" si="20"/>
        <v/>
      </c>
      <c r="X49" s="8" t="str">
        <f t="shared" si="20"/>
        <v/>
      </c>
      <c r="Y49" s="8" t="str">
        <f t="shared" si="20"/>
        <v/>
      </c>
      <c r="Z49" s="8" t="str">
        <f t="shared" si="20"/>
        <v/>
      </c>
      <c r="AA49" s="8" t="str">
        <f t="shared" si="20"/>
        <v/>
      </c>
      <c r="AB49" s="8" t="str">
        <f t="shared" si="20"/>
        <v/>
      </c>
      <c r="AC49" s="8" t="str">
        <f t="shared" si="20"/>
        <v/>
      </c>
      <c r="AD49" s="8" t="str">
        <f t="shared" si="20"/>
        <v/>
      </c>
      <c r="AE49" s="8" t="str">
        <f t="shared" si="20"/>
        <v/>
      </c>
      <c r="AF49" s="8" t="str">
        <f t="shared" si="20"/>
        <v/>
      </c>
    </row>
    <row r="50" spans="2:32" ht="13" x14ac:dyDescent="0.3">
      <c r="B50" s="220" t="s">
        <v>53</v>
      </c>
      <c r="C50" s="273" t="str">
        <f>C28</f>
        <v>China-Enterprise</v>
      </c>
      <c r="D50" s="198"/>
      <c r="E50" s="283"/>
      <c r="F50" s="283"/>
      <c r="G50" s="283"/>
      <c r="H50" s="283"/>
      <c r="I50" s="283"/>
      <c r="J50" s="283"/>
      <c r="K50" s="283"/>
      <c r="L50" s="684" t="str">
        <f>B50</f>
        <v>ASP ($)</v>
      </c>
      <c r="N50" s="685" t="str">
        <f>C50</f>
        <v>China-Enterprise</v>
      </c>
      <c r="O50" s="44"/>
    </row>
    <row r="51" spans="2:32" x14ac:dyDescent="0.25">
      <c r="B51" s="227" t="s">
        <v>10</v>
      </c>
      <c r="C51" s="129" t="s">
        <v>11</v>
      </c>
      <c r="D51" s="228" t="s">
        <v>12</v>
      </c>
      <c r="E51" s="136">
        <v>2016</v>
      </c>
      <c r="F51" s="129">
        <v>2017</v>
      </c>
      <c r="G51" s="129">
        <v>2018</v>
      </c>
      <c r="H51" s="129">
        <v>2019</v>
      </c>
      <c r="I51" s="129">
        <v>2020</v>
      </c>
      <c r="J51" s="129">
        <v>2021</v>
      </c>
      <c r="K51" s="129">
        <v>2022</v>
      </c>
      <c r="L51" s="129">
        <v>2023</v>
      </c>
      <c r="M51" s="129">
        <v>2024</v>
      </c>
      <c r="N51" s="129">
        <v>2025</v>
      </c>
      <c r="O51" s="568"/>
    </row>
    <row r="52" spans="2:32" x14ac:dyDescent="0.25">
      <c r="B52" s="607" t="str">
        <f t="shared" ref="B52:B69" si="21">B30</f>
        <v>1 G</v>
      </c>
      <c r="C52" s="610" t="str">
        <f>C30</f>
        <v>All</v>
      </c>
      <c r="D52" s="610" t="str">
        <f>D30</f>
        <v>All</v>
      </c>
      <c r="E52" s="294">
        <f t="shared" ref="E52:M67" si="22">E187</f>
        <v>10.917224191459711</v>
      </c>
      <c r="F52" s="294">
        <f t="shared" si="22"/>
        <v>9.4154445837284086</v>
      </c>
      <c r="G52" s="294"/>
      <c r="H52" s="294"/>
      <c r="I52" s="294"/>
      <c r="J52" s="297"/>
      <c r="K52" s="297"/>
      <c r="L52" s="297"/>
      <c r="M52" s="297"/>
      <c r="N52" s="297"/>
      <c r="O52" s="569"/>
    </row>
    <row r="53" spans="2:32" x14ac:dyDescent="0.25">
      <c r="B53" s="607" t="str">
        <f t="shared" si="21"/>
        <v>10 G</v>
      </c>
      <c r="C53" s="610" t="str">
        <f>C31</f>
        <v>All</v>
      </c>
      <c r="D53" s="610" t="str">
        <f>D31</f>
        <v>All</v>
      </c>
      <c r="E53" s="294">
        <f t="shared" si="22"/>
        <v>27.757039954208452</v>
      </c>
      <c r="F53" s="294">
        <f t="shared" si="22"/>
        <v>22.142167894713644</v>
      </c>
      <c r="G53" s="294"/>
      <c r="H53" s="294"/>
      <c r="I53" s="294"/>
      <c r="J53" s="297"/>
      <c r="K53" s="297"/>
      <c r="L53" s="297"/>
      <c r="M53" s="297"/>
      <c r="N53" s="297"/>
      <c r="O53" s="569"/>
    </row>
    <row r="54" spans="2:32" ht="13" x14ac:dyDescent="0.3">
      <c r="B54" s="607" t="str">
        <f t="shared" si="21"/>
        <v>25 G</v>
      </c>
      <c r="C54" s="610" t="str">
        <f>C33</f>
        <v>100-300 m</v>
      </c>
      <c r="D54" s="282" t="s">
        <v>154</v>
      </c>
      <c r="E54" s="294">
        <f t="shared" si="22"/>
        <v>270.07935447645605</v>
      </c>
      <c r="F54" s="294">
        <f t="shared" si="22"/>
        <v>161.80484135984955</v>
      </c>
      <c r="G54" s="294"/>
      <c r="H54" s="294"/>
      <c r="I54" s="294"/>
      <c r="J54" s="297"/>
      <c r="K54" s="297"/>
      <c r="L54" s="297"/>
      <c r="M54" s="297"/>
      <c r="N54" s="297"/>
      <c r="O54" s="569"/>
    </row>
    <row r="55" spans="2:32" x14ac:dyDescent="0.25">
      <c r="B55" s="199" t="str">
        <f t="shared" si="21"/>
        <v>40 G</v>
      </c>
      <c r="C55" s="606" t="s">
        <v>21</v>
      </c>
      <c r="D55" s="199" t="s">
        <v>55</v>
      </c>
      <c r="E55" s="294">
        <f t="shared" si="22"/>
        <v>230.50131104138549</v>
      </c>
      <c r="F55" s="294">
        <f t="shared" si="22"/>
        <v>217.08208497361207</v>
      </c>
      <c r="G55" s="294"/>
      <c r="H55" s="294"/>
      <c r="I55" s="294"/>
      <c r="J55" s="297"/>
      <c r="K55" s="297"/>
      <c r="L55" s="297"/>
      <c r="M55" s="297"/>
      <c r="N55" s="297"/>
      <c r="O55" s="44"/>
    </row>
    <row r="56" spans="2:32" ht="15.5" customHeight="1" x14ac:dyDescent="0.25">
      <c r="B56" s="203" t="str">
        <f t="shared" si="21"/>
        <v>40 G PSM4</v>
      </c>
      <c r="C56" s="610" t="s">
        <v>22</v>
      </c>
      <c r="D56" s="203" t="s">
        <v>137</v>
      </c>
      <c r="E56" s="294">
        <f t="shared" si="22"/>
        <v>0</v>
      </c>
      <c r="F56" s="294">
        <f t="shared" si="22"/>
        <v>0</v>
      </c>
      <c r="G56" s="294"/>
      <c r="H56" s="294"/>
      <c r="I56" s="294"/>
      <c r="J56" s="297"/>
      <c r="K56" s="297"/>
      <c r="L56" s="297"/>
      <c r="M56" s="297"/>
      <c r="N56" s="297"/>
    </row>
    <row r="57" spans="2:32" x14ac:dyDescent="0.25">
      <c r="B57" s="797" t="str">
        <f t="shared" si="21"/>
        <v xml:space="preserve">40 G </v>
      </c>
      <c r="C57" s="805" t="s">
        <v>23</v>
      </c>
      <c r="D57" s="603" t="s">
        <v>146</v>
      </c>
      <c r="E57" s="294">
        <f t="shared" si="22"/>
        <v>0</v>
      </c>
      <c r="F57" s="294">
        <f t="shared" si="22"/>
        <v>0</v>
      </c>
      <c r="G57" s="294"/>
      <c r="H57" s="294"/>
      <c r="I57" s="294"/>
      <c r="J57" s="297"/>
      <c r="K57" s="297"/>
      <c r="L57" s="297"/>
      <c r="M57" s="297"/>
      <c r="N57" s="297"/>
    </row>
    <row r="58" spans="2:32" ht="14" customHeight="1" x14ac:dyDescent="0.25">
      <c r="B58" s="798"/>
      <c r="C58" s="806"/>
      <c r="D58" s="605" t="s">
        <v>147</v>
      </c>
      <c r="E58" s="294">
        <f t="shared" si="22"/>
        <v>0</v>
      </c>
      <c r="F58" s="294">
        <f t="shared" si="22"/>
        <v>0</v>
      </c>
      <c r="G58" s="294"/>
      <c r="H58" s="294"/>
      <c r="I58" s="294"/>
      <c r="J58" s="297"/>
      <c r="K58" s="297"/>
      <c r="L58" s="297"/>
      <c r="M58" s="297"/>
      <c r="N58" s="297"/>
    </row>
    <row r="59" spans="2:32" x14ac:dyDescent="0.25">
      <c r="B59" s="798"/>
      <c r="C59" s="610" t="s">
        <v>24</v>
      </c>
      <c r="D59" s="202" t="s">
        <v>20</v>
      </c>
      <c r="E59" s="294">
        <f t="shared" si="22"/>
        <v>427.72742888770347</v>
      </c>
      <c r="F59" s="294">
        <f t="shared" si="22"/>
        <v>401.36672508917627</v>
      </c>
      <c r="G59" s="294"/>
      <c r="H59" s="294"/>
      <c r="I59" s="294"/>
      <c r="J59" s="297"/>
      <c r="K59" s="297"/>
      <c r="L59" s="297"/>
      <c r="M59" s="297"/>
      <c r="N59" s="297"/>
    </row>
    <row r="60" spans="2:32" x14ac:dyDescent="0.25">
      <c r="B60" s="799"/>
      <c r="C60" s="170" t="s">
        <v>25</v>
      </c>
      <c r="D60" s="203" t="str">
        <f t="shared" ref="D60:D67" si="23">D38</f>
        <v>All</v>
      </c>
      <c r="E60" s="294">
        <f t="shared" si="22"/>
        <v>1673.0572324239708</v>
      </c>
      <c r="F60" s="294">
        <f t="shared" si="22"/>
        <v>1459.2330281290015</v>
      </c>
      <c r="G60" s="294"/>
      <c r="H60" s="294"/>
      <c r="I60" s="294"/>
      <c r="J60" s="297"/>
      <c r="K60" s="297"/>
      <c r="L60" s="297"/>
      <c r="M60" s="297"/>
      <c r="N60" s="297"/>
    </row>
    <row r="61" spans="2:32" x14ac:dyDescent="0.25">
      <c r="B61" s="604" t="str">
        <f t="shared" si="21"/>
        <v>50 G</v>
      </c>
      <c r="C61" s="610" t="str">
        <f>C39</f>
        <v>all</v>
      </c>
      <c r="D61" s="203" t="str">
        <f t="shared" si="23"/>
        <v>All</v>
      </c>
      <c r="E61" s="294">
        <f t="shared" si="22"/>
        <v>0</v>
      </c>
      <c r="F61" s="294">
        <f t="shared" si="22"/>
        <v>0</v>
      </c>
      <c r="G61" s="294"/>
      <c r="H61" s="294"/>
      <c r="I61" s="294"/>
      <c r="J61" s="297"/>
      <c r="K61" s="297"/>
      <c r="L61" s="297"/>
      <c r="M61" s="297"/>
      <c r="N61" s="297"/>
    </row>
    <row r="62" spans="2:32" x14ac:dyDescent="0.25">
      <c r="B62" s="802" t="str">
        <f t="shared" si="21"/>
        <v>100 G</v>
      </c>
      <c r="C62" s="606" t="str">
        <f>C40</f>
        <v>100-300 m</v>
      </c>
      <c r="D62" s="203" t="str">
        <f t="shared" si="23"/>
        <v>All</v>
      </c>
      <c r="E62" s="294">
        <f t="shared" si="22"/>
        <v>0</v>
      </c>
      <c r="F62" s="294">
        <f t="shared" si="22"/>
        <v>0</v>
      </c>
      <c r="G62" s="294"/>
      <c r="H62" s="294"/>
      <c r="I62" s="294"/>
      <c r="J62" s="297"/>
      <c r="K62" s="297"/>
      <c r="L62" s="297"/>
      <c r="M62" s="297"/>
      <c r="N62" s="297"/>
    </row>
    <row r="63" spans="2:32" x14ac:dyDescent="0.25">
      <c r="B63" s="803"/>
      <c r="C63" s="606" t="s">
        <v>22</v>
      </c>
      <c r="D63" s="203" t="str">
        <f t="shared" si="23"/>
        <v>QSFP28</v>
      </c>
      <c r="E63" s="294">
        <f t="shared" si="22"/>
        <v>0</v>
      </c>
      <c r="F63" s="294">
        <f t="shared" si="22"/>
        <v>0</v>
      </c>
      <c r="G63" s="294"/>
      <c r="H63" s="294"/>
      <c r="I63" s="294"/>
      <c r="J63" s="297"/>
      <c r="K63" s="297"/>
      <c r="L63" s="297"/>
      <c r="M63" s="297"/>
      <c r="N63" s="297"/>
    </row>
    <row r="64" spans="2:32" ht="12.75" customHeight="1" x14ac:dyDescent="0.25">
      <c r="B64" s="803"/>
      <c r="C64" s="610" t="str">
        <f>C42</f>
        <v>2 km</v>
      </c>
      <c r="D64" s="605" t="str">
        <f t="shared" si="23"/>
        <v>QSFP28</v>
      </c>
      <c r="E64" s="294">
        <f t="shared" si="22"/>
        <v>0</v>
      </c>
      <c r="F64" s="294">
        <f t="shared" si="22"/>
        <v>0</v>
      </c>
      <c r="G64" s="294"/>
      <c r="H64" s="294"/>
      <c r="I64" s="294"/>
      <c r="J64" s="297"/>
      <c r="K64" s="297"/>
      <c r="L64" s="297"/>
      <c r="M64" s="297"/>
      <c r="N64" s="297"/>
    </row>
    <row r="65" spans="2:14" x14ac:dyDescent="0.25">
      <c r="B65" s="803"/>
      <c r="C65" s="610" t="str">
        <f>C43</f>
        <v>10-20 km</v>
      </c>
      <c r="D65" s="608" t="str">
        <f t="shared" si="23"/>
        <v>All</v>
      </c>
      <c r="E65" s="294">
        <f t="shared" si="22"/>
        <v>0</v>
      </c>
      <c r="F65" s="294">
        <f t="shared" si="22"/>
        <v>500</v>
      </c>
      <c r="G65" s="294"/>
      <c r="H65" s="294"/>
      <c r="I65" s="294"/>
      <c r="J65" s="297"/>
      <c r="K65" s="297"/>
      <c r="L65" s="297"/>
      <c r="M65" s="297"/>
      <c r="N65" s="297"/>
    </row>
    <row r="66" spans="2:14" x14ac:dyDescent="0.25">
      <c r="B66" s="804"/>
      <c r="C66" s="170" t="str">
        <f>C44</f>
        <v>40 km</v>
      </c>
      <c r="D66" s="199" t="str">
        <f t="shared" si="23"/>
        <v>All</v>
      </c>
      <c r="E66" s="294">
        <f t="shared" si="22"/>
        <v>0</v>
      </c>
      <c r="F66" s="294">
        <f t="shared" si="22"/>
        <v>0</v>
      </c>
      <c r="G66" s="294"/>
      <c r="H66" s="294"/>
      <c r="I66" s="294"/>
      <c r="J66" s="297"/>
      <c r="K66" s="297"/>
      <c r="L66" s="297"/>
      <c r="M66" s="297"/>
      <c r="N66" s="297"/>
    </row>
    <row r="67" spans="2:14" x14ac:dyDescent="0.25">
      <c r="B67" s="201" t="str">
        <f t="shared" si="21"/>
        <v>200 G</v>
      </c>
      <c r="C67" s="203" t="str">
        <f>C45</f>
        <v>All</v>
      </c>
      <c r="D67" s="203" t="str">
        <f t="shared" si="23"/>
        <v>All</v>
      </c>
      <c r="E67" s="294">
        <f t="shared" si="22"/>
        <v>0</v>
      </c>
      <c r="F67" s="294">
        <f t="shared" si="22"/>
        <v>0</v>
      </c>
      <c r="G67" s="294"/>
      <c r="H67" s="294"/>
      <c r="I67" s="294"/>
      <c r="J67" s="296"/>
      <c r="K67" s="296"/>
      <c r="L67" s="296"/>
      <c r="M67" s="296"/>
      <c r="N67" s="296"/>
    </row>
    <row r="68" spans="2:14" x14ac:dyDescent="0.25">
      <c r="B68" s="201" t="str">
        <f t="shared" si="21"/>
        <v>400 G</v>
      </c>
      <c r="C68" s="203" t="s">
        <v>20</v>
      </c>
      <c r="D68" s="203" t="s">
        <v>20</v>
      </c>
      <c r="E68" s="295">
        <f t="shared" ref="E68:M69" si="24">E203</f>
        <v>0</v>
      </c>
      <c r="F68" s="295">
        <f t="shared" si="24"/>
        <v>0</v>
      </c>
      <c r="G68" s="295"/>
      <c r="H68" s="295"/>
      <c r="I68" s="295"/>
      <c r="J68" s="296"/>
      <c r="K68" s="296"/>
      <c r="L68" s="296"/>
      <c r="M68" s="296"/>
      <c r="N68" s="296"/>
    </row>
    <row r="69" spans="2:14" x14ac:dyDescent="0.25">
      <c r="B69" s="201" t="str">
        <f t="shared" si="21"/>
        <v>800 G</v>
      </c>
      <c r="C69" s="203" t="s">
        <v>20</v>
      </c>
      <c r="D69" s="203" t="s">
        <v>20</v>
      </c>
      <c r="E69" s="295">
        <f t="shared" si="24"/>
        <v>0</v>
      </c>
      <c r="F69" s="295">
        <f t="shared" si="24"/>
        <v>0</v>
      </c>
      <c r="G69" s="295"/>
      <c r="H69" s="295"/>
      <c r="I69" s="295"/>
      <c r="J69" s="296"/>
      <c r="K69" s="296"/>
      <c r="L69" s="296"/>
      <c r="M69" s="296"/>
      <c r="N69" s="296"/>
    </row>
    <row r="70" spans="2:14" x14ac:dyDescent="0.25">
      <c r="C70" s="160"/>
      <c r="D70" s="207"/>
      <c r="E70" s="2"/>
      <c r="F70" s="2"/>
      <c r="G70" s="2"/>
      <c r="H70" s="2"/>
      <c r="I70" s="2"/>
      <c r="J70" s="2"/>
      <c r="K70" s="2"/>
      <c r="L70" s="2"/>
      <c r="M70" s="2"/>
      <c r="N70" s="2"/>
    </row>
    <row r="71" spans="2:14" ht="15.5" x14ac:dyDescent="0.35">
      <c r="B71" s="220" t="s">
        <v>1</v>
      </c>
      <c r="C71" s="273" t="str">
        <f>C28</f>
        <v>China-Enterprise</v>
      </c>
      <c r="D71" s="198"/>
      <c r="E71" s="371" t="str">
        <f>E28</f>
        <v>this table is calculated as the Global segment total (below) times the factors in the table above</v>
      </c>
      <c r="L71" s="684" t="str">
        <f>B71</f>
        <v>Sales ($M)</v>
      </c>
      <c r="N71" s="685" t="str">
        <f>C71</f>
        <v>China-Enterprise</v>
      </c>
    </row>
    <row r="72" spans="2:14" x14ac:dyDescent="0.25">
      <c r="B72" s="225" t="s">
        <v>10</v>
      </c>
      <c r="C72" s="7" t="s">
        <v>11</v>
      </c>
      <c r="D72" s="226" t="s">
        <v>12</v>
      </c>
      <c r="E72" s="129">
        <v>2016</v>
      </c>
      <c r="F72" s="129">
        <v>2017</v>
      </c>
      <c r="G72" s="129">
        <v>2018</v>
      </c>
      <c r="H72" s="129">
        <v>2019</v>
      </c>
      <c r="I72" s="129">
        <v>2020</v>
      </c>
      <c r="J72" s="129">
        <v>2021</v>
      </c>
      <c r="K72" s="129">
        <v>2022</v>
      </c>
      <c r="L72" s="129">
        <v>2023</v>
      </c>
      <c r="M72" s="129">
        <v>2024</v>
      </c>
      <c r="N72" s="129">
        <v>2025</v>
      </c>
    </row>
    <row r="73" spans="2:14" x14ac:dyDescent="0.25">
      <c r="B73" s="607" t="str">
        <f t="shared" ref="B73:B90" si="25">B30</f>
        <v>1 G</v>
      </c>
      <c r="C73" s="610" t="str">
        <f>C30</f>
        <v>All</v>
      </c>
      <c r="D73" s="610" t="str">
        <f>D30</f>
        <v>All</v>
      </c>
      <c r="E73" s="294">
        <f t="shared" ref="E73:H90" si="26">E52*E30/10^6</f>
        <v>18.901250415148784</v>
      </c>
      <c r="F73" s="294">
        <f t="shared" si="26"/>
        <v>14.620086702036904</v>
      </c>
      <c r="G73" s="294"/>
      <c r="H73" s="294"/>
      <c r="I73" s="294"/>
      <c r="J73" s="294"/>
      <c r="K73" s="294"/>
      <c r="L73" s="294"/>
      <c r="M73" s="294"/>
      <c r="N73" s="294"/>
    </row>
    <row r="74" spans="2:14" x14ac:dyDescent="0.25">
      <c r="B74" s="607" t="str">
        <f t="shared" si="25"/>
        <v>10 G</v>
      </c>
      <c r="C74" s="167" t="str">
        <f>C31</f>
        <v>All</v>
      </c>
      <c r="D74" s="167" t="str">
        <f>D31</f>
        <v>All</v>
      </c>
      <c r="E74" s="294">
        <f t="shared" si="26"/>
        <v>45.058160884214885</v>
      </c>
      <c r="F74" s="294">
        <f t="shared" si="26"/>
        <v>44.757717045279904</v>
      </c>
      <c r="G74" s="294"/>
      <c r="H74" s="294"/>
      <c r="I74" s="294"/>
      <c r="J74" s="294"/>
      <c r="K74" s="294"/>
      <c r="L74" s="294"/>
      <c r="M74" s="294"/>
      <c r="N74" s="294"/>
    </row>
    <row r="75" spans="2:14" ht="13" x14ac:dyDescent="0.3">
      <c r="B75" s="203" t="str">
        <f t="shared" si="25"/>
        <v>25 G</v>
      </c>
      <c r="C75" s="610" t="s">
        <v>20</v>
      </c>
      <c r="D75" s="282" t="s">
        <v>154</v>
      </c>
      <c r="E75" s="294">
        <f t="shared" si="26"/>
        <v>0.13949058500000003</v>
      </c>
      <c r="F75" s="294">
        <f t="shared" si="26"/>
        <v>1.2242458490387975</v>
      </c>
      <c r="G75" s="294"/>
      <c r="H75" s="294"/>
      <c r="I75" s="294"/>
      <c r="J75" s="294"/>
      <c r="K75" s="294"/>
      <c r="L75" s="294"/>
      <c r="M75" s="294"/>
      <c r="N75" s="294"/>
    </row>
    <row r="76" spans="2:14" x14ac:dyDescent="0.25">
      <c r="B76" s="199" t="str">
        <f t="shared" si="25"/>
        <v>40 G</v>
      </c>
      <c r="C76" s="606" t="str">
        <f>C54</f>
        <v>100-300 m</v>
      </c>
      <c r="D76" s="199" t="s">
        <v>137</v>
      </c>
      <c r="E76" s="294">
        <f t="shared" si="26"/>
        <v>24.403671682783333</v>
      </c>
      <c r="F76" s="294">
        <f t="shared" si="26"/>
        <v>32.348297813846791</v>
      </c>
      <c r="G76" s="294"/>
      <c r="H76" s="294"/>
      <c r="I76" s="294"/>
      <c r="J76" s="294"/>
      <c r="K76" s="294"/>
      <c r="L76" s="294"/>
      <c r="M76" s="294"/>
      <c r="N76" s="294"/>
    </row>
    <row r="77" spans="2:14" ht="14.5" customHeight="1" x14ac:dyDescent="0.25">
      <c r="B77" s="203" t="str">
        <f t="shared" si="25"/>
        <v>40 G PSM4</v>
      </c>
      <c r="C77" s="610" t="s">
        <v>22</v>
      </c>
      <c r="D77" s="203" t="s">
        <v>137</v>
      </c>
      <c r="E77" s="294">
        <f t="shared" si="26"/>
        <v>0</v>
      </c>
      <c r="F77" s="294">
        <f t="shared" si="26"/>
        <v>0</v>
      </c>
      <c r="G77" s="294"/>
      <c r="H77" s="294"/>
      <c r="I77" s="294"/>
      <c r="J77" s="294"/>
      <c r="K77" s="294"/>
      <c r="L77" s="294"/>
      <c r="M77" s="294"/>
      <c r="N77" s="294"/>
    </row>
    <row r="78" spans="2:14" x14ac:dyDescent="0.25">
      <c r="B78" s="797" t="str">
        <f t="shared" si="25"/>
        <v xml:space="preserve">40 G </v>
      </c>
      <c r="C78" s="805" t="s">
        <v>23</v>
      </c>
      <c r="D78" s="298" t="s">
        <v>146</v>
      </c>
      <c r="E78" s="294">
        <f t="shared" si="26"/>
        <v>0</v>
      </c>
      <c r="F78" s="294">
        <f t="shared" si="26"/>
        <v>0</v>
      </c>
      <c r="G78" s="294"/>
      <c r="H78" s="294"/>
      <c r="I78" s="294"/>
      <c r="J78" s="294"/>
      <c r="K78" s="294"/>
      <c r="L78" s="294"/>
      <c r="M78" s="294"/>
      <c r="N78" s="294"/>
    </row>
    <row r="79" spans="2:14" ht="13" customHeight="1" x14ac:dyDescent="0.25">
      <c r="B79" s="798"/>
      <c r="C79" s="806"/>
      <c r="D79" s="270" t="s">
        <v>147</v>
      </c>
      <c r="E79" s="294">
        <f t="shared" si="26"/>
        <v>0</v>
      </c>
      <c r="F79" s="294">
        <f t="shared" si="26"/>
        <v>0</v>
      </c>
      <c r="G79" s="294"/>
      <c r="H79" s="294"/>
      <c r="I79" s="294"/>
      <c r="J79" s="294"/>
      <c r="K79" s="294"/>
      <c r="L79" s="294"/>
      <c r="M79" s="294"/>
      <c r="N79" s="294"/>
    </row>
    <row r="80" spans="2:14" x14ac:dyDescent="0.25">
      <c r="B80" s="798"/>
      <c r="C80" s="610" t="s">
        <v>24</v>
      </c>
      <c r="D80" s="607" t="str">
        <f t="shared" ref="D80:D90" si="27">D37</f>
        <v>All</v>
      </c>
      <c r="E80" s="294">
        <f t="shared" si="26"/>
        <v>2.7993134856470414</v>
      </c>
      <c r="F80" s="294">
        <f t="shared" si="26"/>
        <v>3.4064636145078526</v>
      </c>
      <c r="G80" s="294"/>
      <c r="H80" s="294"/>
      <c r="I80" s="294"/>
      <c r="J80" s="294"/>
      <c r="K80" s="294"/>
      <c r="L80" s="294"/>
      <c r="M80" s="294"/>
      <c r="N80" s="294"/>
    </row>
    <row r="81" spans="2:14" x14ac:dyDescent="0.25">
      <c r="B81" s="799"/>
      <c r="C81" s="170" t="s">
        <v>25</v>
      </c>
      <c r="D81" s="607" t="str">
        <f t="shared" si="27"/>
        <v>All</v>
      </c>
      <c r="E81" s="294">
        <f t="shared" si="26"/>
        <v>0.36845739429673108</v>
      </c>
      <c r="F81" s="294">
        <f t="shared" si="26"/>
        <v>0.41218079805743024</v>
      </c>
      <c r="G81" s="294"/>
      <c r="H81" s="294"/>
      <c r="I81" s="294"/>
      <c r="J81" s="294"/>
      <c r="K81" s="294"/>
      <c r="L81" s="294"/>
      <c r="M81" s="294"/>
      <c r="N81" s="294"/>
    </row>
    <row r="82" spans="2:14" x14ac:dyDescent="0.25">
      <c r="B82" s="604" t="str">
        <f t="shared" si="25"/>
        <v>50 G</v>
      </c>
      <c r="C82" s="610" t="str">
        <f t="shared" ref="C82:C90" si="28">C39</f>
        <v>all</v>
      </c>
      <c r="D82" s="607" t="str">
        <f t="shared" si="27"/>
        <v>All</v>
      </c>
      <c r="E82" s="294">
        <f t="shared" si="26"/>
        <v>0</v>
      </c>
      <c r="F82" s="294">
        <f t="shared" si="26"/>
        <v>0</v>
      </c>
      <c r="G82" s="294"/>
      <c r="H82" s="294"/>
      <c r="I82" s="294"/>
      <c r="J82" s="294"/>
      <c r="K82" s="294"/>
      <c r="L82" s="294"/>
      <c r="M82" s="294"/>
      <c r="N82" s="294"/>
    </row>
    <row r="83" spans="2:14" x14ac:dyDescent="0.25">
      <c r="B83" s="802" t="str">
        <f t="shared" si="25"/>
        <v>100 G</v>
      </c>
      <c r="C83" s="606" t="str">
        <f t="shared" si="28"/>
        <v>100-300 m</v>
      </c>
      <c r="D83" s="607" t="str">
        <f t="shared" si="27"/>
        <v>All</v>
      </c>
      <c r="E83" s="294">
        <f t="shared" si="26"/>
        <v>0</v>
      </c>
      <c r="F83" s="294">
        <f t="shared" si="26"/>
        <v>0</v>
      </c>
      <c r="G83" s="294"/>
      <c r="H83" s="294"/>
      <c r="I83" s="294"/>
      <c r="J83" s="294"/>
      <c r="K83" s="294"/>
      <c r="L83" s="294"/>
      <c r="M83" s="294"/>
      <c r="N83" s="294"/>
    </row>
    <row r="84" spans="2:14" x14ac:dyDescent="0.25">
      <c r="B84" s="803"/>
      <c r="C84" s="610" t="str">
        <f t="shared" si="28"/>
        <v>500 m</v>
      </c>
      <c r="D84" s="270" t="str">
        <f t="shared" si="27"/>
        <v>QSFP28</v>
      </c>
      <c r="E84" s="294">
        <f t="shared" si="26"/>
        <v>0</v>
      </c>
      <c r="F84" s="294">
        <f t="shared" si="26"/>
        <v>0</v>
      </c>
      <c r="G84" s="294"/>
      <c r="H84" s="294"/>
      <c r="I84" s="294"/>
      <c r="J84" s="294"/>
      <c r="K84" s="294"/>
      <c r="L84" s="294"/>
      <c r="M84" s="294"/>
      <c r="N84" s="294"/>
    </row>
    <row r="85" spans="2:14" ht="12.75" customHeight="1" x14ac:dyDescent="0.25">
      <c r="B85" s="803"/>
      <c r="C85" s="610" t="str">
        <f t="shared" si="28"/>
        <v>2 km</v>
      </c>
      <c r="D85" s="605" t="str">
        <f t="shared" si="27"/>
        <v>QSFP28</v>
      </c>
      <c r="E85" s="294">
        <f t="shared" si="26"/>
        <v>0</v>
      </c>
      <c r="F85" s="294">
        <f t="shared" si="26"/>
        <v>0</v>
      </c>
      <c r="G85" s="294"/>
      <c r="H85" s="294"/>
      <c r="I85" s="294"/>
      <c r="J85" s="294"/>
      <c r="K85" s="294"/>
      <c r="L85" s="294"/>
      <c r="M85" s="294"/>
      <c r="N85" s="294"/>
    </row>
    <row r="86" spans="2:14" x14ac:dyDescent="0.25">
      <c r="B86" s="803"/>
      <c r="C86" s="610" t="str">
        <f t="shared" si="28"/>
        <v>10-20 km</v>
      </c>
      <c r="D86" s="608" t="str">
        <f t="shared" si="27"/>
        <v>All</v>
      </c>
      <c r="E86" s="294">
        <f t="shared" si="26"/>
        <v>0</v>
      </c>
      <c r="F86" s="294">
        <f t="shared" si="26"/>
        <v>0</v>
      </c>
      <c r="G86" s="294"/>
      <c r="H86" s="294"/>
      <c r="I86" s="294"/>
      <c r="J86" s="294"/>
      <c r="K86" s="294"/>
      <c r="L86" s="294"/>
      <c r="M86" s="294"/>
      <c r="N86" s="294"/>
    </row>
    <row r="87" spans="2:14" x14ac:dyDescent="0.25">
      <c r="B87" s="804"/>
      <c r="C87" s="170" t="str">
        <f t="shared" si="28"/>
        <v>40 km</v>
      </c>
      <c r="D87" s="199" t="str">
        <f t="shared" si="27"/>
        <v>All</v>
      </c>
      <c r="E87" s="294">
        <f t="shared" si="26"/>
        <v>0</v>
      </c>
      <c r="F87" s="294">
        <f t="shared" si="26"/>
        <v>0</v>
      </c>
      <c r="G87" s="294"/>
      <c r="H87" s="294"/>
      <c r="I87" s="294"/>
      <c r="J87" s="294"/>
      <c r="K87" s="294"/>
      <c r="L87" s="294"/>
      <c r="M87" s="294"/>
      <c r="N87" s="294"/>
    </row>
    <row r="88" spans="2:14" x14ac:dyDescent="0.25">
      <c r="B88" s="201" t="str">
        <f t="shared" si="25"/>
        <v>200 G</v>
      </c>
      <c r="C88" s="203" t="str">
        <f t="shared" si="28"/>
        <v>All</v>
      </c>
      <c r="D88" s="203" t="str">
        <f t="shared" si="27"/>
        <v>All</v>
      </c>
      <c r="E88" s="294">
        <f t="shared" si="26"/>
        <v>0</v>
      </c>
      <c r="F88" s="294">
        <f t="shared" si="26"/>
        <v>0</v>
      </c>
      <c r="G88" s="294"/>
      <c r="H88" s="294"/>
      <c r="I88" s="294"/>
      <c r="J88" s="294"/>
      <c r="K88" s="294"/>
      <c r="L88" s="294"/>
      <c r="M88" s="294"/>
      <c r="N88" s="294"/>
    </row>
    <row r="89" spans="2:14" x14ac:dyDescent="0.25">
      <c r="B89" s="201" t="str">
        <f t="shared" si="25"/>
        <v>400 G</v>
      </c>
      <c r="C89" s="203" t="str">
        <f t="shared" si="28"/>
        <v>All</v>
      </c>
      <c r="D89" s="203" t="str">
        <f t="shared" si="27"/>
        <v>All</v>
      </c>
      <c r="E89" s="294">
        <f t="shared" si="26"/>
        <v>0</v>
      </c>
      <c r="F89" s="294">
        <f t="shared" si="26"/>
        <v>0</v>
      </c>
      <c r="G89" s="294"/>
      <c r="H89" s="294"/>
      <c r="I89" s="294"/>
      <c r="J89" s="294"/>
      <c r="K89" s="294"/>
      <c r="L89" s="294"/>
      <c r="M89" s="294"/>
      <c r="N89" s="294"/>
    </row>
    <row r="90" spans="2:14" x14ac:dyDescent="0.25">
      <c r="B90" s="201" t="str">
        <f t="shared" si="25"/>
        <v>800 G</v>
      </c>
      <c r="C90" s="203" t="str">
        <f t="shared" si="28"/>
        <v>All</v>
      </c>
      <c r="D90" s="203" t="str">
        <f t="shared" si="27"/>
        <v>All</v>
      </c>
      <c r="E90" s="294">
        <f t="shared" si="26"/>
        <v>0</v>
      </c>
      <c r="F90" s="294">
        <f t="shared" si="26"/>
        <v>0</v>
      </c>
      <c r="G90" s="294"/>
      <c r="H90" s="294"/>
      <c r="I90" s="294"/>
      <c r="J90" s="294"/>
      <c r="K90" s="294"/>
      <c r="L90" s="294"/>
      <c r="M90" s="294"/>
      <c r="N90" s="294"/>
    </row>
    <row r="91" spans="2:14" x14ac:dyDescent="0.25">
      <c r="B91" s="206" t="s">
        <v>9</v>
      </c>
      <c r="C91" s="203" t="str">
        <f>C48</f>
        <v>All</v>
      </c>
      <c r="D91" s="203" t="str">
        <f>D48</f>
        <v>All</v>
      </c>
      <c r="E91" s="290">
        <f>SUM(E73:E90)</f>
        <v>91.670344447090784</v>
      </c>
      <c r="F91" s="290">
        <f>SUM(F73:F90)</f>
        <v>96.768991822767688</v>
      </c>
      <c r="G91" s="290"/>
      <c r="H91" s="290"/>
      <c r="I91" s="290"/>
      <c r="J91" s="290"/>
      <c r="K91" s="290"/>
      <c r="L91" s="290"/>
      <c r="M91" s="290"/>
      <c r="N91" s="290"/>
    </row>
    <row r="92" spans="2:14" x14ac:dyDescent="0.25">
      <c r="C92" s="160"/>
      <c r="E92" s="8"/>
      <c r="F92" s="8">
        <f t="shared" ref="F92:N92" si="29">IF(E91=0,"",F91/E91-1)</f>
        <v>5.561937621626023E-2</v>
      </c>
      <c r="G92" s="8"/>
      <c r="H92" s="8" t="str">
        <f t="shared" si="29"/>
        <v/>
      </c>
      <c r="I92" s="8" t="str">
        <f t="shared" si="29"/>
        <v/>
      </c>
      <c r="J92" s="8" t="str">
        <f t="shared" si="29"/>
        <v/>
      </c>
      <c r="K92" s="8" t="str">
        <f t="shared" si="29"/>
        <v/>
      </c>
      <c r="L92" s="8" t="str">
        <f t="shared" si="29"/>
        <v/>
      </c>
      <c r="M92" s="8" t="str">
        <f t="shared" si="29"/>
        <v/>
      </c>
      <c r="N92" s="8" t="str">
        <f t="shared" si="29"/>
        <v/>
      </c>
    </row>
    <row r="93" spans="2:14" x14ac:dyDescent="0.25">
      <c r="B93" s="446"/>
      <c r="C93" s="445"/>
      <c r="D93" s="445"/>
      <c r="E93" s="445"/>
      <c r="F93" s="445"/>
      <c r="G93" s="445"/>
      <c r="H93" s="445"/>
      <c r="I93" s="445"/>
      <c r="J93" s="445"/>
      <c r="K93" s="445"/>
      <c r="L93" s="445"/>
      <c r="M93" s="445"/>
      <c r="N93" s="445"/>
    </row>
    <row r="94" spans="2:14" x14ac:dyDescent="0.25">
      <c r="C94" s="160"/>
      <c r="E94" s="602"/>
      <c r="F94" s="602"/>
      <c r="G94" s="602"/>
      <c r="H94" s="602"/>
      <c r="I94" s="602"/>
      <c r="J94" s="602"/>
      <c r="K94" s="602"/>
      <c r="L94" s="602"/>
      <c r="M94" s="602"/>
      <c r="N94" s="665"/>
    </row>
    <row r="95" spans="2:14" ht="15.5" x14ac:dyDescent="0.35">
      <c r="B95" s="221" t="s">
        <v>0</v>
      </c>
      <c r="C95" s="221" t="s">
        <v>419</v>
      </c>
      <c r="D95" s="198"/>
      <c r="E95" s="371" t="s">
        <v>232</v>
      </c>
      <c r="L95" s="684" t="str">
        <f>B95</f>
        <v>Units</v>
      </c>
      <c r="N95" s="685" t="str">
        <f>C95</f>
        <v>Rest of World-Enterprise</v>
      </c>
    </row>
    <row r="96" spans="2:14" x14ac:dyDescent="0.25">
      <c r="B96" s="225" t="s">
        <v>10</v>
      </c>
      <c r="C96" s="7" t="s">
        <v>11</v>
      </c>
      <c r="D96" s="226" t="s">
        <v>12</v>
      </c>
      <c r="E96" s="39">
        <v>2016</v>
      </c>
      <c r="F96" s="7">
        <v>2017</v>
      </c>
      <c r="G96" s="7">
        <v>2018</v>
      </c>
      <c r="H96" s="7">
        <v>2019</v>
      </c>
      <c r="I96" s="7">
        <v>2020</v>
      </c>
      <c r="J96" s="7">
        <v>2021</v>
      </c>
      <c r="K96" s="7">
        <v>2022</v>
      </c>
      <c r="L96" s="7">
        <v>2023</v>
      </c>
      <c r="M96" s="7">
        <v>2024</v>
      </c>
      <c r="N96" s="7">
        <v>2025</v>
      </c>
    </row>
    <row r="97" spans="2:14" x14ac:dyDescent="0.25">
      <c r="B97" s="607" t="str">
        <f t="shared" ref="B97:B114" si="30">B30</f>
        <v>1 G</v>
      </c>
      <c r="C97" s="610" t="s">
        <v>20</v>
      </c>
      <c r="D97" s="203" t="s">
        <v>20</v>
      </c>
      <c r="E97" s="373">
        <f t="shared" ref="E97:M97" si="31">E165-E30</f>
        <v>9089450.1147239991</v>
      </c>
      <c r="F97" s="373">
        <f t="shared" si="31"/>
        <v>7581205.8235999979</v>
      </c>
      <c r="G97" s="373"/>
      <c r="H97" s="373"/>
      <c r="I97" s="373"/>
      <c r="J97" s="373"/>
      <c r="K97" s="373"/>
      <c r="L97" s="378"/>
      <c r="M97" s="378"/>
      <c r="N97" s="378"/>
    </row>
    <row r="98" spans="2:14" x14ac:dyDescent="0.25">
      <c r="B98" s="607" t="str">
        <f t="shared" si="30"/>
        <v>10 G</v>
      </c>
      <c r="C98" s="610" t="s">
        <v>20</v>
      </c>
      <c r="D98" s="203" t="s">
        <v>20</v>
      </c>
      <c r="E98" s="373">
        <f t="shared" ref="E98:M98" si="32">E166-E31</f>
        <v>7925551.3080635555</v>
      </c>
      <c r="F98" s="373">
        <f t="shared" si="32"/>
        <v>8617458.5830657408</v>
      </c>
      <c r="G98" s="373"/>
      <c r="H98" s="373"/>
      <c r="I98" s="373"/>
      <c r="J98" s="373"/>
      <c r="K98" s="373"/>
      <c r="L98" s="378"/>
      <c r="M98" s="378"/>
      <c r="N98" s="378"/>
    </row>
    <row r="99" spans="2:14" ht="13" x14ac:dyDescent="0.3">
      <c r="B99" s="607" t="str">
        <f t="shared" si="30"/>
        <v>25 G</v>
      </c>
      <c r="C99" s="610" t="s">
        <v>20</v>
      </c>
      <c r="D99" s="282" t="s">
        <v>154</v>
      </c>
      <c r="E99" s="373">
        <f t="shared" ref="E99:M99" si="33">E167-E32</f>
        <v>9813.1200000000008</v>
      </c>
      <c r="F99" s="373">
        <f t="shared" si="33"/>
        <v>100522.212</v>
      </c>
      <c r="G99" s="373"/>
      <c r="H99" s="373"/>
      <c r="I99" s="373"/>
      <c r="J99" s="373"/>
      <c r="K99" s="373"/>
      <c r="L99" s="378"/>
      <c r="M99" s="378"/>
      <c r="N99" s="378"/>
    </row>
    <row r="100" spans="2:14" x14ac:dyDescent="0.25">
      <c r="B100" s="199" t="str">
        <f t="shared" si="30"/>
        <v>40 G</v>
      </c>
      <c r="C100" s="321" t="s">
        <v>161</v>
      </c>
      <c r="D100" s="199" t="s">
        <v>137</v>
      </c>
      <c r="E100" s="373">
        <f t="shared" ref="E100:M100" si="34">E168-E33</f>
        <v>599942.24</v>
      </c>
      <c r="F100" s="373">
        <f t="shared" si="34"/>
        <v>727539.571</v>
      </c>
      <c r="G100" s="373"/>
      <c r="H100" s="373"/>
      <c r="I100" s="373"/>
      <c r="J100" s="373"/>
      <c r="K100" s="373"/>
      <c r="L100" s="378"/>
      <c r="M100" s="378"/>
      <c r="N100" s="378"/>
    </row>
    <row r="101" spans="2:14" x14ac:dyDescent="0.25">
      <c r="B101" s="203" t="str">
        <f t="shared" si="30"/>
        <v>40 G PSM4</v>
      </c>
      <c r="C101" s="606" t="s">
        <v>22</v>
      </c>
      <c r="D101" s="203" t="s">
        <v>137</v>
      </c>
      <c r="E101" s="373">
        <f t="shared" ref="E101:M101" si="35">E169-E34</f>
        <v>0</v>
      </c>
      <c r="F101" s="373">
        <f t="shared" si="35"/>
        <v>0</v>
      </c>
      <c r="G101" s="373"/>
      <c r="H101" s="373"/>
      <c r="I101" s="373"/>
      <c r="J101" s="373"/>
      <c r="K101" s="373"/>
      <c r="L101" s="378"/>
      <c r="M101" s="378"/>
      <c r="N101" s="378"/>
    </row>
    <row r="102" spans="2:14" x14ac:dyDescent="0.25">
      <c r="B102" s="797" t="str">
        <f t="shared" si="30"/>
        <v xml:space="preserve">40 G </v>
      </c>
      <c r="C102" s="800" t="s">
        <v>23</v>
      </c>
      <c r="D102" s="298" t="s">
        <v>146</v>
      </c>
      <c r="E102" s="373">
        <f t="shared" ref="E102:M102" si="36">E170-E35</f>
        <v>0</v>
      </c>
      <c r="F102" s="373">
        <f t="shared" si="36"/>
        <v>0</v>
      </c>
      <c r="G102" s="373"/>
      <c r="H102" s="373"/>
      <c r="I102" s="373"/>
      <c r="J102" s="373"/>
      <c r="K102" s="373"/>
      <c r="L102" s="378"/>
      <c r="M102" s="378"/>
      <c r="N102" s="378"/>
    </row>
    <row r="103" spans="2:14" ht="25" x14ac:dyDescent="0.25">
      <c r="B103" s="798"/>
      <c r="C103" s="801"/>
      <c r="D103" s="299" t="s">
        <v>147</v>
      </c>
      <c r="E103" s="373">
        <f t="shared" ref="E103:M103" si="37">E171-E36</f>
        <v>0</v>
      </c>
      <c r="F103" s="373">
        <f t="shared" si="37"/>
        <v>0</v>
      </c>
      <c r="G103" s="373"/>
      <c r="H103" s="373"/>
      <c r="I103" s="373"/>
      <c r="J103" s="373"/>
      <c r="K103" s="373"/>
      <c r="L103" s="378"/>
      <c r="M103" s="378"/>
      <c r="N103" s="378"/>
    </row>
    <row r="104" spans="2:14" x14ac:dyDescent="0.25">
      <c r="B104" s="798"/>
      <c r="C104" s="606" t="s">
        <v>24</v>
      </c>
      <c r="D104" s="202" t="s">
        <v>20</v>
      </c>
      <c r="E104" s="373">
        <f t="shared" ref="E104:M104" si="38">E172-E37</f>
        <v>58901.579999999987</v>
      </c>
      <c r="F104" s="373">
        <f t="shared" si="38"/>
        <v>76384.439999999973</v>
      </c>
      <c r="G104" s="373"/>
      <c r="H104" s="373"/>
      <c r="I104" s="373"/>
      <c r="J104" s="373"/>
      <c r="K104" s="373"/>
      <c r="L104" s="378"/>
      <c r="M104" s="378"/>
      <c r="N104" s="378"/>
    </row>
    <row r="105" spans="2:14" x14ac:dyDescent="0.25">
      <c r="B105" s="799"/>
      <c r="C105" s="171" t="s">
        <v>25</v>
      </c>
      <c r="D105" s="202" t="s">
        <v>20</v>
      </c>
      <c r="E105" s="373">
        <f t="shared" ref="E105:M105" si="39">E173-E38</f>
        <v>1982.0700000000002</v>
      </c>
      <c r="F105" s="373">
        <f t="shared" si="39"/>
        <v>2542.1759999999999</v>
      </c>
      <c r="G105" s="373"/>
      <c r="H105" s="373"/>
      <c r="I105" s="373"/>
      <c r="J105" s="373"/>
      <c r="K105" s="373"/>
      <c r="L105" s="378"/>
      <c r="M105" s="378"/>
      <c r="N105" s="378"/>
    </row>
    <row r="106" spans="2:14" x14ac:dyDescent="0.25">
      <c r="B106" s="604" t="str">
        <f t="shared" si="30"/>
        <v>50 G</v>
      </c>
      <c r="C106" s="606" t="s">
        <v>60</v>
      </c>
      <c r="D106" s="202" t="s">
        <v>20</v>
      </c>
      <c r="E106" s="373">
        <f t="shared" ref="E106:M106" si="40">E174-E39</f>
        <v>0</v>
      </c>
      <c r="F106" s="373">
        <f t="shared" si="40"/>
        <v>0</v>
      </c>
      <c r="G106" s="373"/>
      <c r="H106" s="373"/>
      <c r="I106" s="373"/>
      <c r="J106" s="373"/>
      <c r="K106" s="373"/>
      <c r="L106" s="378"/>
      <c r="M106" s="378"/>
      <c r="N106" s="378"/>
    </row>
    <row r="107" spans="2:14" x14ac:dyDescent="0.25">
      <c r="B107" s="802" t="str">
        <f t="shared" si="30"/>
        <v>100 G</v>
      </c>
      <c r="C107" s="606" t="s">
        <v>161</v>
      </c>
      <c r="D107" s="202" t="s">
        <v>20</v>
      </c>
      <c r="E107" s="373">
        <f t="shared" ref="E107:M107" si="41">E175-E40</f>
        <v>0</v>
      </c>
      <c r="F107" s="373">
        <f t="shared" si="41"/>
        <v>0</v>
      </c>
      <c r="G107" s="373"/>
      <c r="H107" s="373"/>
      <c r="I107" s="373"/>
      <c r="J107" s="373"/>
      <c r="K107" s="373"/>
      <c r="L107" s="378"/>
      <c r="M107" s="378"/>
      <c r="N107" s="378"/>
    </row>
    <row r="108" spans="2:14" x14ac:dyDescent="0.25">
      <c r="B108" s="803"/>
      <c r="C108" s="610" t="s">
        <v>22</v>
      </c>
      <c r="D108" s="203" t="s">
        <v>162</v>
      </c>
      <c r="E108" s="373">
        <f t="shared" ref="E108:M108" si="42">E176-E41</f>
        <v>0</v>
      </c>
      <c r="F108" s="373">
        <f t="shared" si="42"/>
        <v>0</v>
      </c>
      <c r="G108" s="373"/>
      <c r="H108" s="373"/>
      <c r="I108" s="373"/>
      <c r="J108" s="373"/>
      <c r="K108" s="373"/>
      <c r="L108" s="378"/>
      <c r="M108" s="378"/>
      <c r="N108" s="378"/>
    </row>
    <row r="109" spans="2:14" x14ac:dyDescent="0.25">
      <c r="B109" s="803"/>
      <c r="C109" s="606" t="s">
        <v>23</v>
      </c>
      <c r="D109" s="605" t="s">
        <v>162</v>
      </c>
      <c r="E109" s="373">
        <f t="shared" ref="E109:M109" si="43">E177-E42</f>
        <v>0</v>
      </c>
      <c r="F109" s="373">
        <f t="shared" si="43"/>
        <v>0</v>
      </c>
      <c r="G109" s="373"/>
      <c r="H109" s="373"/>
      <c r="I109" s="373"/>
      <c r="J109" s="373"/>
      <c r="K109" s="373"/>
      <c r="L109" s="378"/>
      <c r="M109" s="378"/>
      <c r="N109" s="378"/>
    </row>
    <row r="110" spans="2:14" x14ac:dyDescent="0.25">
      <c r="B110" s="803"/>
      <c r="C110" s="606" t="s">
        <v>163</v>
      </c>
      <c r="D110" s="202" t="s">
        <v>20</v>
      </c>
      <c r="E110" s="373">
        <f t="shared" ref="E110:M110" si="44">E178-E43</f>
        <v>0</v>
      </c>
      <c r="F110" s="373">
        <f t="shared" si="44"/>
        <v>4499.9999999999991</v>
      </c>
      <c r="G110" s="373"/>
      <c r="H110" s="373"/>
      <c r="I110" s="373"/>
      <c r="J110" s="373"/>
      <c r="K110" s="373"/>
      <c r="L110" s="378"/>
      <c r="M110" s="378"/>
      <c r="N110" s="378"/>
    </row>
    <row r="111" spans="2:14" x14ac:dyDescent="0.25">
      <c r="B111" s="804"/>
      <c r="C111" s="171" t="s">
        <v>25</v>
      </c>
      <c r="D111" s="199" t="s">
        <v>20</v>
      </c>
      <c r="E111" s="373">
        <f t="shared" ref="E111:M111" si="45">E179-E44</f>
        <v>0</v>
      </c>
      <c r="F111" s="373">
        <f t="shared" si="45"/>
        <v>0</v>
      </c>
      <c r="G111" s="373"/>
      <c r="H111" s="373"/>
      <c r="I111" s="373"/>
      <c r="J111" s="373"/>
      <c r="K111" s="373"/>
      <c r="L111" s="378"/>
      <c r="M111" s="378"/>
      <c r="N111" s="378"/>
    </row>
    <row r="112" spans="2:14" x14ac:dyDescent="0.25">
      <c r="B112" s="609" t="str">
        <f t="shared" si="30"/>
        <v>200 G</v>
      </c>
      <c r="C112" s="203" t="s">
        <v>20</v>
      </c>
      <c r="D112" s="203" t="s">
        <v>20</v>
      </c>
      <c r="E112" s="373">
        <f t="shared" ref="E112:M112" si="46">E180-E45</f>
        <v>0</v>
      </c>
      <c r="F112" s="373">
        <f t="shared" si="46"/>
        <v>0</v>
      </c>
      <c r="G112" s="373"/>
      <c r="H112" s="373"/>
      <c r="I112" s="373"/>
      <c r="J112" s="373"/>
      <c r="K112" s="373"/>
      <c r="L112" s="378"/>
      <c r="M112" s="378"/>
      <c r="N112" s="378"/>
    </row>
    <row r="113" spans="2:14" x14ac:dyDescent="0.25">
      <c r="B113" s="203" t="str">
        <f t="shared" si="30"/>
        <v>400 G</v>
      </c>
      <c r="C113" s="203" t="s">
        <v>20</v>
      </c>
      <c r="D113" s="203" t="s">
        <v>20</v>
      </c>
      <c r="E113" s="373">
        <f t="shared" ref="E113:M113" si="47">E181-E46</f>
        <v>0</v>
      </c>
      <c r="F113" s="373">
        <f t="shared" si="47"/>
        <v>0</v>
      </c>
      <c r="G113" s="373"/>
      <c r="H113" s="373"/>
      <c r="I113" s="373"/>
      <c r="J113" s="373"/>
      <c r="K113" s="373"/>
      <c r="L113" s="378"/>
      <c r="M113" s="378"/>
      <c r="N113" s="378"/>
    </row>
    <row r="114" spans="2:14" x14ac:dyDescent="0.25">
      <c r="B114" s="203" t="str">
        <f t="shared" si="30"/>
        <v>800 G</v>
      </c>
      <c r="C114" s="203" t="s">
        <v>20</v>
      </c>
      <c r="D114" s="203" t="s">
        <v>20</v>
      </c>
      <c r="E114" s="373">
        <f t="shared" ref="E114:M114" si="48">E182-E47</f>
        <v>0</v>
      </c>
      <c r="F114" s="373">
        <f t="shared" si="48"/>
        <v>0</v>
      </c>
      <c r="G114" s="373"/>
      <c r="H114" s="373"/>
      <c r="I114" s="373"/>
      <c r="J114" s="373"/>
      <c r="K114" s="373"/>
      <c r="L114" s="378"/>
      <c r="M114" s="378"/>
      <c r="N114" s="378"/>
    </row>
    <row r="115" spans="2:14" x14ac:dyDescent="0.25">
      <c r="B115" s="206" t="s">
        <v>9</v>
      </c>
      <c r="C115" s="203" t="s">
        <v>20</v>
      </c>
      <c r="D115" s="203" t="s">
        <v>20</v>
      </c>
      <c r="E115" s="235">
        <f>SUM(E97:E114)</f>
        <v>17685640.432787552</v>
      </c>
      <c r="F115" s="235">
        <f t="shared" ref="F115:N115" si="49">SUM(F97:F114)</f>
        <v>17110152.805665739</v>
      </c>
      <c r="G115" s="235"/>
      <c r="H115" s="235"/>
      <c r="I115" s="235"/>
      <c r="J115" s="235"/>
      <c r="K115" s="235"/>
      <c r="L115" s="235"/>
      <c r="M115" s="235"/>
      <c r="N115" s="235"/>
    </row>
    <row r="116" spans="2:14" x14ac:dyDescent="0.25">
      <c r="B116" s="160"/>
      <c r="C116" s="160"/>
      <c r="D116" s="207"/>
      <c r="E116" s="8"/>
      <c r="F116" s="8">
        <f t="shared" ref="F116:N116" si="50">IF(E115=0,"",F115/E115-1)</f>
        <v>-3.2539824006311502E-2</v>
      </c>
      <c r="G116" s="8"/>
      <c r="H116" s="8"/>
      <c r="I116" s="8"/>
      <c r="J116" s="8"/>
      <c r="K116" s="8"/>
      <c r="L116" s="8"/>
      <c r="M116" s="8"/>
      <c r="N116" s="8"/>
    </row>
    <row r="117" spans="2:14" ht="13" x14ac:dyDescent="0.3">
      <c r="B117" s="221" t="s">
        <v>53</v>
      </c>
      <c r="C117" s="221" t="str">
        <f>C95</f>
        <v>Rest of World-Enterprise</v>
      </c>
      <c r="D117" s="198"/>
      <c r="E117" s="283"/>
      <c r="F117" s="283"/>
      <c r="G117" s="283"/>
      <c r="H117" s="283"/>
      <c r="I117" s="283"/>
      <c r="J117" s="283"/>
      <c r="K117" s="283"/>
      <c r="L117" s="684" t="str">
        <f>B117</f>
        <v>ASP ($)</v>
      </c>
      <c r="N117" s="685" t="str">
        <f>C117</f>
        <v>Rest of World-Enterprise</v>
      </c>
    </row>
    <row r="118" spans="2:14" x14ac:dyDescent="0.25">
      <c r="B118" s="227" t="s">
        <v>10</v>
      </c>
      <c r="C118" s="129" t="s">
        <v>11</v>
      </c>
      <c r="D118" s="228" t="s">
        <v>12</v>
      </c>
      <c r="E118" s="136">
        <v>2016</v>
      </c>
      <c r="F118" s="129">
        <v>2017</v>
      </c>
      <c r="G118" s="129">
        <v>2018</v>
      </c>
      <c r="H118" s="129">
        <v>2019</v>
      </c>
      <c r="I118" s="129">
        <v>2020</v>
      </c>
      <c r="J118" s="129">
        <v>2021</v>
      </c>
      <c r="K118" s="129">
        <v>2022</v>
      </c>
      <c r="L118" s="129">
        <v>2023</v>
      </c>
      <c r="M118" s="129">
        <v>2024</v>
      </c>
      <c r="N118" s="129">
        <v>2025</v>
      </c>
    </row>
    <row r="119" spans="2:14" x14ac:dyDescent="0.25">
      <c r="B119" s="607" t="str">
        <f t="shared" ref="B119:B136" si="51">B30</f>
        <v>1 G</v>
      </c>
      <c r="C119" s="610" t="str">
        <f>C97</f>
        <v>All</v>
      </c>
      <c r="D119" s="610" t="str">
        <f>D97</f>
        <v>All</v>
      </c>
      <c r="E119" s="294">
        <f t="shared" ref="E119:M134" si="52">E187</f>
        <v>10.917224191459711</v>
      </c>
      <c r="F119" s="294">
        <f t="shared" si="52"/>
        <v>9.4154445837284086</v>
      </c>
      <c r="G119" s="294"/>
      <c r="H119" s="294"/>
      <c r="I119" s="294"/>
      <c r="J119" s="297"/>
      <c r="K119" s="297"/>
      <c r="L119" s="297"/>
      <c r="M119" s="297"/>
      <c r="N119" s="297"/>
    </row>
    <row r="120" spans="2:14" x14ac:dyDescent="0.25">
      <c r="B120" s="607" t="str">
        <f t="shared" si="51"/>
        <v>10 G</v>
      </c>
      <c r="C120" s="610" t="str">
        <f>C98</f>
        <v>All</v>
      </c>
      <c r="D120" s="610" t="str">
        <f>D98</f>
        <v>All</v>
      </c>
      <c r="E120" s="294">
        <f t="shared" si="52"/>
        <v>27.757039954208452</v>
      </c>
      <c r="F120" s="294">
        <f t="shared" si="52"/>
        <v>22.142167894713644</v>
      </c>
      <c r="G120" s="294"/>
      <c r="H120" s="294"/>
      <c r="I120" s="294"/>
      <c r="J120" s="297"/>
      <c r="K120" s="297"/>
      <c r="L120" s="297"/>
      <c r="M120" s="297"/>
      <c r="N120" s="297"/>
    </row>
    <row r="121" spans="2:14" ht="13" x14ac:dyDescent="0.3">
      <c r="B121" s="607" t="str">
        <f t="shared" si="51"/>
        <v>25 G</v>
      </c>
      <c r="C121" s="610" t="str">
        <f>C100</f>
        <v>100-300 m</v>
      </c>
      <c r="D121" s="282" t="s">
        <v>154</v>
      </c>
      <c r="E121" s="294">
        <f t="shared" si="52"/>
        <v>270.07935447645605</v>
      </c>
      <c r="F121" s="294">
        <f t="shared" si="52"/>
        <v>161.80484135984955</v>
      </c>
      <c r="G121" s="294"/>
      <c r="H121" s="294"/>
      <c r="I121" s="294"/>
      <c r="J121" s="297"/>
      <c r="K121" s="297"/>
      <c r="L121" s="297"/>
      <c r="M121" s="297"/>
      <c r="N121" s="297"/>
    </row>
    <row r="122" spans="2:14" x14ac:dyDescent="0.25">
      <c r="B122" s="199" t="str">
        <f t="shared" si="51"/>
        <v>40 G</v>
      </c>
      <c r="C122" s="606" t="s">
        <v>21</v>
      </c>
      <c r="D122" s="199" t="s">
        <v>55</v>
      </c>
      <c r="E122" s="294">
        <f t="shared" si="52"/>
        <v>230.50131104138549</v>
      </c>
      <c r="F122" s="294">
        <f t="shared" si="52"/>
        <v>217.08208497361207</v>
      </c>
      <c r="G122" s="294"/>
      <c r="H122" s="294"/>
      <c r="I122" s="294"/>
      <c r="J122" s="297"/>
      <c r="K122" s="297"/>
      <c r="L122" s="297"/>
      <c r="M122" s="297"/>
      <c r="N122" s="297"/>
    </row>
    <row r="123" spans="2:14" x14ac:dyDescent="0.25">
      <c r="B123" s="203" t="str">
        <f t="shared" si="51"/>
        <v>40 G PSM4</v>
      </c>
      <c r="C123" s="610" t="s">
        <v>22</v>
      </c>
      <c r="D123" s="203" t="s">
        <v>137</v>
      </c>
      <c r="E123" s="294">
        <f t="shared" si="52"/>
        <v>0</v>
      </c>
      <c r="F123" s="294">
        <f t="shared" si="52"/>
        <v>0</v>
      </c>
      <c r="G123" s="294"/>
      <c r="H123" s="294"/>
      <c r="I123" s="294"/>
      <c r="J123" s="297"/>
      <c r="K123" s="297"/>
      <c r="L123" s="297"/>
      <c r="M123" s="297"/>
      <c r="N123" s="297"/>
    </row>
    <row r="124" spans="2:14" x14ac:dyDescent="0.25">
      <c r="B124" s="797" t="str">
        <f t="shared" si="51"/>
        <v xml:space="preserve">40 G </v>
      </c>
      <c r="C124" s="805" t="s">
        <v>23</v>
      </c>
      <c r="D124" s="603" t="s">
        <v>146</v>
      </c>
      <c r="E124" s="294">
        <f t="shared" si="52"/>
        <v>0</v>
      </c>
      <c r="F124" s="294">
        <f t="shared" si="52"/>
        <v>0</v>
      </c>
      <c r="G124" s="294"/>
      <c r="H124" s="294"/>
      <c r="I124" s="294"/>
      <c r="J124" s="297"/>
      <c r="K124" s="297"/>
      <c r="L124" s="297"/>
      <c r="M124" s="297"/>
      <c r="N124" s="297"/>
    </row>
    <row r="125" spans="2:14" ht="25" x14ac:dyDescent="0.25">
      <c r="B125" s="798"/>
      <c r="C125" s="806"/>
      <c r="D125" s="605" t="s">
        <v>147</v>
      </c>
      <c r="E125" s="294">
        <f t="shared" si="52"/>
        <v>0</v>
      </c>
      <c r="F125" s="294">
        <f t="shared" si="52"/>
        <v>0</v>
      </c>
      <c r="G125" s="294"/>
      <c r="H125" s="294"/>
      <c r="I125" s="294"/>
      <c r="J125" s="297"/>
      <c r="K125" s="297"/>
      <c r="L125" s="297"/>
      <c r="M125" s="297"/>
      <c r="N125" s="297"/>
    </row>
    <row r="126" spans="2:14" x14ac:dyDescent="0.25">
      <c r="B126" s="798"/>
      <c r="C126" s="610" t="s">
        <v>24</v>
      </c>
      <c r="D126" s="202" t="s">
        <v>20</v>
      </c>
      <c r="E126" s="294">
        <f t="shared" si="52"/>
        <v>427.72742888770347</v>
      </c>
      <c r="F126" s="294">
        <f t="shared" si="52"/>
        <v>401.36672508917627</v>
      </c>
      <c r="G126" s="294"/>
      <c r="H126" s="294"/>
      <c r="I126" s="294"/>
      <c r="J126" s="297"/>
      <c r="K126" s="297"/>
      <c r="L126" s="297"/>
      <c r="M126" s="297"/>
      <c r="N126" s="297"/>
    </row>
    <row r="127" spans="2:14" x14ac:dyDescent="0.25">
      <c r="B127" s="799"/>
      <c r="C127" s="170" t="s">
        <v>25</v>
      </c>
      <c r="D127" s="203" t="str">
        <f t="shared" ref="D127:D134" si="53">D105</f>
        <v>All</v>
      </c>
      <c r="E127" s="294">
        <f t="shared" si="52"/>
        <v>1673.0572324239708</v>
      </c>
      <c r="F127" s="294">
        <f t="shared" si="52"/>
        <v>1459.2330281290015</v>
      </c>
      <c r="G127" s="294"/>
      <c r="H127" s="294"/>
      <c r="I127" s="294"/>
      <c r="J127" s="297"/>
      <c r="K127" s="297"/>
      <c r="L127" s="297"/>
      <c r="M127" s="297"/>
      <c r="N127" s="297"/>
    </row>
    <row r="128" spans="2:14" x14ac:dyDescent="0.25">
      <c r="B128" s="604" t="str">
        <f t="shared" si="51"/>
        <v>50 G</v>
      </c>
      <c r="C128" s="610" t="str">
        <f>C106</f>
        <v>all</v>
      </c>
      <c r="D128" s="203" t="str">
        <f t="shared" si="53"/>
        <v>All</v>
      </c>
      <c r="E128" s="294">
        <f t="shared" si="52"/>
        <v>0</v>
      </c>
      <c r="F128" s="294">
        <f t="shared" si="52"/>
        <v>0</v>
      </c>
      <c r="G128" s="294"/>
      <c r="H128" s="294"/>
      <c r="I128" s="294"/>
      <c r="J128" s="297"/>
      <c r="K128" s="297"/>
      <c r="L128" s="297"/>
      <c r="M128" s="297"/>
      <c r="N128" s="297"/>
    </row>
    <row r="129" spans="2:14" x14ac:dyDescent="0.25">
      <c r="B129" s="802" t="str">
        <f t="shared" si="51"/>
        <v>100 G</v>
      </c>
      <c r="C129" s="606" t="str">
        <f>C107</f>
        <v>100-300 m</v>
      </c>
      <c r="D129" s="203" t="str">
        <f t="shared" si="53"/>
        <v>All</v>
      </c>
      <c r="E129" s="294">
        <f t="shared" si="52"/>
        <v>0</v>
      </c>
      <c r="F129" s="294">
        <f t="shared" si="52"/>
        <v>0</v>
      </c>
      <c r="G129" s="294"/>
      <c r="H129" s="294"/>
      <c r="I129" s="294"/>
      <c r="J129" s="297"/>
      <c r="K129" s="297"/>
      <c r="L129" s="297"/>
      <c r="M129" s="297"/>
      <c r="N129" s="297"/>
    </row>
    <row r="130" spans="2:14" x14ac:dyDescent="0.25">
      <c r="B130" s="803"/>
      <c r="C130" s="606" t="s">
        <v>22</v>
      </c>
      <c r="D130" s="203" t="str">
        <f t="shared" si="53"/>
        <v>QSFP28</v>
      </c>
      <c r="E130" s="294">
        <f t="shared" si="52"/>
        <v>0</v>
      </c>
      <c r="F130" s="294">
        <f t="shared" si="52"/>
        <v>0</v>
      </c>
      <c r="G130" s="294"/>
      <c r="H130" s="294"/>
      <c r="I130" s="294"/>
      <c r="J130" s="297"/>
      <c r="K130" s="297"/>
      <c r="L130" s="297"/>
      <c r="M130" s="297"/>
      <c r="N130" s="297"/>
    </row>
    <row r="131" spans="2:14" x14ac:dyDescent="0.25">
      <c r="B131" s="803"/>
      <c r="C131" s="610" t="str">
        <f>C109</f>
        <v>2 km</v>
      </c>
      <c r="D131" s="605" t="str">
        <f t="shared" si="53"/>
        <v>QSFP28</v>
      </c>
      <c r="E131" s="294">
        <f t="shared" si="52"/>
        <v>0</v>
      </c>
      <c r="F131" s="294">
        <f t="shared" si="52"/>
        <v>0</v>
      </c>
      <c r="G131" s="294"/>
      <c r="H131" s="294"/>
      <c r="I131" s="294"/>
      <c r="J131" s="297"/>
      <c r="K131" s="297"/>
      <c r="L131" s="297"/>
      <c r="M131" s="297"/>
      <c r="N131" s="297"/>
    </row>
    <row r="132" spans="2:14" x14ac:dyDescent="0.25">
      <c r="B132" s="803"/>
      <c r="C132" s="610" t="str">
        <f>C110</f>
        <v>10-20 km</v>
      </c>
      <c r="D132" s="608" t="str">
        <f t="shared" si="53"/>
        <v>All</v>
      </c>
      <c r="E132" s="294">
        <f t="shared" si="52"/>
        <v>0</v>
      </c>
      <c r="F132" s="294">
        <f t="shared" si="52"/>
        <v>500</v>
      </c>
      <c r="G132" s="294"/>
      <c r="H132" s="294"/>
      <c r="I132" s="294"/>
      <c r="J132" s="297"/>
      <c r="K132" s="297"/>
      <c r="L132" s="297"/>
      <c r="M132" s="297"/>
      <c r="N132" s="297"/>
    </row>
    <row r="133" spans="2:14" x14ac:dyDescent="0.25">
      <c r="B133" s="804"/>
      <c r="C133" s="170" t="str">
        <f>C111</f>
        <v>40 km</v>
      </c>
      <c r="D133" s="199" t="str">
        <f t="shared" si="53"/>
        <v>All</v>
      </c>
      <c r="E133" s="294">
        <f t="shared" si="52"/>
        <v>0</v>
      </c>
      <c r="F133" s="294">
        <f t="shared" si="52"/>
        <v>0</v>
      </c>
      <c r="G133" s="294"/>
      <c r="H133" s="294"/>
      <c r="I133" s="294"/>
      <c r="J133" s="297"/>
      <c r="K133" s="297"/>
      <c r="L133" s="297"/>
      <c r="M133" s="297"/>
      <c r="N133" s="297"/>
    </row>
    <row r="134" spans="2:14" x14ac:dyDescent="0.25">
      <c r="B134" s="201" t="str">
        <f t="shared" si="51"/>
        <v>200 G</v>
      </c>
      <c r="C134" s="203" t="str">
        <f>C112</f>
        <v>All</v>
      </c>
      <c r="D134" s="203" t="str">
        <f t="shared" si="53"/>
        <v>All</v>
      </c>
      <c r="E134" s="294">
        <f t="shared" si="52"/>
        <v>0</v>
      </c>
      <c r="F134" s="294">
        <f t="shared" si="52"/>
        <v>0</v>
      </c>
      <c r="G134" s="294"/>
      <c r="H134" s="294"/>
      <c r="I134" s="294"/>
      <c r="J134" s="296"/>
      <c r="K134" s="296"/>
      <c r="L134" s="296"/>
      <c r="M134" s="296"/>
      <c r="N134" s="296"/>
    </row>
    <row r="135" spans="2:14" x14ac:dyDescent="0.25">
      <c r="B135" s="201" t="str">
        <f t="shared" si="51"/>
        <v>400 G</v>
      </c>
      <c r="C135" s="203" t="s">
        <v>20</v>
      </c>
      <c r="D135" s="203" t="s">
        <v>20</v>
      </c>
      <c r="E135" s="295">
        <f t="shared" ref="E135:M136" si="54">E203</f>
        <v>0</v>
      </c>
      <c r="F135" s="295">
        <f t="shared" si="54"/>
        <v>0</v>
      </c>
      <c r="G135" s="295"/>
      <c r="H135" s="295"/>
      <c r="I135" s="295"/>
      <c r="J135" s="296"/>
      <c r="K135" s="296"/>
      <c r="L135" s="296"/>
      <c r="M135" s="296"/>
      <c r="N135" s="296"/>
    </row>
    <row r="136" spans="2:14" x14ac:dyDescent="0.25">
      <c r="B136" s="201" t="str">
        <f t="shared" si="51"/>
        <v>800 G</v>
      </c>
      <c r="C136" s="203" t="s">
        <v>20</v>
      </c>
      <c r="D136" s="203" t="s">
        <v>20</v>
      </c>
      <c r="E136" s="295">
        <f t="shared" si="54"/>
        <v>0</v>
      </c>
      <c r="F136" s="295">
        <f t="shared" si="54"/>
        <v>0</v>
      </c>
      <c r="G136" s="295"/>
      <c r="H136" s="295"/>
      <c r="I136" s="295"/>
      <c r="J136" s="296"/>
      <c r="K136" s="296"/>
      <c r="L136" s="296"/>
      <c r="M136" s="296"/>
      <c r="N136" s="296"/>
    </row>
    <row r="137" spans="2:14" x14ac:dyDescent="0.25">
      <c r="C137" s="160"/>
      <c r="D137" s="207"/>
      <c r="E137" s="2"/>
      <c r="F137" s="2"/>
      <c r="G137" s="2"/>
      <c r="H137" s="2"/>
      <c r="I137" s="2"/>
      <c r="J137" s="2"/>
      <c r="K137" s="2"/>
      <c r="L137" s="2"/>
      <c r="M137" s="2"/>
      <c r="N137" s="2"/>
    </row>
    <row r="138" spans="2:14" ht="15.5" x14ac:dyDescent="0.35">
      <c r="B138" s="221" t="s">
        <v>1</v>
      </c>
      <c r="C138" s="221" t="str">
        <f>C117</f>
        <v>Rest of World-Enterprise</v>
      </c>
      <c r="D138" s="198"/>
      <c r="E138" s="371" t="str">
        <f>E95</f>
        <v>this table is calculated as the difference between Global (below) and China (above)</v>
      </c>
      <c r="L138" s="684" t="str">
        <f>B138</f>
        <v>Sales ($M)</v>
      </c>
      <c r="N138" s="685" t="str">
        <f>C138</f>
        <v>Rest of World-Enterprise</v>
      </c>
    </row>
    <row r="139" spans="2:14" x14ac:dyDescent="0.25">
      <c r="B139" s="225" t="s">
        <v>10</v>
      </c>
      <c r="C139" s="7" t="s">
        <v>11</v>
      </c>
      <c r="D139" s="226" t="s">
        <v>12</v>
      </c>
      <c r="E139" s="129">
        <v>2016</v>
      </c>
      <c r="F139" s="129">
        <v>2017</v>
      </c>
      <c r="G139" s="129">
        <v>2018</v>
      </c>
      <c r="H139" s="129">
        <v>2019</v>
      </c>
      <c r="I139" s="129">
        <v>2020</v>
      </c>
      <c r="J139" s="129">
        <v>2021</v>
      </c>
      <c r="K139" s="129">
        <v>2022</v>
      </c>
      <c r="L139" s="129">
        <v>2023</v>
      </c>
      <c r="M139" s="129">
        <v>2024</v>
      </c>
      <c r="N139" s="129">
        <v>2025</v>
      </c>
    </row>
    <row r="140" spans="2:14" x14ac:dyDescent="0.25">
      <c r="B140" s="607" t="str">
        <f t="shared" ref="B140:B157" si="55">B30</f>
        <v>1 G</v>
      </c>
      <c r="C140" s="610" t="str">
        <f>C97</f>
        <v>All</v>
      </c>
      <c r="D140" s="610" t="str">
        <f>D97</f>
        <v>All</v>
      </c>
      <c r="E140" s="294">
        <f t="shared" ref="E140:M140" si="56">E119*E97/10^6</f>
        <v>99.231564679531104</v>
      </c>
      <c r="F140" s="294">
        <f t="shared" si="56"/>
        <v>71.380423309944874</v>
      </c>
      <c r="G140" s="294"/>
      <c r="H140" s="294"/>
      <c r="I140" s="294"/>
      <c r="J140" s="294"/>
      <c r="K140" s="294"/>
      <c r="L140" s="297"/>
      <c r="M140" s="297"/>
      <c r="N140" s="297"/>
    </row>
    <row r="141" spans="2:14" x14ac:dyDescent="0.25">
      <c r="B141" s="607" t="str">
        <f t="shared" si="55"/>
        <v>10 G</v>
      </c>
      <c r="C141" s="167" t="str">
        <f>C98</f>
        <v>All</v>
      </c>
      <c r="D141" s="167" t="str">
        <f>D98</f>
        <v>All</v>
      </c>
      <c r="E141" s="294">
        <f t="shared" ref="E141:M141" si="57">E120*E98/10^6</f>
        <v>219.98984431704918</v>
      </c>
      <c r="F141" s="294">
        <f t="shared" si="57"/>
        <v>190.80921477198279</v>
      </c>
      <c r="G141" s="294"/>
      <c r="H141" s="294"/>
      <c r="I141" s="294"/>
      <c r="J141" s="294"/>
      <c r="K141" s="294"/>
      <c r="L141" s="297"/>
      <c r="M141" s="297"/>
      <c r="N141" s="297"/>
    </row>
    <row r="142" spans="2:14" ht="13" x14ac:dyDescent="0.3">
      <c r="B142" s="203" t="str">
        <f t="shared" si="55"/>
        <v>25 G</v>
      </c>
      <c r="C142" s="610" t="s">
        <v>20</v>
      </c>
      <c r="D142" s="282" t="s">
        <v>154</v>
      </c>
      <c r="E142" s="294">
        <f t="shared" ref="E142:M142" si="58">E121*E99/10^6</f>
        <v>2.6503211150000006</v>
      </c>
      <c r="F142" s="294">
        <f t="shared" si="58"/>
        <v>16.264980565801164</v>
      </c>
      <c r="G142" s="294"/>
      <c r="H142" s="294"/>
      <c r="I142" s="294"/>
      <c r="J142" s="294"/>
      <c r="K142" s="294"/>
      <c r="L142" s="297"/>
      <c r="M142" s="297"/>
      <c r="N142" s="297"/>
    </row>
    <row r="143" spans="2:14" x14ac:dyDescent="0.25">
      <c r="B143" s="199" t="str">
        <f t="shared" si="55"/>
        <v>40 G</v>
      </c>
      <c r="C143" s="606" t="str">
        <f>C121</f>
        <v>100-300 m</v>
      </c>
      <c r="D143" s="199" t="s">
        <v>137</v>
      </c>
      <c r="E143" s="294">
        <f t="shared" ref="E143:M143" si="59">E122*E100/10^6</f>
        <v>138.28747286910556</v>
      </c>
      <c r="F143" s="294">
        <f t="shared" si="59"/>
        <v>157.93580697348725</v>
      </c>
      <c r="G143" s="294"/>
      <c r="H143" s="294"/>
      <c r="I143" s="294"/>
      <c r="J143" s="294"/>
      <c r="K143" s="294"/>
      <c r="L143" s="297"/>
      <c r="M143" s="297"/>
      <c r="N143" s="297"/>
    </row>
    <row r="144" spans="2:14" x14ac:dyDescent="0.25">
      <c r="B144" s="203" t="str">
        <f t="shared" si="55"/>
        <v>40 G PSM4</v>
      </c>
      <c r="C144" s="610" t="s">
        <v>22</v>
      </c>
      <c r="D144" s="203" t="s">
        <v>137</v>
      </c>
      <c r="E144" s="294">
        <f t="shared" ref="E144:M144" si="60">E123*E101/10^6</f>
        <v>0</v>
      </c>
      <c r="F144" s="294">
        <f t="shared" si="60"/>
        <v>0</v>
      </c>
      <c r="G144" s="294"/>
      <c r="H144" s="294"/>
      <c r="I144" s="294"/>
      <c r="J144" s="294"/>
      <c r="K144" s="294"/>
      <c r="L144" s="297"/>
      <c r="M144" s="297"/>
      <c r="N144" s="297"/>
    </row>
    <row r="145" spans="2:14" x14ac:dyDescent="0.25">
      <c r="B145" s="797" t="str">
        <f t="shared" si="55"/>
        <v xml:space="preserve">40 G </v>
      </c>
      <c r="C145" s="805" t="s">
        <v>23</v>
      </c>
      <c r="D145" s="298" t="s">
        <v>146</v>
      </c>
      <c r="E145" s="294">
        <f t="shared" ref="E145:M145" si="61">E124*E102/10^6</f>
        <v>0</v>
      </c>
      <c r="F145" s="294">
        <f t="shared" si="61"/>
        <v>0</v>
      </c>
      <c r="G145" s="294"/>
      <c r="H145" s="294"/>
      <c r="I145" s="294"/>
      <c r="J145" s="294"/>
      <c r="K145" s="294"/>
      <c r="L145" s="297"/>
      <c r="M145" s="297"/>
      <c r="N145" s="297"/>
    </row>
    <row r="146" spans="2:14" ht="25" x14ac:dyDescent="0.25">
      <c r="B146" s="798"/>
      <c r="C146" s="806"/>
      <c r="D146" s="270" t="s">
        <v>147</v>
      </c>
      <c r="E146" s="294">
        <f t="shared" ref="E146:M146" si="62">E125*E103/10^6</f>
        <v>0</v>
      </c>
      <c r="F146" s="294">
        <f t="shared" si="62"/>
        <v>0</v>
      </c>
      <c r="G146" s="294"/>
      <c r="H146" s="294"/>
      <c r="I146" s="294"/>
      <c r="J146" s="294"/>
      <c r="K146" s="294"/>
      <c r="L146" s="297"/>
      <c r="M146" s="297"/>
      <c r="N146" s="297"/>
    </row>
    <row r="147" spans="2:14" x14ac:dyDescent="0.25">
      <c r="B147" s="798"/>
      <c r="C147" s="610" t="s">
        <v>24</v>
      </c>
      <c r="D147" s="607" t="str">
        <f t="shared" ref="D147:D157" si="63">D104</f>
        <v>All</v>
      </c>
      <c r="E147" s="294">
        <f t="shared" ref="E147:M147" si="64">E126*E104/10^6</f>
        <v>25.193821370823372</v>
      </c>
      <c r="F147" s="294">
        <f t="shared" si="64"/>
        <v>30.658172530570667</v>
      </c>
      <c r="G147" s="294"/>
      <c r="H147" s="294"/>
      <c r="I147" s="294"/>
      <c r="J147" s="294"/>
      <c r="K147" s="294"/>
      <c r="L147" s="297"/>
      <c r="M147" s="297"/>
      <c r="N147" s="297"/>
    </row>
    <row r="148" spans="2:14" x14ac:dyDescent="0.25">
      <c r="B148" s="799"/>
      <c r="C148" s="170" t="s">
        <v>25</v>
      </c>
      <c r="D148" s="607" t="str">
        <f t="shared" si="63"/>
        <v>All</v>
      </c>
      <c r="E148" s="294">
        <f t="shared" ref="E148:M148" si="65">E127*E105/10^6</f>
        <v>3.3161165486705801</v>
      </c>
      <c r="F148" s="294">
        <f t="shared" si="65"/>
        <v>3.7096271825168725</v>
      </c>
      <c r="G148" s="294"/>
      <c r="H148" s="294"/>
      <c r="I148" s="294"/>
      <c r="J148" s="294"/>
      <c r="K148" s="294"/>
      <c r="L148" s="297"/>
      <c r="M148" s="297"/>
      <c r="N148" s="297"/>
    </row>
    <row r="149" spans="2:14" x14ac:dyDescent="0.25">
      <c r="B149" s="604" t="str">
        <f t="shared" si="55"/>
        <v>50 G</v>
      </c>
      <c r="C149" s="610" t="str">
        <f t="shared" ref="C149:C157" si="66">C106</f>
        <v>all</v>
      </c>
      <c r="D149" s="607" t="str">
        <f t="shared" si="63"/>
        <v>All</v>
      </c>
      <c r="E149" s="294">
        <f t="shared" ref="E149:M149" si="67">E128*E106/10^6</f>
        <v>0</v>
      </c>
      <c r="F149" s="294">
        <f t="shared" si="67"/>
        <v>0</v>
      </c>
      <c r="G149" s="294"/>
      <c r="H149" s="294"/>
      <c r="I149" s="294"/>
      <c r="J149" s="294"/>
      <c r="K149" s="294"/>
      <c r="L149" s="297"/>
      <c r="M149" s="297"/>
      <c r="N149" s="297"/>
    </row>
    <row r="150" spans="2:14" x14ac:dyDescent="0.25">
      <c r="B150" s="802" t="str">
        <f t="shared" si="55"/>
        <v>100 G</v>
      </c>
      <c r="C150" s="606" t="str">
        <f t="shared" si="66"/>
        <v>100-300 m</v>
      </c>
      <c r="D150" s="607" t="str">
        <f t="shared" si="63"/>
        <v>All</v>
      </c>
      <c r="E150" s="294">
        <f t="shared" ref="E150:M150" si="68">E129*E107/10^6</f>
        <v>0</v>
      </c>
      <c r="F150" s="294">
        <f t="shared" si="68"/>
        <v>0</v>
      </c>
      <c r="G150" s="294"/>
      <c r="H150" s="294"/>
      <c r="I150" s="294"/>
      <c r="J150" s="294"/>
      <c r="K150" s="294"/>
      <c r="L150" s="297"/>
      <c r="M150" s="297"/>
      <c r="N150" s="297"/>
    </row>
    <row r="151" spans="2:14" x14ac:dyDescent="0.25">
      <c r="B151" s="803"/>
      <c r="C151" s="610" t="str">
        <f t="shared" si="66"/>
        <v>500 m</v>
      </c>
      <c r="D151" s="270" t="str">
        <f t="shared" si="63"/>
        <v>QSFP28</v>
      </c>
      <c r="E151" s="294">
        <f t="shared" ref="E151:M151" si="69">E130*E108/10^6</f>
        <v>0</v>
      </c>
      <c r="F151" s="294">
        <f t="shared" si="69"/>
        <v>0</v>
      </c>
      <c r="G151" s="294"/>
      <c r="H151" s="294"/>
      <c r="I151" s="294"/>
      <c r="J151" s="294"/>
      <c r="K151" s="294"/>
      <c r="L151" s="297"/>
      <c r="M151" s="297"/>
      <c r="N151" s="297"/>
    </row>
    <row r="152" spans="2:14" x14ac:dyDescent="0.25">
      <c r="B152" s="803"/>
      <c r="C152" s="610" t="str">
        <f t="shared" si="66"/>
        <v>2 km</v>
      </c>
      <c r="D152" s="605" t="str">
        <f t="shared" si="63"/>
        <v>QSFP28</v>
      </c>
      <c r="E152" s="294">
        <f t="shared" ref="E152:M152" si="70">E131*E109/10^6</f>
        <v>0</v>
      </c>
      <c r="F152" s="294">
        <f t="shared" si="70"/>
        <v>0</v>
      </c>
      <c r="G152" s="294"/>
      <c r="H152" s="294"/>
      <c r="I152" s="294"/>
      <c r="J152" s="294"/>
      <c r="K152" s="294"/>
      <c r="L152" s="297"/>
      <c r="M152" s="297"/>
      <c r="N152" s="297"/>
    </row>
    <row r="153" spans="2:14" x14ac:dyDescent="0.25">
      <c r="B153" s="803"/>
      <c r="C153" s="610" t="str">
        <f t="shared" si="66"/>
        <v>10-20 km</v>
      </c>
      <c r="D153" s="608" t="str">
        <f t="shared" si="63"/>
        <v>All</v>
      </c>
      <c r="E153" s="294">
        <f t="shared" ref="E153:M153" si="71">E132*E110/10^6</f>
        <v>0</v>
      </c>
      <c r="F153" s="294">
        <f t="shared" si="71"/>
        <v>2.2499999999999996</v>
      </c>
      <c r="G153" s="294"/>
      <c r="H153" s="294"/>
      <c r="I153" s="294"/>
      <c r="J153" s="294"/>
      <c r="K153" s="294"/>
      <c r="L153" s="297"/>
      <c r="M153" s="297"/>
      <c r="N153" s="297"/>
    </row>
    <row r="154" spans="2:14" x14ac:dyDescent="0.25">
      <c r="B154" s="804"/>
      <c r="C154" s="170" t="str">
        <f t="shared" si="66"/>
        <v>40 km</v>
      </c>
      <c r="D154" s="199" t="str">
        <f t="shared" si="63"/>
        <v>All</v>
      </c>
      <c r="E154" s="294">
        <f t="shared" ref="E154:M154" si="72">E133*E111/10^6</f>
        <v>0</v>
      </c>
      <c r="F154" s="294">
        <f t="shared" si="72"/>
        <v>0</v>
      </c>
      <c r="G154" s="294"/>
      <c r="H154" s="294"/>
      <c r="I154" s="294"/>
      <c r="J154" s="294"/>
      <c r="K154" s="294"/>
      <c r="L154" s="297"/>
      <c r="M154" s="297"/>
      <c r="N154" s="297"/>
    </row>
    <row r="155" spans="2:14" x14ac:dyDescent="0.25">
      <c r="B155" s="201" t="str">
        <f t="shared" si="55"/>
        <v>200 G</v>
      </c>
      <c r="C155" s="203" t="str">
        <f t="shared" si="66"/>
        <v>All</v>
      </c>
      <c r="D155" s="203" t="str">
        <f t="shared" si="63"/>
        <v>All</v>
      </c>
      <c r="E155" s="294">
        <f t="shared" ref="E155:M155" si="73">E134*E112/10^6</f>
        <v>0</v>
      </c>
      <c r="F155" s="294">
        <f t="shared" si="73"/>
        <v>0</v>
      </c>
      <c r="G155" s="294"/>
      <c r="H155" s="294"/>
      <c r="I155" s="294"/>
      <c r="J155" s="294"/>
      <c r="K155" s="294"/>
      <c r="L155" s="297"/>
      <c r="M155" s="297"/>
      <c r="N155" s="297"/>
    </row>
    <row r="156" spans="2:14" x14ac:dyDescent="0.25">
      <c r="B156" s="201" t="str">
        <f t="shared" si="55"/>
        <v>400 G</v>
      </c>
      <c r="C156" s="203" t="str">
        <f t="shared" si="66"/>
        <v>All</v>
      </c>
      <c r="D156" s="203" t="str">
        <f t="shared" si="63"/>
        <v>All</v>
      </c>
      <c r="E156" s="294">
        <f t="shared" ref="E156:M156" si="74">E135*E113/10^6</f>
        <v>0</v>
      </c>
      <c r="F156" s="294">
        <f t="shared" si="74"/>
        <v>0</v>
      </c>
      <c r="G156" s="294"/>
      <c r="H156" s="294"/>
      <c r="I156" s="294"/>
      <c r="J156" s="294"/>
      <c r="K156" s="294"/>
      <c r="L156" s="297"/>
      <c r="M156" s="297"/>
      <c r="N156" s="297"/>
    </row>
    <row r="157" spans="2:14" x14ac:dyDescent="0.25">
      <c r="B157" s="201" t="str">
        <f t="shared" si="55"/>
        <v>800 G</v>
      </c>
      <c r="C157" s="203" t="str">
        <f t="shared" si="66"/>
        <v>All</v>
      </c>
      <c r="D157" s="203" t="str">
        <f t="shared" si="63"/>
        <v>All</v>
      </c>
      <c r="E157" s="294">
        <f t="shared" ref="E157:M157" si="75">E136*E114/10^6</f>
        <v>0</v>
      </c>
      <c r="F157" s="294">
        <f t="shared" si="75"/>
        <v>0</v>
      </c>
      <c r="G157" s="294"/>
      <c r="H157" s="294"/>
      <c r="I157" s="294"/>
      <c r="J157" s="294"/>
      <c r="K157" s="294"/>
      <c r="L157" s="297"/>
      <c r="M157" s="297"/>
      <c r="N157" s="297"/>
    </row>
    <row r="158" spans="2:14" x14ac:dyDescent="0.25">
      <c r="B158" s="206" t="s">
        <v>9</v>
      </c>
      <c r="C158" s="203" t="str">
        <f>C115</f>
        <v>All</v>
      </c>
      <c r="D158" s="203" t="str">
        <f>D115</f>
        <v>All</v>
      </c>
      <c r="E158" s="290">
        <f>SUM(E140:E157)</f>
        <v>488.66914090017985</v>
      </c>
      <c r="F158" s="290">
        <f t="shared" ref="F158:N158" si="76">SUM(F140:F157)</f>
        <v>473.00822533430363</v>
      </c>
      <c r="G158" s="290"/>
      <c r="H158" s="290"/>
      <c r="I158" s="290"/>
      <c r="J158" s="290"/>
      <c r="K158" s="290"/>
      <c r="L158" s="290"/>
      <c r="M158" s="290"/>
      <c r="N158" s="290"/>
    </row>
    <row r="159" spans="2:14" x14ac:dyDescent="0.25">
      <c r="C159" s="160"/>
      <c r="E159" s="8"/>
      <c r="F159" s="8">
        <f t="shared" ref="F159:N159" si="77">IF(E158=0,"",F158/E158-1)</f>
        <v>-3.2048096053348463E-2</v>
      </c>
      <c r="G159" s="8"/>
      <c r="H159" s="8"/>
      <c r="I159" s="8"/>
      <c r="J159" s="8"/>
      <c r="K159" s="8"/>
      <c r="L159" s="8"/>
      <c r="M159" s="8"/>
      <c r="N159" s="8"/>
    </row>
    <row r="160" spans="2:14" x14ac:dyDescent="0.25">
      <c r="C160" s="160"/>
      <c r="E160" s="602"/>
      <c r="F160" s="602"/>
      <c r="G160" s="602"/>
      <c r="H160" s="602"/>
      <c r="I160" s="602"/>
      <c r="J160" s="602"/>
      <c r="K160" s="602"/>
      <c r="L160" s="602"/>
      <c r="M160" s="602"/>
      <c r="N160" s="665"/>
    </row>
    <row r="161" spans="2:14" x14ac:dyDescent="0.25">
      <c r="B161" s="446"/>
      <c r="C161" s="446"/>
      <c r="D161" s="446"/>
      <c r="E161" s="445"/>
      <c r="F161" s="445"/>
      <c r="G161" s="445"/>
      <c r="H161" s="445"/>
      <c r="I161" s="445"/>
      <c r="J161" s="445"/>
      <c r="K161" s="445"/>
      <c r="L161" s="445"/>
      <c r="M161" s="445"/>
      <c r="N161" s="445"/>
    </row>
    <row r="163" spans="2:14" ht="15.5" x14ac:dyDescent="0.35">
      <c r="B163" s="221" t="s">
        <v>0</v>
      </c>
      <c r="C163" s="273" t="s">
        <v>420</v>
      </c>
      <c r="D163" s="198"/>
      <c r="E163" s="371"/>
      <c r="L163" s="684" t="str">
        <f>B163</f>
        <v>Units</v>
      </c>
      <c r="N163" s="685" t="str">
        <f>C163</f>
        <v>Global-Enterprise</v>
      </c>
    </row>
    <row r="164" spans="2:14" x14ac:dyDescent="0.25">
      <c r="B164" s="225" t="s">
        <v>10</v>
      </c>
      <c r="C164" s="7" t="s">
        <v>11</v>
      </c>
      <c r="D164" s="226" t="s">
        <v>12</v>
      </c>
      <c r="E164" s="39">
        <v>2016</v>
      </c>
      <c r="F164" s="7">
        <v>2017</v>
      </c>
      <c r="G164" s="7">
        <v>2018</v>
      </c>
      <c r="H164" s="7">
        <v>2019</v>
      </c>
      <c r="I164" s="7">
        <v>2020</v>
      </c>
      <c r="J164" s="7">
        <v>2021</v>
      </c>
      <c r="K164" s="7">
        <v>2022</v>
      </c>
      <c r="L164" s="7">
        <v>2023</v>
      </c>
      <c r="M164" s="7">
        <v>2024</v>
      </c>
      <c r="N164" s="7">
        <v>2025</v>
      </c>
    </row>
    <row r="165" spans="2:14" x14ac:dyDescent="0.25">
      <c r="B165" s="607" t="str">
        <f t="shared" ref="B165:B182" si="78">B30</f>
        <v>1 G</v>
      </c>
      <c r="C165" s="610" t="s">
        <v>20</v>
      </c>
      <c r="D165" s="203" t="s">
        <v>20</v>
      </c>
      <c r="E165" s="693">
        <v>10820773.9461</v>
      </c>
      <c r="F165" s="693">
        <v>9133982.9199999981</v>
      </c>
      <c r="G165" s="693"/>
      <c r="H165" s="693"/>
      <c r="I165" s="693"/>
      <c r="J165" s="693"/>
      <c r="K165" s="693"/>
      <c r="L165" s="693"/>
      <c r="M165" s="693"/>
      <c r="N165" s="696"/>
    </row>
    <row r="166" spans="2:14" x14ac:dyDescent="0.25">
      <c r="B166" s="607" t="str">
        <f t="shared" si="78"/>
        <v>10 G</v>
      </c>
      <c r="C166" s="610" t="s">
        <v>20</v>
      </c>
      <c r="D166" s="203" t="s">
        <v>20</v>
      </c>
      <c r="E166" s="693">
        <v>9548856.9976669345</v>
      </c>
      <c r="F166" s="693">
        <v>10638837.756871285</v>
      </c>
      <c r="G166" s="693"/>
      <c r="H166" s="693"/>
      <c r="I166" s="693"/>
      <c r="J166" s="693"/>
      <c r="K166" s="693"/>
      <c r="L166" s="693"/>
      <c r="M166" s="693"/>
      <c r="N166" s="696"/>
    </row>
    <row r="167" spans="2:14" ht="13" x14ac:dyDescent="0.3">
      <c r="B167" s="607" t="str">
        <f t="shared" si="78"/>
        <v>25 G</v>
      </c>
      <c r="C167" s="610" t="s">
        <v>20</v>
      </c>
      <c r="D167" s="282" t="s">
        <v>154</v>
      </c>
      <c r="E167" s="694">
        <v>10329.6</v>
      </c>
      <c r="F167" s="694">
        <v>108088.4</v>
      </c>
      <c r="G167" s="694"/>
      <c r="H167" s="694"/>
      <c r="I167" s="694"/>
      <c r="J167" s="694"/>
      <c r="K167" s="694"/>
      <c r="L167" s="694"/>
      <c r="M167" s="694"/>
      <c r="N167" s="696"/>
    </row>
    <row r="168" spans="2:14" x14ac:dyDescent="0.25">
      <c r="B168" s="199" t="str">
        <f t="shared" si="78"/>
        <v>40 G</v>
      </c>
      <c r="C168" s="321" t="s">
        <v>161</v>
      </c>
      <c r="D168" s="199" t="s">
        <v>137</v>
      </c>
      <c r="E168" s="695">
        <v>705814.4</v>
      </c>
      <c r="F168" s="695">
        <v>876553.7</v>
      </c>
      <c r="G168" s="695"/>
      <c r="H168" s="695"/>
      <c r="I168" s="695"/>
      <c r="J168" s="695"/>
      <c r="K168" s="695"/>
      <c r="L168" s="695"/>
      <c r="M168" s="695"/>
      <c r="N168" s="696"/>
    </row>
    <row r="169" spans="2:14" x14ac:dyDescent="0.25">
      <c r="B169" s="203" t="str">
        <f t="shared" si="78"/>
        <v>40 G PSM4</v>
      </c>
      <c r="C169" s="606" t="s">
        <v>22</v>
      </c>
      <c r="D169" s="203" t="s">
        <v>137</v>
      </c>
      <c r="E169" s="693">
        <v>0</v>
      </c>
      <c r="F169" s="693">
        <v>0</v>
      </c>
      <c r="G169" s="693"/>
      <c r="H169" s="693"/>
      <c r="I169" s="693"/>
      <c r="J169" s="693"/>
      <c r="K169" s="693"/>
      <c r="L169" s="693"/>
      <c r="M169" s="693"/>
      <c r="N169" s="696"/>
    </row>
    <row r="170" spans="2:14" x14ac:dyDescent="0.25">
      <c r="B170" s="797" t="str">
        <f t="shared" si="78"/>
        <v xml:space="preserve">40 G </v>
      </c>
      <c r="C170" s="800" t="s">
        <v>23</v>
      </c>
      <c r="D170" s="298" t="s">
        <v>146</v>
      </c>
      <c r="E170" s="693">
        <v>0</v>
      </c>
      <c r="F170" s="693">
        <v>0</v>
      </c>
      <c r="G170" s="693"/>
      <c r="H170" s="693"/>
      <c r="I170" s="693"/>
      <c r="J170" s="693"/>
      <c r="K170" s="693"/>
      <c r="L170" s="693"/>
      <c r="M170" s="693"/>
      <c r="N170" s="696"/>
    </row>
    <row r="171" spans="2:14" ht="25" x14ac:dyDescent="0.25">
      <c r="B171" s="798"/>
      <c r="C171" s="801"/>
      <c r="D171" s="299" t="s">
        <v>147</v>
      </c>
      <c r="E171" s="693">
        <v>0</v>
      </c>
      <c r="F171" s="693">
        <v>0</v>
      </c>
      <c r="G171" s="693"/>
      <c r="H171" s="693"/>
      <c r="I171" s="693"/>
      <c r="J171" s="693"/>
      <c r="K171" s="693"/>
      <c r="L171" s="693"/>
      <c r="M171" s="693"/>
      <c r="N171" s="696"/>
    </row>
    <row r="172" spans="2:14" x14ac:dyDescent="0.25">
      <c r="B172" s="798"/>
      <c r="C172" s="606" t="s">
        <v>24</v>
      </c>
      <c r="D172" s="202" t="s">
        <v>20</v>
      </c>
      <c r="E172" s="694">
        <v>65446.199999999983</v>
      </c>
      <c r="F172" s="694">
        <v>84871.599999999977</v>
      </c>
      <c r="G172" s="694"/>
      <c r="H172" s="694"/>
      <c r="I172" s="694"/>
      <c r="J172" s="694"/>
      <c r="K172" s="694"/>
      <c r="L172" s="694"/>
      <c r="M172" s="694"/>
      <c r="N172" s="696"/>
    </row>
    <row r="173" spans="2:14" x14ac:dyDescent="0.25">
      <c r="B173" s="799"/>
      <c r="C173" s="171" t="s">
        <v>25</v>
      </c>
      <c r="D173" s="202" t="s">
        <v>20</v>
      </c>
      <c r="E173" s="694">
        <v>2202.3000000000002</v>
      </c>
      <c r="F173" s="694">
        <v>2824.64</v>
      </c>
      <c r="G173" s="694"/>
      <c r="H173" s="694"/>
      <c r="I173" s="694"/>
      <c r="J173" s="694"/>
      <c r="K173" s="694"/>
      <c r="L173" s="694"/>
      <c r="M173" s="694"/>
      <c r="N173" s="696"/>
    </row>
    <row r="174" spans="2:14" x14ac:dyDescent="0.25">
      <c r="B174" s="604" t="str">
        <f t="shared" si="78"/>
        <v>50 G</v>
      </c>
      <c r="C174" s="606" t="s">
        <v>60</v>
      </c>
      <c r="D174" s="202" t="s">
        <v>20</v>
      </c>
      <c r="E174" s="694">
        <v>0</v>
      </c>
      <c r="F174" s="694">
        <v>0</v>
      </c>
      <c r="G174" s="694"/>
      <c r="H174" s="694"/>
      <c r="I174" s="694"/>
      <c r="J174" s="694"/>
      <c r="K174" s="694"/>
      <c r="L174" s="694"/>
      <c r="M174" s="694"/>
      <c r="N174" s="696"/>
    </row>
    <row r="175" spans="2:14" x14ac:dyDescent="0.25">
      <c r="B175" s="802" t="str">
        <f t="shared" si="78"/>
        <v>100 G</v>
      </c>
      <c r="C175" s="606" t="s">
        <v>161</v>
      </c>
      <c r="D175" s="202" t="s">
        <v>20</v>
      </c>
      <c r="E175" s="694">
        <v>0</v>
      </c>
      <c r="F175" s="694">
        <v>0</v>
      </c>
      <c r="G175" s="694"/>
      <c r="H175" s="694"/>
      <c r="I175" s="694"/>
      <c r="J175" s="694"/>
      <c r="K175" s="694"/>
      <c r="L175" s="694"/>
      <c r="M175" s="694"/>
      <c r="N175" s="696"/>
    </row>
    <row r="176" spans="2:14" x14ac:dyDescent="0.25">
      <c r="B176" s="803"/>
      <c r="C176" s="610" t="s">
        <v>22</v>
      </c>
      <c r="D176" s="203" t="s">
        <v>162</v>
      </c>
      <c r="E176" s="696">
        <v>0</v>
      </c>
      <c r="F176" s="696">
        <v>0</v>
      </c>
      <c r="G176" s="696"/>
      <c r="H176" s="696"/>
      <c r="I176" s="696"/>
      <c r="J176" s="696"/>
      <c r="K176" s="696"/>
      <c r="L176" s="696"/>
      <c r="M176" s="696"/>
      <c r="N176" s="696"/>
    </row>
    <row r="177" spans="2:14" x14ac:dyDescent="0.25">
      <c r="B177" s="803"/>
      <c r="C177" s="606" t="s">
        <v>23</v>
      </c>
      <c r="D177" s="605" t="s">
        <v>162</v>
      </c>
      <c r="E177" s="696">
        <v>0</v>
      </c>
      <c r="F177" s="696">
        <v>0</v>
      </c>
      <c r="G177" s="696"/>
      <c r="H177" s="696"/>
      <c r="I177" s="696"/>
      <c r="J177" s="696"/>
      <c r="K177" s="696"/>
      <c r="L177" s="696"/>
      <c r="M177" s="696"/>
      <c r="N177" s="696"/>
    </row>
    <row r="178" spans="2:14" x14ac:dyDescent="0.25">
      <c r="B178" s="803"/>
      <c r="C178" s="606" t="s">
        <v>163</v>
      </c>
      <c r="D178" s="202" t="s">
        <v>20</v>
      </c>
      <c r="E178" s="701">
        <v>0</v>
      </c>
      <c r="F178" s="701">
        <v>4499.9999999999991</v>
      </c>
      <c r="G178" s="701"/>
      <c r="H178" s="701"/>
      <c r="I178" s="701"/>
      <c r="J178" s="701"/>
      <c r="K178" s="701"/>
      <c r="L178" s="701"/>
      <c r="M178" s="701"/>
      <c r="N178" s="696"/>
    </row>
    <row r="179" spans="2:14" x14ac:dyDescent="0.25">
      <c r="B179" s="804"/>
      <c r="C179" s="171" t="s">
        <v>25</v>
      </c>
      <c r="D179" s="199" t="s">
        <v>20</v>
      </c>
      <c r="E179" s="695">
        <v>0</v>
      </c>
      <c r="F179" s="695">
        <v>0</v>
      </c>
      <c r="G179" s="695"/>
      <c r="H179" s="695"/>
      <c r="I179" s="695"/>
      <c r="J179" s="695"/>
      <c r="K179" s="695"/>
      <c r="L179" s="695"/>
      <c r="M179" s="695"/>
      <c r="N179" s="696"/>
    </row>
    <row r="180" spans="2:14" x14ac:dyDescent="0.25">
      <c r="B180" s="609" t="str">
        <f t="shared" si="78"/>
        <v>200 G</v>
      </c>
      <c r="C180" s="203" t="s">
        <v>20</v>
      </c>
      <c r="D180" s="203" t="s">
        <v>20</v>
      </c>
      <c r="E180" s="696">
        <v>0</v>
      </c>
      <c r="F180" s="696">
        <v>0</v>
      </c>
      <c r="G180" s="696"/>
      <c r="H180" s="696"/>
      <c r="I180" s="696"/>
      <c r="J180" s="696"/>
      <c r="K180" s="696"/>
      <c r="L180" s="696"/>
      <c r="M180" s="696"/>
      <c r="N180" s="696"/>
    </row>
    <row r="181" spans="2:14" x14ac:dyDescent="0.25">
      <c r="B181" s="203" t="str">
        <f t="shared" si="78"/>
        <v>400 G</v>
      </c>
      <c r="C181" s="203" t="s">
        <v>20</v>
      </c>
      <c r="D181" s="203" t="s">
        <v>20</v>
      </c>
      <c r="E181" s="696">
        <v>0</v>
      </c>
      <c r="F181" s="696">
        <v>0</v>
      </c>
      <c r="G181" s="696"/>
      <c r="H181" s="696"/>
      <c r="I181" s="696"/>
      <c r="J181" s="696"/>
      <c r="K181" s="696"/>
      <c r="L181" s="696"/>
      <c r="M181" s="696"/>
      <c r="N181" s="696"/>
    </row>
    <row r="182" spans="2:14" x14ac:dyDescent="0.25">
      <c r="B182" s="203" t="str">
        <f t="shared" si="78"/>
        <v>800 G</v>
      </c>
      <c r="C182" s="203" t="s">
        <v>20</v>
      </c>
      <c r="D182" s="203" t="s">
        <v>20</v>
      </c>
      <c r="E182" s="696">
        <v>0</v>
      </c>
      <c r="F182" s="696">
        <v>0</v>
      </c>
      <c r="G182" s="696"/>
      <c r="H182" s="696"/>
      <c r="I182" s="696"/>
      <c r="J182" s="696"/>
      <c r="K182" s="696"/>
      <c r="L182" s="696"/>
      <c r="M182" s="696"/>
      <c r="N182" s="696"/>
    </row>
    <row r="183" spans="2:14" x14ac:dyDescent="0.25">
      <c r="B183" s="206" t="s">
        <v>9</v>
      </c>
      <c r="C183" s="203" t="s">
        <v>20</v>
      </c>
      <c r="D183" s="203" t="s">
        <v>20</v>
      </c>
      <c r="E183" s="235">
        <f t="shared" ref="E183:N183" si="79">SUM(E165:E182)</f>
        <v>21153423.443766937</v>
      </c>
      <c r="F183" s="235">
        <f t="shared" si="79"/>
        <v>20849659.016871285</v>
      </c>
      <c r="G183" s="235"/>
      <c r="H183" s="235"/>
      <c r="I183" s="235"/>
      <c r="J183" s="235"/>
      <c r="K183" s="235"/>
      <c r="L183" s="235"/>
      <c r="M183" s="235"/>
      <c r="N183" s="235"/>
    </row>
    <row r="184" spans="2:14" x14ac:dyDescent="0.25">
      <c r="B184" s="160"/>
      <c r="C184" s="160"/>
      <c r="D184" s="207"/>
      <c r="E184" s="8"/>
      <c r="F184" s="8">
        <f t="shared" ref="F184:N184" si="80">IF(E183=0,"",F183/E183-1)</f>
        <v>-1.4360059859963692E-2</v>
      </c>
      <c r="G184" s="8"/>
      <c r="H184" s="8"/>
      <c r="I184" s="8"/>
      <c r="J184" s="8"/>
      <c r="K184" s="8"/>
      <c r="L184" s="8"/>
      <c r="M184" s="8"/>
      <c r="N184" s="8"/>
    </row>
    <row r="185" spans="2:14" ht="13" x14ac:dyDescent="0.3">
      <c r="B185" s="220" t="s">
        <v>53</v>
      </c>
      <c r="C185" s="273" t="str">
        <f>$C$163</f>
        <v>Global-Enterprise</v>
      </c>
      <c r="D185" s="198"/>
      <c r="E185" s="198"/>
      <c r="F185" s="198"/>
      <c r="G185" s="198"/>
      <c r="H185" s="198"/>
      <c r="I185" s="198"/>
      <c r="J185" s="198"/>
      <c r="K185" s="198"/>
      <c r="L185" s="198"/>
      <c r="M185" s="198"/>
      <c r="N185" s="198"/>
    </row>
    <row r="186" spans="2:14" x14ac:dyDescent="0.25">
      <c r="B186" s="227" t="s">
        <v>10</v>
      </c>
      <c r="C186" s="129" t="s">
        <v>11</v>
      </c>
      <c r="D186" s="228" t="s">
        <v>12</v>
      </c>
      <c r="E186" s="136">
        <v>2016</v>
      </c>
      <c r="F186" s="129">
        <v>2017</v>
      </c>
      <c r="G186" s="129">
        <v>2018</v>
      </c>
      <c r="H186" s="129">
        <v>2019</v>
      </c>
      <c r="I186" s="129">
        <v>2020</v>
      </c>
      <c r="J186" s="129">
        <v>2021</v>
      </c>
      <c r="K186" s="129">
        <v>2022</v>
      </c>
      <c r="L186" s="129">
        <v>2023</v>
      </c>
      <c r="M186" s="129">
        <v>2024</v>
      </c>
      <c r="N186" s="129">
        <v>2025</v>
      </c>
    </row>
    <row r="187" spans="2:14" x14ac:dyDescent="0.25">
      <c r="B187" s="607" t="str">
        <f t="shared" ref="B187:B204" si="81">B30</f>
        <v>1 G</v>
      </c>
      <c r="C187" s="610" t="str">
        <f>C165</f>
        <v>All</v>
      </c>
      <c r="D187" s="610" t="str">
        <f>D165</f>
        <v>All</v>
      </c>
      <c r="E187" s="294">
        <f t="shared" ref="E187:M187" si="82">IF(E165=0,,E208*10^6/E165)</f>
        <v>10.917224191459711</v>
      </c>
      <c r="F187" s="294">
        <f t="shared" si="82"/>
        <v>9.4154445837284086</v>
      </c>
      <c r="G187" s="294"/>
      <c r="H187" s="294"/>
      <c r="I187" s="294"/>
      <c r="J187" s="294"/>
      <c r="K187" s="294"/>
      <c r="L187" s="297"/>
      <c r="M187" s="297"/>
      <c r="N187" s="297"/>
    </row>
    <row r="188" spans="2:14" x14ac:dyDescent="0.25">
      <c r="B188" s="607" t="str">
        <f t="shared" si="81"/>
        <v>10 G</v>
      </c>
      <c r="C188" s="610" t="str">
        <f>C166</f>
        <v>All</v>
      </c>
      <c r="D188" s="610" t="str">
        <f>D166</f>
        <v>All</v>
      </c>
      <c r="E188" s="294">
        <f t="shared" ref="E188:M188" si="83">IF(E166=0,,E209*10^6/E166)</f>
        <v>27.757039954208452</v>
      </c>
      <c r="F188" s="294">
        <f t="shared" si="83"/>
        <v>22.142167894713644</v>
      </c>
      <c r="G188" s="294"/>
      <c r="H188" s="294"/>
      <c r="I188" s="294"/>
      <c r="J188" s="294"/>
      <c r="K188" s="294"/>
      <c r="L188" s="297"/>
      <c r="M188" s="297"/>
      <c r="N188" s="297"/>
    </row>
    <row r="189" spans="2:14" ht="13" x14ac:dyDescent="0.3">
      <c r="B189" s="607" t="str">
        <f t="shared" si="81"/>
        <v>25 G</v>
      </c>
      <c r="C189" s="610" t="str">
        <f>C168</f>
        <v>100-300 m</v>
      </c>
      <c r="D189" s="282" t="s">
        <v>154</v>
      </c>
      <c r="E189" s="294">
        <f t="shared" ref="E189:M189" si="84">IF(E167=0,,E210*10^6/E167)</f>
        <v>270.07935447645605</v>
      </c>
      <c r="F189" s="294">
        <f t="shared" si="84"/>
        <v>161.80484135984955</v>
      </c>
      <c r="G189" s="294"/>
      <c r="H189" s="294"/>
      <c r="I189" s="294"/>
      <c r="J189" s="294"/>
      <c r="K189" s="294"/>
      <c r="L189" s="297"/>
      <c r="M189" s="297"/>
      <c r="N189" s="297"/>
    </row>
    <row r="190" spans="2:14" x14ac:dyDescent="0.25">
      <c r="B190" s="199" t="str">
        <f t="shared" si="81"/>
        <v>40 G</v>
      </c>
      <c r="C190" s="606" t="s">
        <v>21</v>
      </c>
      <c r="D190" s="199" t="s">
        <v>55</v>
      </c>
      <c r="E190" s="294">
        <f t="shared" ref="E190:M190" si="85">IF(E168=0,,E211*10^6/E168)</f>
        <v>230.50131104138549</v>
      </c>
      <c r="F190" s="294">
        <f t="shared" si="85"/>
        <v>217.08208497361207</v>
      </c>
      <c r="G190" s="294"/>
      <c r="H190" s="294"/>
      <c r="I190" s="294"/>
      <c r="J190" s="294"/>
      <c r="K190" s="294"/>
      <c r="L190" s="297"/>
      <c r="M190" s="297"/>
      <c r="N190" s="297"/>
    </row>
    <row r="191" spans="2:14" x14ac:dyDescent="0.25">
      <c r="B191" s="203" t="str">
        <f t="shared" si="81"/>
        <v>40 G PSM4</v>
      </c>
      <c r="C191" s="610" t="s">
        <v>22</v>
      </c>
      <c r="D191" s="203" t="s">
        <v>137</v>
      </c>
      <c r="E191" s="294">
        <f t="shared" ref="E191:M191" si="86">IF(E169=0,,E212*10^6/E169)</f>
        <v>0</v>
      </c>
      <c r="F191" s="294">
        <f t="shared" si="86"/>
        <v>0</v>
      </c>
      <c r="G191" s="294"/>
      <c r="H191" s="294"/>
      <c r="I191" s="294"/>
      <c r="J191" s="294"/>
      <c r="K191" s="294"/>
      <c r="L191" s="297"/>
      <c r="M191" s="297"/>
      <c r="N191" s="297"/>
    </row>
    <row r="192" spans="2:14" x14ac:dyDescent="0.25">
      <c r="B192" s="797" t="str">
        <f t="shared" si="81"/>
        <v xml:space="preserve">40 G </v>
      </c>
      <c r="C192" s="805" t="s">
        <v>23</v>
      </c>
      <c r="D192" s="603" t="s">
        <v>146</v>
      </c>
      <c r="E192" s="294">
        <f t="shared" ref="E192:M192" si="87">IF(E170=0,,E213*10^6/E170)</f>
        <v>0</v>
      </c>
      <c r="F192" s="294">
        <f t="shared" si="87"/>
        <v>0</v>
      </c>
      <c r="G192" s="294"/>
      <c r="H192" s="294"/>
      <c r="I192" s="294"/>
      <c r="J192" s="294"/>
      <c r="K192" s="294"/>
      <c r="L192" s="297"/>
      <c r="M192" s="297"/>
      <c r="N192" s="297"/>
    </row>
    <row r="193" spans="2:14" ht="25" x14ac:dyDescent="0.25">
      <c r="B193" s="798"/>
      <c r="C193" s="806"/>
      <c r="D193" s="605" t="s">
        <v>147</v>
      </c>
      <c r="E193" s="294">
        <f t="shared" ref="E193:M193" si="88">IF(E171=0,,E214*10^6/E171)</f>
        <v>0</v>
      </c>
      <c r="F193" s="294">
        <f t="shared" si="88"/>
        <v>0</v>
      </c>
      <c r="G193" s="294"/>
      <c r="H193" s="294"/>
      <c r="I193" s="294"/>
      <c r="J193" s="294"/>
      <c r="K193" s="294"/>
      <c r="L193" s="297"/>
      <c r="M193" s="297"/>
      <c r="N193" s="297"/>
    </row>
    <row r="194" spans="2:14" x14ac:dyDescent="0.25">
      <c r="B194" s="798"/>
      <c r="C194" s="610" t="s">
        <v>24</v>
      </c>
      <c r="D194" s="202" t="s">
        <v>20</v>
      </c>
      <c r="E194" s="294">
        <f t="shared" ref="E194:M194" si="89">IF(E172=0,,E215*10^6/E172)</f>
        <v>427.72742888770347</v>
      </c>
      <c r="F194" s="294">
        <f t="shared" si="89"/>
        <v>401.36672508917627</v>
      </c>
      <c r="G194" s="294"/>
      <c r="H194" s="294"/>
      <c r="I194" s="294"/>
      <c r="J194" s="294"/>
      <c r="K194" s="294"/>
      <c r="L194" s="297"/>
      <c r="M194" s="297"/>
      <c r="N194" s="297"/>
    </row>
    <row r="195" spans="2:14" x14ac:dyDescent="0.25">
      <c r="B195" s="799"/>
      <c r="C195" s="170" t="s">
        <v>25</v>
      </c>
      <c r="D195" s="203" t="str">
        <f t="shared" ref="D195:D202" si="90">D173</f>
        <v>All</v>
      </c>
      <c r="E195" s="294">
        <f t="shared" ref="E195:M195" si="91">IF(E173=0,,E216*10^6/E173)</f>
        <v>1673.0572324239708</v>
      </c>
      <c r="F195" s="294">
        <f t="shared" si="91"/>
        <v>1459.2330281290015</v>
      </c>
      <c r="G195" s="294"/>
      <c r="H195" s="294"/>
      <c r="I195" s="294"/>
      <c r="J195" s="294"/>
      <c r="K195" s="294"/>
      <c r="L195" s="297"/>
      <c r="M195" s="297"/>
      <c r="N195" s="297"/>
    </row>
    <row r="196" spans="2:14" x14ac:dyDescent="0.25">
      <c r="B196" s="604" t="str">
        <f t="shared" si="81"/>
        <v>50 G</v>
      </c>
      <c r="C196" s="610" t="str">
        <f>C174</f>
        <v>all</v>
      </c>
      <c r="D196" s="203" t="str">
        <f t="shared" si="90"/>
        <v>All</v>
      </c>
      <c r="E196" s="294">
        <f t="shared" ref="E196:M196" si="92">IF(E174=0,,E217*10^6/E174)</f>
        <v>0</v>
      </c>
      <c r="F196" s="294">
        <f t="shared" si="92"/>
        <v>0</v>
      </c>
      <c r="G196" s="294"/>
      <c r="H196" s="294"/>
      <c r="I196" s="294"/>
      <c r="J196" s="294"/>
      <c r="K196" s="294"/>
      <c r="L196" s="297"/>
      <c r="M196" s="297"/>
      <c r="N196" s="297"/>
    </row>
    <row r="197" spans="2:14" x14ac:dyDescent="0.25">
      <c r="B197" s="802" t="str">
        <f t="shared" si="81"/>
        <v>100 G</v>
      </c>
      <c r="C197" s="606" t="str">
        <f>C175</f>
        <v>100-300 m</v>
      </c>
      <c r="D197" s="203" t="str">
        <f t="shared" si="90"/>
        <v>All</v>
      </c>
      <c r="E197" s="294">
        <f t="shared" ref="E197:M197" si="93">IF(E175=0,,E218*10^6/E175)</f>
        <v>0</v>
      </c>
      <c r="F197" s="294">
        <f t="shared" si="93"/>
        <v>0</v>
      </c>
      <c r="G197" s="294"/>
      <c r="H197" s="294"/>
      <c r="I197" s="294"/>
      <c r="J197" s="294"/>
      <c r="K197" s="294"/>
      <c r="L197" s="297"/>
      <c r="M197" s="297"/>
      <c r="N197" s="297"/>
    </row>
    <row r="198" spans="2:14" x14ac:dyDescent="0.25">
      <c r="B198" s="803"/>
      <c r="C198" s="606" t="s">
        <v>22</v>
      </c>
      <c r="D198" s="203" t="str">
        <f t="shared" si="90"/>
        <v>QSFP28</v>
      </c>
      <c r="E198" s="294">
        <f t="shared" ref="E198:M198" si="94">IF(E176=0,,E219*10^6/E176)</f>
        <v>0</v>
      </c>
      <c r="F198" s="294">
        <f t="shared" si="94"/>
        <v>0</v>
      </c>
      <c r="G198" s="294"/>
      <c r="H198" s="294"/>
      <c r="I198" s="294"/>
      <c r="J198" s="294"/>
      <c r="K198" s="294"/>
      <c r="L198" s="297"/>
      <c r="M198" s="297"/>
      <c r="N198" s="297"/>
    </row>
    <row r="199" spans="2:14" x14ac:dyDescent="0.25">
      <c r="B199" s="803"/>
      <c r="C199" s="610" t="str">
        <f>C177</f>
        <v>2 km</v>
      </c>
      <c r="D199" s="605" t="str">
        <f t="shared" si="90"/>
        <v>QSFP28</v>
      </c>
      <c r="E199" s="294">
        <f t="shared" ref="E199:M199" si="95">IF(E177=0,,E220*10^6/E177)</f>
        <v>0</v>
      </c>
      <c r="F199" s="294">
        <f t="shared" si="95"/>
        <v>0</v>
      </c>
      <c r="G199" s="294"/>
      <c r="H199" s="294"/>
      <c r="I199" s="294"/>
      <c r="J199" s="294"/>
      <c r="K199" s="294"/>
      <c r="L199" s="297"/>
      <c r="M199" s="297"/>
      <c r="N199" s="297"/>
    </row>
    <row r="200" spans="2:14" x14ac:dyDescent="0.25">
      <c r="B200" s="803"/>
      <c r="C200" s="610" t="str">
        <f>C178</f>
        <v>10-20 km</v>
      </c>
      <c r="D200" s="608" t="str">
        <f t="shared" si="90"/>
        <v>All</v>
      </c>
      <c r="E200" s="294">
        <f t="shared" ref="E200:M200" si="96">IF(E178=0,,E221*10^6/E178)</f>
        <v>0</v>
      </c>
      <c r="F200" s="294">
        <f t="shared" si="96"/>
        <v>500</v>
      </c>
      <c r="G200" s="294"/>
      <c r="H200" s="294"/>
      <c r="I200" s="294"/>
      <c r="J200" s="294"/>
      <c r="K200" s="294"/>
      <c r="L200" s="297"/>
      <c r="M200" s="297"/>
      <c r="N200" s="297"/>
    </row>
    <row r="201" spans="2:14" x14ac:dyDescent="0.25">
      <c r="B201" s="804"/>
      <c r="C201" s="170" t="str">
        <f>C179</f>
        <v>40 km</v>
      </c>
      <c r="D201" s="199" t="str">
        <f t="shared" si="90"/>
        <v>All</v>
      </c>
      <c r="E201" s="294">
        <f t="shared" ref="E201:M201" si="97">IF(E179=0,,E222*10^6/E179)</f>
        <v>0</v>
      </c>
      <c r="F201" s="294">
        <f t="shared" si="97"/>
        <v>0</v>
      </c>
      <c r="G201" s="294"/>
      <c r="H201" s="294"/>
      <c r="I201" s="294"/>
      <c r="J201" s="294"/>
      <c r="K201" s="294"/>
      <c r="L201" s="297"/>
      <c r="M201" s="297"/>
      <c r="N201" s="297"/>
    </row>
    <row r="202" spans="2:14" x14ac:dyDescent="0.25">
      <c r="B202" s="201" t="str">
        <f t="shared" si="81"/>
        <v>200 G</v>
      </c>
      <c r="C202" s="203" t="str">
        <f>C180</f>
        <v>All</v>
      </c>
      <c r="D202" s="203" t="str">
        <f t="shared" si="90"/>
        <v>All</v>
      </c>
      <c r="E202" s="294">
        <f t="shared" ref="E202:M202" si="98">IF(E180=0,,E223*10^6/E180)</f>
        <v>0</v>
      </c>
      <c r="F202" s="294">
        <f t="shared" si="98"/>
        <v>0</v>
      </c>
      <c r="G202" s="294"/>
      <c r="H202" s="294"/>
      <c r="I202" s="294"/>
      <c r="J202" s="294"/>
      <c r="K202" s="294"/>
      <c r="L202" s="297"/>
      <c r="M202" s="297"/>
      <c r="N202" s="297"/>
    </row>
    <row r="203" spans="2:14" x14ac:dyDescent="0.25">
      <c r="B203" s="201" t="str">
        <f t="shared" si="81"/>
        <v>400 G</v>
      </c>
      <c r="C203" s="203" t="s">
        <v>20</v>
      </c>
      <c r="D203" s="203" t="s">
        <v>20</v>
      </c>
      <c r="E203" s="295">
        <f t="shared" ref="E203:M203" si="99">IF(E181=0,,E224*10^6/E181)</f>
        <v>0</v>
      </c>
      <c r="F203" s="295">
        <f t="shared" si="99"/>
        <v>0</v>
      </c>
      <c r="G203" s="295"/>
      <c r="H203" s="295"/>
      <c r="I203" s="295"/>
      <c r="J203" s="295"/>
      <c r="K203" s="295"/>
      <c r="L203" s="296"/>
      <c r="M203" s="296"/>
      <c r="N203" s="296"/>
    </row>
    <row r="204" spans="2:14" x14ac:dyDescent="0.25">
      <c r="B204" s="201" t="str">
        <f t="shared" si="81"/>
        <v>800 G</v>
      </c>
      <c r="C204" s="203" t="s">
        <v>20</v>
      </c>
      <c r="D204" s="203" t="s">
        <v>20</v>
      </c>
      <c r="E204" s="295">
        <f t="shared" ref="E204:M204" si="100">IF(E182=0,,E225*10^6/E182)</f>
        <v>0</v>
      </c>
      <c r="F204" s="295">
        <f t="shared" si="100"/>
        <v>0</v>
      </c>
      <c r="G204" s="295"/>
      <c r="H204" s="295"/>
      <c r="I204" s="295"/>
      <c r="J204" s="295"/>
      <c r="K204" s="295"/>
      <c r="L204" s="296"/>
      <c r="M204" s="296"/>
      <c r="N204" s="296"/>
    </row>
    <row r="205" spans="2:14" x14ac:dyDescent="0.25">
      <c r="C205" s="160"/>
      <c r="D205" s="207"/>
      <c r="E205" s="2"/>
      <c r="F205" s="2"/>
      <c r="G205" s="2"/>
      <c r="H205" s="2"/>
      <c r="I205" s="2"/>
      <c r="J205" s="2"/>
      <c r="K205" s="2"/>
      <c r="L205" s="2"/>
      <c r="M205" s="2"/>
      <c r="N205" s="2"/>
    </row>
    <row r="206" spans="2:14" ht="15.5" x14ac:dyDescent="0.35">
      <c r="B206" s="220" t="s">
        <v>1</v>
      </c>
      <c r="C206" s="273" t="str">
        <f>C163</f>
        <v>Global-Enterprise</v>
      </c>
      <c r="D206" s="198"/>
      <c r="E206" s="371"/>
      <c r="L206" s="684" t="str">
        <f>B206</f>
        <v>Sales ($M)</v>
      </c>
      <c r="N206" s="685" t="str">
        <f>C206</f>
        <v>Global-Enterprise</v>
      </c>
    </row>
    <row r="207" spans="2:14" x14ac:dyDescent="0.25">
      <c r="B207" s="228" t="s">
        <v>10</v>
      </c>
      <c r="C207" s="123" t="s">
        <v>11</v>
      </c>
      <c r="D207" s="228" t="s">
        <v>12</v>
      </c>
      <c r="E207" s="123">
        <v>2016</v>
      </c>
      <c r="F207" s="123">
        <v>2017</v>
      </c>
      <c r="G207" s="123">
        <v>2018</v>
      </c>
      <c r="H207" s="123">
        <v>2019</v>
      </c>
      <c r="I207" s="123">
        <v>2020</v>
      </c>
      <c r="J207" s="123">
        <v>2021</v>
      </c>
      <c r="K207" s="123">
        <v>2022</v>
      </c>
      <c r="L207" s="123">
        <v>2023</v>
      </c>
      <c r="M207" s="123">
        <v>2024</v>
      </c>
      <c r="N207" s="123">
        <v>2025</v>
      </c>
    </row>
    <row r="208" spans="2:14" x14ac:dyDescent="0.25">
      <c r="B208" s="203" t="str">
        <f t="shared" ref="B208:B225" si="101">B30</f>
        <v>1 G</v>
      </c>
      <c r="C208" s="167" t="str">
        <f>C165</f>
        <v>All</v>
      </c>
      <c r="D208" s="167" t="str">
        <f>D165</f>
        <v>All</v>
      </c>
      <c r="E208" s="700">
        <v>118.13281509467987</v>
      </c>
      <c r="F208" s="700">
        <v>86.000510011981774</v>
      </c>
      <c r="G208" s="700"/>
      <c r="H208" s="700"/>
      <c r="I208" s="700"/>
      <c r="J208" s="700"/>
      <c r="K208" s="700"/>
      <c r="L208" s="700"/>
      <c r="M208" s="700"/>
      <c r="N208" s="700"/>
    </row>
    <row r="209" spans="2:14" x14ac:dyDescent="0.25">
      <c r="B209" s="203" t="str">
        <f t="shared" si="101"/>
        <v>10 G</v>
      </c>
      <c r="C209" s="167" t="str">
        <f>C166</f>
        <v>All</v>
      </c>
      <c r="D209" s="167" t="str">
        <f>D166</f>
        <v>All</v>
      </c>
      <c r="E209" s="700">
        <v>265.04800520126406</v>
      </c>
      <c r="F209" s="700">
        <v>235.56693181726268</v>
      </c>
      <c r="G209" s="700"/>
      <c r="H209" s="700"/>
      <c r="I209" s="700"/>
      <c r="J209" s="700"/>
      <c r="K209" s="700"/>
      <c r="L209" s="700"/>
      <c r="M209" s="700"/>
      <c r="N209" s="700"/>
    </row>
    <row r="210" spans="2:14" ht="13" x14ac:dyDescent="0.3">
      <c r="B210" s="203" t="str">
        <f t="shared" si="101"/>
        <v>25 G</v>
      </c>
      <c r="C210" s="167" t="s">
        <v>20</v>
      </c>
      <c r="D210" s="282" t="s">
        <v>154</v>
      </c>
      <c r="E210" s="700">
        <v>2.7898117000000004</v>
      </c>
      <c r="F210" s="700">
        <v>17.489226414839962</v>
      </c>
      <c r="G210" s="700"/>
      <c r="H210" s="700"/>
      <c r="I210" s="700"/>
      <c r="J210" s="700"/>
      <c r="K210" s="700"/>
      <c r="L210" s="700"/>
      <c r="M210" s="700"/>
      <c r="N210" s="700"/>
    </row>
    <row r="211" spans="2:14" x14ac:dyDescent="0.25">
      <c r="B211" s="203" t="str">
        <f t="shared" si="101"/>
        <v>40 G</v>
      </c>
      <c r="C211" s="264" t="str">
        <f>C189</f>
        <v>100-300 m</v>
      </c>
      <c r="D211" s="203" t="s">
        <v>137</v>
      </c>
      <c r="E211" s="700">
        <v>162.6911445518889</v>
      </c>
      <c r="F211" s="700">
        <v>190.28410478733406</v>
      </c>
      <c r="G211" s="700"/>
      <c r="H211" s="700"/>
      <c r="I211" s="700"/>
      <c r="J211" s="700"/>
      <c r="K211" s="700"/>
      <c r="L211" s="700"/>
      <c r="M211" s="700"/>
      <c r="N211" s="700"/>
    </row>
    <row r="212" spans="2:14" x14ac:dyDescent="0.25">
      <c r="B212" s="203" t="str">
        <f t="shared" si="101"/>
        <v>40 G PSM4</v>
      </c>
      <c r="C212" s="167" t="s">
        <v>22</v>
      </c>
      <c r="D212" s="203" t="s">
        <v>137</v>
      </c>
      <c r="E212" s="700">
        <v>0</v>
      </c>
      <c r="F212" s="700">
        <v>0</v>
      </c>
      <c r="G212" s="700"/>
      <c r="H212" s="700"/>
      <c r="I212" s="700"/>
      <c r="J212" s="700"/>
      <c r="K212" s="700"/>
      <c r="L212" s="700"/>
      <c r="M212" s="700"/>
      <c r="N212" s="700"/>
    </row>
    <row r="213" spans="2:14" x14ac:dyDescent="0.25">
      <c r="B213" s="807" t="str">
        <f t="shared" si="101"/>
        <v xml:space="preserve">40 G </v>
      </c>
      <c r="C213" s="820" t="s">
        <v>23</v>
      </c>
      <c r="D213" s="270" t="s">
        <v>146</v>
      </c>
      <c r="E213" s="700">
        <v>0</v>
      </c>
      <c r="F213" s="700">
        <v>0</v>
      </c>
      <c r="G213" s="700"/>
      <c r="H213" s="700"/>
      <c r="I213" s="700"/>
      <c r="J213" s="700"/>
      <c r="K213" s="700"/>
      <c r="L213" s="700"/>
      <c r="M213" s="700"/>
      <c r="N213" s="700"/>
    </row>
    <row r="214" spans="2:14" ht="25" x14ac:dyDescent="0.25">
      <c r="B214" s="807"/>
      <c r="C214" s="820"/>
      <c r="D214" s="270" t="s">
        <v>147</v>
      </c>
      <c r="E214" s="700">
        <v>0</v>
      </c>
      <c r="F214" s="700">
        <v>0</v>
      </c>
      <c r="G214" s="700"/>
      <c r="H214" s="700"/>
      <c r="I214" s="700"/>
      <c r="J214" s="700"/>
      <c r="K214" s="700"/>
      <c r="L214" s="700"/>
      <c r="M214" s="700"/>
      <c r="N214" s="700"/>
    </row>
    <row r="215" spans="2:14" x14ac:dyDescent="0.25">
      <c r="B215" s="807"/>
      <c r="C215" s="167" t="s">
        <v>24</v>
      </c>
      <c r="D215" s="203" t="str">
        <f t="shared" ref="D215:D225" si="102">D172</f>
        <v>All</v>
      </c>
      <c r="E215" s="700">
        <v>27.993134856470409</v>
      </c>
      <c r="F215" s="700">
        <v>34.064636145078524</v>
      </c>
      <c r="G215" s="700"/>
      <c r="H215" s="700"/>
      <c r="I215" s="700"/>
      <c r="J215" s="700"/>
      <c r="K215" s="700"/>
      <c r="L215" s="700"/>
      <c r="M215" s="700"/>
      <c r="N215" s="700"/>
    </row>
    <row r="216" spans="2:14" x14ac:dyDescent="0.25">
      <c r="B216" s="807"/>
      <c r="C216" s="167" t="s">
        <v>25</v>
      </c>
      <c r="D216" s="203" t="str">
        <f t="shared" si="102"/>
        <v>All</v>
      </c>
      <c r="E216" s="700">
        <v>3.6845739429673117</v>
      </c>
      <c r="F216" s="700">
        <v>4.1218079805743022</v>
      </c>
      <c r="G216" s="700"/>
      <c r="H216" s="700"/>
      <c r="I216" s="700"/>
      <c r="J216" s="700"/>
      <c r="K216" s="700"/>
      <c r="L216" s="700"/>
      <c r="M216" s="700"/>
      <c r="N216" s="700"/>
    </row>
    <row r="217" spans="2:14" x14ac:dyDescent="0.25">
      <c r="B217" s="270" t="str">
        <f t="shared" si="101"/>
        <v>50 G</v>
      </c>
      <c r="C217" s="167" t="str">
        <f t="shared" ref="C217:C225" si="103">C174</f>
        <v>all</v>
      </c>
      <c r="D217" s="203" t="str">
        <f t="shared" si="102"/>
        <v>All</v>
      </c>
      <c r="E217" s="700">
        <v>0</v>
      </c>
      <c r="F217" s="700">
        <v>0</v>
      </c>
      <c r="G217" s="700"/>
      <c r="H217" s="700"/>
      <c r="I217" s="700"/>
      <c r="J217" s="700"/>
      <c r="K217" s="700"/>
      <c r="L217" s="700"/>
      <c r="M217" s="700"/>
      <c r="N217" s="700"/>
    </row>
    <row r="218" spans="2:14" x14ac:dyDescent="0.25">
      <c r="B218" s="809" t="str">
        <f t="shared" si="101"/>
        <v>100 G</v>
      </c>
      <c r="C218" s="264" t="str">
        <f t="shared" si="103"/>
        <v>100-300 m</v>
      </c>
      <c r="D218" s="203" t="str">
        <f t="shared" si="102"/>
        <v>All</v>
      </c>
      <c r="E218" s="700">
        <v>0</v>
      </c>
      <c r="F218" s="700">
        <v>0</v>
      </c>
      <c r="G218" s="700"/>
      <c r="H218" s="700"/>
      <c r="I218" s="700"/>
      <c r="J218" s="700"/>
      <c r="K218" s="700"/>
      <c r="L218" s="700"/>
      <c r="M218" s="700"/>
      <c r="N218" s="700"/>
    </row>
    <row r="219" spans="2:14" x14ac:dyDescent="0.25">
      <c r="B219" s="809"/>
      <c r="C219" s="167" t="str">
        <f t="shared" si="103"/>
        <v>500 m</v>
      </c>
      <c r="D219" s="270" t="str">
        <f t="shared" si="102"/>
        <v>QSFP28</v>
      </c>
      <c r="E219" s="700">
        <v>0</v>
      </c>
      <c r="F219" s="700">
        <v>0</v>
      </c>
      <c r="G219" s="700"/>
      <c r="H219" s="700"/>
      <c r="I219" s="700"/>
      <c r="J219" s="700"/>
      <c r="K219" s="700"/>
      <c r="L219" s="700"/>
      <c r="M219" s="700"/>
      <c r="N219" s="700"/>
    </row>
    <row r="220" spans="2:14" x14ac:dyDescent="0.25">
      <c r="B220" s="809"/>
      <c r="C220" s="167" t="str">
        <f t="shared" si="103"/>
        <v>2 km</v>
      </c>
      <c r="D220" s="270" t="str">
        <f t="shared" si="102"/>
        <v>QSFP28</v>
      </c>
      <c r="E220" s="700">
        <v>0</v>
      </c>
      <c r="F220" s="700">
        <v>0</v>
      </c>
      <c r="G220" s="700"/>
      <c r="H220" s="700"/>
      <c r="I220" s="700"/>
      <c r="J220" s="700"/>
      <c r="K220" s="700"/>
      <c r="L220" s="700"/>
      <c r="M220" s="700"/>
      <c r="N220" s="700"/>
    </row>
    <row r="221" spans="2:14" x14ac:dyDescent="0.25">
      <c r="B221" s="809"/>
      <c r="C221" s="167" t="str">
        <f t="shared" si="103"/>
        <v>10-20 km</v>
      </c>
      <c r="D221" s="203" t="str">
        <f t="shared" si="102"/>
        <v>All</v>
      </c>
      <c r="E221" s="700">
        <v>0</v>
      </c>
      <c r="F221" s="700">
        <v>2.2499999999999996</v>
      </c>
      <c r="G221" s="700"/>
      <c r="H221" s="700"/>
      <c r="I221" s="700"/>
      <c r="J221" s="700"/>
      <c r="K221" s="700"/>
      <c r="L221" s="700"/>
      <c r="M221" s="700"/>
      <c r="N221" s="700"/>
    </row>
    <row r="222" spans="2:14" x14ac:dyDescent="0.25">
      <c r="B222" s="809"/>
      <c r="C222" s="167" t="str">
        <f t="shared" si="103"/>
        <v>40 km</v>
      </c>
      <c r="D222" s="203" t="str">
        <f t="shared" si="102"/>
        <v>All</v>
      </c>
      <c r="E222" s="700">
        <v>0</v>
      </c>
      <c r="F222" s="700">
        <v>0</v>
      </c>
      <c r="G222" s="700"/>
      <c r="H222" s="700"/>
      <c r="I222" s="700"/>
      <c r="J222" s="700"/>
      <c r="K222" s="700"/>
      <c r="L222" s="700"/>
      <c r="M222" s="700"/>
      <c r="N222" s="700"/>
    </row>
    <row r="223" spans="2:14" x14ac:dyDescent="0.25">
      <c r="B223" s="203" t="str">
        <f t="shared" si="101"/>
        <v>200 G</v>
      </c>
      <c r="C223" s="203" t="str">
        <f t="shared" si="103"/>
        <v>All</v>
      </c>
      <c r="D223" s="203" t="str">
        <f t="shared" si="102"/>
        <v>All</v>
      </c>
      <c r="E223" s="700">
        <v>0</v>
      </c>
      <c r="F223" s="700">
        <v>0</v>
      </c>
      <c r="G223" s="700"/>
      <c r="H223" s="700"/>
      <c r="I223" s="700"/>
      <c r="J223" s="700"/>
      <c r="K223" s="700"/>
      <c r="L223" s="700"/>
      <c r="M223" s="700"/>
      <c r="N223" s="700"/>
    </row>
    <row r="224" spans="2:14" x14ac:dyDescent="0.25">
      <c r="B224" s="203" t="str">
        <f t="shared" si="101"/>
        <v>400 G</v>
      </c>
      <c r="C224" s="203" t="str">
        <f t="shared" si="103"/>
        <v>All</v>
      </c>
      <c r="D224" s="203" t="str">
        <f t="shared" si="102"/>
        <v>All</v>
      </c>
      <c r="E224" s="700">
        <v>0</v>
      </c>
      <c r="F224" s="700">
        <v>0</v>
      </c>
      <c r="G224" s="700"/>
      <c r="H224" s="700"/>
      <c r="I224" s="700"/>
      <c r="J224" s="700"/>
      <c r="K224" s="700"/>
      <c r="L224" s="700"/>
      <c r="M224" s="700"/>
      <c r="N224" s="700"/>
    </row>
    <row r="225" spans="2:15" x14ac:dyDescent="0.25">
      <c r="B225" s="203" t="str">
        <f t="shared" si="101"/>
        <v>800 G</v>
      </c>
      <c r="C225" s="203" t="str">
        <f t="shared" si="103"/>
        <v>All</v>
      </c>
      <c r="D225" s="203" t="str">
        <f t="shared" si="102"/>
        <v>All</v>
      </c>
      <c r="E225" s="700">
        <v>0</v>
      </c>
      <c r="F225" s="700">
        <v>0</v>
      </c>
      <c r="G225" s="700"/>
      <c r="H225" s="700"/>
      <c r="I225" s="700"/>
      <c r="J225" s="700"/>
      <c r="K225" s="700"/>
      <c r="L225" s="700"/>
      <c r="M225" s="700"/>
      <c r="N225" s="700"/>
    </row>
    <row r="226" spans="2:15" x14ac:dyDescent="0.25">
      <c r="B226" s="372" t="s">
        <v>9</v>
      </c>
      <c r="C226" s="203" t="str">
        <f>C183</f>
        <v>All</v>
      </c>
      <c r="D226" s="203" t="str">
        <f>D183</f>
        <v>All</v>
      </c>
      <c r="E226" s="416">
        <f>SUM(E208:E225)</f>
        <v>580.33948534727051</v>
      </c>
      <c r="F226" s="416">
        <f t="shared" ref="F226:N226" si="104">SUM(F208:F225)</f>
        <v>569.77721715707128</v>
      </c>
      <c r="G226" s="416"/>
      <c r="H226" s="416"/>
      <c r="I226" s="416"/>
      <c r="J226" s="416"/>
      <c r="K226" s="416"/>
      <c r="L226" s="416"/>
      <c r="M226" s="416"/>
      <c r="N226" s="416"/>
    </row>
    <row r="227" spans="2:15" x14ac:dyDescent="0.25">
      <c r="C227" s="160"/>
      <c r="E227" s="8"/>
      <c r="F227" s="8">
        <f t="shared" ref="F227:N227" si="105">IF(E226=0,"",F226/E226-1)</f>
        <v>-1.8200154318086526E-2</v>
      </c>
      <c r="G227" s="8"/>
      <c r="H227" s="8"/>
      <c r="I227" s="8"/>
      <c r="J227" s="8"/>
      <c r="K227" s="8"/>
      <c r="L227" s="8"/>
      <c r="M227" s="8"/>
      <c r="N227" s="8"/>
    </row>
    <row r="228" spans="2:15" x14ac:dyDescent="0.25">
      <c r="C228" s="160"/>
      <c r="E228" s="771"/>
      <c r="F228" s="771"/>
      <c r="G228" s="771"/>
      <c r="H228" s="771"/>
      <c r="I228" s="771"/>
      <c r="J228" s="771"/>
      <c r="K228" s="771"/>
      <c r="L228" s="771"/>
      <c r="M228" s="771"/>
      <c r="N228" s="771"/>
      <c r="O228" s="771"/>
    </row>
  </sheetData>
  <mergeCells count="30">
    <mergeCell ref="B35:B38"/>
    <mergeCell ref="C35:C36"/>
    <mergeCell ref="B13:B16"/>
    <mergeCell ref="C13:C14"/>
    <mergeCell ref="B40:B44"/>
    <mergeCell ref="B18:B22"/>
    <mergeCell ref="B129:B133"/>
    <mergeCell ref="B57:B60"/>
    <mergeCell ref="C57:C58"/>
    <mergeCell ref="B62:B66"/>
    <mergeCell ref="B78:B81"/>
    <mergeCell ref="C78:C79"/>
    <mergeCell ref="B83:B87"/>
    <mergeCell ref="B102:B105"/>
    <mergeCell ref="C102:C103"/>
    <mergeCell ref="B107:B111"/>
    <mergeCell ref="B124:B127"/>
    <mergeCell ref="C124:C125"/>
    <mergeCell ref="B218:B222"/>
    <mergeCell ref="B145:B148"/>
    <mergeCell ref="C145:C146"/>
    <mergeCell ref="B150:B154"/>
    <mergeCell ref="B170:B173"/>
    <mergeCell ref="C170:C171"/>
    <mergeCell ref="B175:B179"/>
    <mergeCell ref="B192:B195"/>
    <mergeCell ref="C192:C193"/>
    <mergeCell ref="B197:B201"/>
    <mergeCell ref="B213:B216"/>
    <mergeCell ref="C213:C214"/>
  </mergeCells>
  <printOptions headings="1"/>
  <pageMargins left="0.7" right="0.7" top="0.75" bottom="0.75" header="0.3" footer="0.3"/>
  <pageSetup scale="1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B214"/>
  <sheetViews>
    <sheetView showGridLines="0" zoomScale="70" zoomScaleNormal="70" zoomScalePageLayoutView="70" workbookViewId="0">
      <selection activeCell="AA35" sqref="AA35"/>
    </sheetView>
  </sheetViews>
  <sheetFormatPr defaultColWidth="8.6328125" defaultRowHeight="12.5" x14ac:dyDescent="0.25"/>
  <cols>
    <col min="1" max="1" width="4.453125" style="56" customWidth="1"/>
    <col min="2" max="2" width="13" customWidth="1"/>
    <col min="3" max="3" width="9.453125" style="160" customWidth="1"/>
    <col min="4" max="4" width="11.36328125" style="164" customWidth="1"/>
    <col min="5" max="5" width="11.453125" customWidth="1"/>
    <col min="6" max="7" width="11.453125" style="16" customWidth="1"/>
    <col min="8" max="14" width="11.453125" style="160" customWidth="1"/>
    <col min="15" max="15" width="14.81640625" customWidth="1"/>
    <col min="16" max="16" width="14" bestFit="1" customWidth="1"/>
    <col min="17" max="17" width="10.1796875" customWidth="1"/>
    <col min="18" max="18" width="12.453125" customWidth="1"/>
    <col min="19" max="19" width="8.6328125" customWidth="1"/>
    <col min="28" max="28" width="8.6328125" style="160"/>
  </cols>
  <sheetData>
    <row r="1" spans="1:28" s="160" customFormat="1" x14ac:dyDescent="0.25">
      <c r="A1" s="56"/>
      <c r="D1" s="164"/>
    </row>
    <row r="2" spans="1:28" s="160" customFormat="1" ht="18" x14ac:dyDescent="0.4">
      <c r="A2" s="56"/>
      <c r="B2" s="76" t="str">
        <f>Introduction!B2</f>
        <v>LightCounting Optical Components Market Forecast for China</v>
      </c>
      <c r="D2" s="164"/>
    </row>
    <row r="3" spans="1:28" ht="15.5" x14ac:dyDescent="0.35">
      <c r="B3" s="215" t="str">
        <f>Introduction!B3</f>
        <v>January 25, 2021 - sample only - for illustrative purposes</v>
      </c>
    </row>
    <row r="4" spans="1:28" s="16" customFormat="1" ht="15.5" x14ac:dyDescent="0.35">
      <c r="A4" s="56"/>
      <c r="B4" s="217" t="s">
        <v>348</v>
      </c>
      <c r="C4" s="160"/>
      <c r="D4" s="164"/>
      <c r="H4" s="160"/>
      <c r="I4" s="160"/>
      <c r="J4" s="160"/>
      <c r="K4" s="160"/>
      <c r="L4" s="160"/>
      <c r="M4" s="160"/>
      <c r="N4" s="160"/>
      <c r="AB4" s="160"/>
    </row>
    <row r="5" spans="1:28" s="160" customFormat="1" x14ac:dyDescent="0.25">
      <c r="A5" s="56"/>
      <c r="D5" s="164"/>
    </row>
    <row r="6" spans="1:28" s="16" customFormat="1" ht="14.5" x14ac:dyDescent="0.35">
      <c r="A6" s="56"/>
      <c r="B6" s="221" t="s">
        <v>355</v>
      </c>
      <c r="D6" s="164"/>
      <c r="E6" s="572"/>
      <c r="H6" s="160"/>
      <c r="I6" s="160"/>
      <c r="J6" s="220"/>
      <c r="K6" s="160"/>
      <c r="L6" s="46"/>
      <c r="N6" s="361" t="str">
        <f>B6</f>
        <v>Units consumed in China</v>
      </c>
      <c r="O6" s="160"/>
      <c r="P6" s="273" t="s">
        <v>246</v>
      </c>
      <c r="AA6" s="636" t="s">
        <v>245</v>
      </c>
      <c r="AB6" s="636" t="s">
        <v>245</v>
      </c>
    </row>
    <row r="7" spans="1:28" ht="17" customHeight="1" x14ac:dyDescent="0.25">
      <c r="A7" s="99"/>
      <c r="B7" s="97" t="s">
        <v>10</v>
      </c>
      <c r="C7" s="97" t="s">
        <v>11</v>
      </c>
      <c r="D7" s="196" t="s">
        <v>158</v>
      </c>
      <c r="E7" s="229">
        <v>2016</v>
      </c>
      <c r="F7" s="229">
        <v>2017</v>
      </c>
      <c r="G7" s="229">
        <v>2018</v>
      </c>
      <c r="H7" s="229">
        <v>2019</v>
      </c>
      <c r="I7" s="229">
        <v>2020</v>
      </c>
      <c r="J7" s="229">
        <v>2021</v>
      </c>
      <c r="K7" s="229">
        <v>2022</v>
      </c>
      <c r="L7" s="229">
        <v>2023</v>
      </c>
      <c r="M7" s="229">
        <v>2024</v>
      </c>
      <c r="N7" s="229">
        <v>2025</v>
      </c>
      <c r="O7" s="160"/>
      <c r="P7" s="97" t="str">
        <f>B7</f>
        <v>Data Rate</v>
      </c>
      <c r="Q7" s="97" t="str">
        <f>C7</f>
        <v>Reach</v>
      </c>
      <c r="R7" s="196" t="str">
        <f>D7</f>
        <v>Wavelengths</v>
      </c>
      <c r="S7" s="229">
        <v>2016</v>
      </c>
      <c r="T7" s="229">
        <v>2017</v>
      </c>
      <c r="U7" s="229">
        <v>2018</v>
      </c>
      <c r="V7" s="229">
        <v>2019</v>
      </c>
      <c r="W7" s="229">
        <v>2020</v>
      </c>
      <c r="X7" s="229">
        <v>2021</v>
      </c>
      <c r="Y7" s="229">
        <v>2022</v>
      </c>
      <c r="Z7" s="229">
        <v>2023</v>
      </c>
      <c r="AA7" s="229">
        <v>2024</v>
      </c>
      <c r="AB7" s="229">
        <v>2025</v>
      </c>
    </row>
    <row r="8" spans="1:28" ht="13" customHeight="1" x14ac:dyDescent="0.25">
      <c r="A8" s="823" t="s">
        <v>412</v>
      </c>
      <c r="B8" s="255" t="s">
        <v>487</v>
      </c>
      <c r="C8" s="259" t="s">
        <v>60</v>
      </c>
      <c r="D8" s="256" t="s">
        <v>60</v>
      </c>
      <c r="E8" s="720">
        <v>6856508.8199999994</v>
      </c>
      <c r="F8" s="720">
        <v>4551141.9196715504</v>
      </c>
      <c r="G8" s="720"/>
      <c r="H8" s="720"/>
      <c r="I8" s="720"/>
      <c r="J8" s="720"/>
      <c r="K8" s="720"/>
      <c r="L8" s="720"/>
      <c r="M8" s="720"/>
      <c r="N8" s="720"/>
      <c r="O8" s="160"/>
      <c r="P8" s="255" t="str">
        <f>B8</f>
        <v>1,3,6,12 Gbps</v>
      </c>
      <c r="Q8" s="259" t="str">
        <f>C8</f>
        <v>all</v>
      </c>
      <c r="R8" s="256" t="str">
        <f>D8</f>
        <v>all</v>
      </c>
      <c r="S8" s="443">
        <f>IF(E8=0,"",E8/E145)</f>
        <v>0.6</v>
      </c>
      <c r="T8" s="443">
        <f>IF(F8=0,"",F8/F145)</f>
        <v>0.55999999999999994</v>
      </c>
      <c r="U8" s="443"/>
      <c r="V8" s="443"/>
      <c r="W8" s="443"/>
      <c r="X8" s="443"/>
      <c r="Y8" s="443"/>
      <c r="Z8" s="443"/>
      <c r="AA8" s="443"/>
      <c r="AB8" s="443"/>
    </row>
    <row r="9" spans="1:28" s="160" customFormat="1" x14ac:dyDescent="0.25">
      <c r="A9" s="821"/>
      <c r="B9" s="255" t="s">
        <v>68</v>
      </c>
      <c r="C9" s="259" t="s">
        <v>60</v>
      </c>
      <c r="D9" s="256" t="s">
        <v>488</v>
      </c>
      <c r="E9" s="720">
        <v>4533611.8415123792</v>
      </c>
      <c r="F9" s="720">
        <v>2642648.6253008307</v>
      </c>
      <c r="G9" s="720"/>
      <c r="H9" s="720"/>
      <c r="I9" s="720"/>
      <c r="J9" s="720"/>
      <c r="K9" s="720"/>
      <c r="L9" s="720"/>
      <c r="M9" s="720"/>
      <c r="N9" s="720"/>
      <c r="P9" s="255" t="str">
        <f>B9</f>
        <v>10 Gbps</v>
      </c>
      <c r="Q9" s="259" t="str">
        <f>C9</f>
        <v>all</v>
      </c>
      <c r="R9" s="256" t="str">
        <f>D9</f>
        <v>grey</v>
      </c>
      <c r="S9" s="443">
        <f>IF(E9=0,"",E9/E146)</f>
        <v>0.6</v>
      </c>
      <c r="T9" s="443">
        <f>IF(F9=0,"",F9/F146)</f>
        <v>0.55999999999999994</v>
      </c>
      <c r="U9" s="443"/>
      <c r="V9" s="443"/>
      <c r="W9" s="443"/>
      <c r="X9" s="443"/>
      <c r="Y9" s="443"/>
      <c r="Z9" s="443"/>
      <c r="AA9" s="443"/>
      <c r="AB9" s="443"/>
    </row>
    <row r="10" spans="1:28" s="160" customFormat="1" x14ac:dyDescent="0.25">
      <c r="A10" s="821"/>
      <c r="B10" s="245" t="s">
        <v>489</v>
      </c>
      <c r="C10" s="259" t="s">
        <v>490</v>
      </c>
      <c r="D10" s="256" t="s">
        <v>491</v>
      </c>
      <c r="E10" s="720">
        <v>0</v>
      </c>
      <c r="F10" s="720">
        <v>0</v>
      </c>
      <c r="G10" s="720"/>
      <c r="H10" s="720"/>
      <c r="I10" s="720"/>
      <c r="J10" s="720"/>
      <c r="K10" s="720"/>
      <c r="L10" s="720"/>
      <c r="M10" s="720"/>
      <c r="N10" s="720"/>
      <c r="P10" s="245" t="str">
        <f>B10</f>
        <v>25 Gbps</v>
      </c>
      <c r="Q10" s="259" t="str">
        <f>C10</f>
        <v>≤ 0.5 km</v>
      </c>
      <c r="R10" s="256" t="str">
        <f>D10</f>
        <v>grey MMF</v>
      </c>
      <c r="S10" s="443" t="str">
        <f>IF(E10=0,"",E10/E147)</f>
        <v/>
      </c>
      <c r="T10" s="443" t="str">
        <f>IF(F10=0,"",F10/F147)</f>
        <v/>
      </c>
      <c r="U10" s="443"/>
      <c r="V10" s="443"/>
      <c r="W10" s="443"/>
      <c r="X10" s="443"/>
      <c r="Y10" s="443"/>
      <c r="Z10" s="443"/>
      <c r="AA10" s="443"/>
      <c r="AB10" s="443"/>
    </row>
    <row r="11" spans="1:28" s="160" customFormat="1" x14ac:dyDescent="0.25">
      <c r="A11" s="821"/>
      <c r="B11" s="245" t="s">
        <v>489</v>
      </c>
      <c r="C11" s="259" t="s">
        <v>492</v>
      </c>
      <c r="D11" s="256" t="s">
        <v>493</v>
      </c>
      <c r="E11" s="720">
        <v>0</v>
      </c>
      <c r="F11" s="720">
        <v>0</v>
      </c>
      <c r="G11" s="720"/>
      <c r="H11" s="720"/>
      <c r="I11" s="720"/>
      <c r="J11" s="720"/>
      <c r="K11" s="720"/>
      <c r="L11" s="720"/>
      <c r="M11" s="720"/>
      <c r="N11" s="720"/>
      <c r="P11" s="245" t="str">
        <f>B11</f>
        <v>25 Gbps</v>
      </c>
      <c r="Q11" s="259" t="str">
        <f>C11</f>
        <v>300 m</v>
      </c>
      <c r="R11" s="256" t="str">
        <f>D11</f>
        <v>grey SMF</v>
      </c>
      <c r="S11" s="443" t="str">
        <f>IF(E11=0,"",E11/E148)</f>
        <v/>
      </c>
      <c r="T11" s="443" t="str">
        <f>IF(F11=0,"",F11/F148)</f>
        <v/>
      </c>
      <c r="U11" s="443"/>
      <c r="V11" s="443"/>
      <c r="W11" s="443"/>
      <c r="X11" s="443"/>
      <c r="Y11" s="443"/>
      <c r="Z11" s="443"/>
      <c r="AA11" s="443"/>
      <c r="AB11" s="443"/>
    </row>
    <row r="12" spans="1:28" ht="13.5" customHeight="1" x14ac:dyDescent="0.25">
      <c r="A12" s="821"/>
      <c r="B12" s="161" t="s">
        <v>489</v>
      </c>
      <c r="C12" s="259" t="s">
        <v>512</v>
      </c>
      <c r="D12" s="256" t="s">
        <v>513</v>
      </c>
      <c r="E12" s="720">
        <v>0</v>
      </c>
      <c r="F12" s="720">
        <v>0</v>
      </c>
      <c r="G12" s="720"/>
      <c r="H12" s="720"/>
      <c r="I12" s="720"/>
      <c r="J12" s="720"/>
      <c r="K12" s="720"/>
      <c r="L12" s="720"/>
      <c r="M12" s="720"/>
      <c r="N12" s="720"/>
      <c r="O12" s="160"/>
      <c r="P12" s="161" t="str">
        <f>B12</f>
        <v>25 Gbps</v>
      </c>
      <c r="Q12" s="259" t="str">
        <f>C12</f>
        <v>10, 20 km</v>
      </c>
      <c r="R12" s="256" t="str">
        <f>D12</f>
        <v>duplex</v>
      </c>
      <c r="S12" s="443" t="str">
        <f>IF(E12=0,"",E12/E149)</f>
        <v/>
      </c>
      <c r="T12" s="443" t="str">
        <f>IF(F12=0,"",F12/F149)</f>
        <v/>
      </c>
      <c r="U12" s="443"/>
      <c r="V12" s="443"/>
      <c r="W12" s="443"/>
      <c r="X12" s="443"/>
      <c r="Y12" s="443"/>
      <c r="Z12" s="443"/>
      <c r="AA12" s="443"/>
      <c r="AB12" s="443"/>
    </row>
    <row r="13" spans="1:28" s="160" customFormat="1" x14ac:dyDescent="0.25">
      <c r="A13" s="821"/>
      <c r="B13" s="246" t="s">
        <v>489</v>
      </c>
      <c r="C13" s="259" t="s">
        <v>512</v>
      </c>
      <c r="D13" s="256" t="s">
        <v>514</v>
      </c>
      <c r="E13" s="720">
        <v>0</v>
      </c>
      <c r="F13" s="720">
        <v>0</v>
      </c>
      <c r="G13" s="720"/>
      <c r="H13" s="720"/>
      <c r="I13" s="720"/>
      <c r="J13" s="720"/>
      <c r="K13" s="720"/>
      <c r="L13" s="720"/>
      <c r="M13" s="720"/>
      <c r="N13" s="720"/>
      <c r="P13" s="246" t="str">
        <f>B13</f>
        <v>25 Gbps</v>
      </c>
      <c r="Q13" s="259" t="str">
        <f>C13</f>
        <v>10, 20 km</v>
      </c>
      <c r="R13" s="256" t="str">
        <f>D13</f>
        <v>Bi-Di</v>
      </c>
      <c r="S13" s="443" t="str">
        <f>IF(E13=0,"",E13/E150)</f>
        <v/>
      </c>
      <c r="T13" s="443" t="str">
        <f>IF(F13=0,"",F13/F150)</f>
        <v/>
      </c>
      <c r="U13" s="443"/>
      <c r="V13" s="443"/>
      <c r="W13" s="443"/>
      <c r="X13" s="443"/>
      <c r="Y13" s="443"/>
      <c r="Z13" s="443"/>
      <c r="AA13" s="443"/>
      <c r="AB13" s="443"/>
    </row>
    <row r="14" spans="1:28" s="160" customFormat="1" x14ac:dyDescent="0.25">
      <c r="A14" s="821"/>
      <c r="B14" s="246" t="s">
        <v>494</v>
      </c>
      <c r="C14" s="259" t="s">
        <v>60</v>
      </c>
      <c r="D14" s="256" t="s">
        <v>488</v>
      </c>
      <c r="E14" s="720">
        <v>0</v>
      </c>
      <c r="F14" s="720">
        <v>0</v>
      </c>
      <c r="G14" s="720"/>
      <c r="H14" s="720"/>
      <c r="I14" s="720"/>
      <c r="J14" s="720"/>
      <c r="K14" s="720"/>
      <c r="L14" s="720"/>
      <c r="M14" s="720"/>
      <c r="N14" s="720"/>
      <c r="P14" s="246" t="str">
        <f>B14</f>
        <v>50 Gbps</v>
      </c>
      <c r="Q14" s="259" t="str">
        <f>C14</f>
        <v>all</v>
      </c>
      <c r="R14" s="256" t="str">
        <f>D14</f>
        <v>grey</v>
      </c>
      <c r="S14" s="443" t="str">
        <f>IF(E14=0,"",E14/E151)</f>
        <v/>
      </c>
      <c r="T14" s="443" t="str">
        <f>IF(F14=0,"",F14/F151)</f>
        <v/>
      </c>
      <c r="U14" s="443"/>
      <c r="V14" s="443"/>
      <c r="W14" s="443"/>
      <c r="X14" s="443"/>
      <c r="Y14" s="443"/>
      <c r="Z14" s="443"/>
      <c r="AA14" s="443"/>
      <c r="AB14" s="443"/>
    </row>
    <row r="15" spans="1:28" s="160" customFormat="1" x14ac:dyDescent="0.25">
      <c r="A15" s="821"/>
      <c r="B15" s="161" t="s">
        <v>26</v>
      </c>
      <c r="C15" s="161" t="s">
        <v>60</v>
      </c>
      <c r="D15" s="161" t="s">
        <v>488</v>
      </c>
      <c r="E15" s="720">
        <v>0</v>
      </c>
      <c r="F15" s="720">
        <v>0</v>
      </c>
      <c r="G15" s="720"/>
      <c r="H15" s="720"/>
      <c r="I15" s="720"/>
      <c r="J15" s="720"/>
      <c r="K15" s="720"/>
      <c r="L15" s="720"/>
      <c r="M15" s="720"/>
      <c r="N15" s="720"/>
      <c r="P15" s="246" t="str">
        <f>B15</f>
        <v>100 Gbps</v>
      </c>
      <c r="Q15" s="259" t="str">
        <f>C15</f>
        <v>all</v>
      </c>
      <c r="R15" s="256" t="str">
        <f>D15</f>
        <v>grey</v>
      </c>
      <c r="S15" s="443" t="str">
        <f>IF(E15=0,"",E15/E152)</f>
        <v/>
      </c>
      <c r="T15" s="443" t="str">
        <f>IF(F15=0,"",F15/F152)</f>
        <v/>
      </c>
      <c r="U15" s="443"/>
      <c r="V15" s="443"/>
      <c r="W15" s="443"/>
      <c r="X15" s="443"/>
      <c r="Y15" s="443"/>
      <c r="Z15" s="443"/>
      <c r="AA15" s="443"/>
      <c r="AB15" s="443"/>
    </row>
    <row r="16" spans="1:28" s="160" customFormat="1" x14ac:dyDescent="0.25">
      <c r="A16" s="821"/>
      <c r="B16" s="161" t="s">
        <v>68</v>
      </c>
      <c r="C16" s="161" t="s">
        <v>60</v>
      </c>
      <c r="D16" s="161" t="s">
        <v>14</v>
      </c>
      <c r="E16" s="720">
        <v>0</v>
      </c>
      <c r="F16" s="720">
        <v>0</v>
      </c>
      <c r="G16" s="720"/>
      <c r="H16" s="720"/>
      <c r="I16" s="720"/>
      <c r="J16" s="720"/>
      <c r="K16" s="720"/>
      <c r="L16" s="720"/>
      <c r="M16" s="720"/>
      <c r="N16" s="720"/>
      <c r="P16" s="246" t="str">
        <f>B16</f>
        <v>10 Gbps</v>
      </c>
      <c r="Q16" s="259" t="str">
        <f>C16</f>
        <v>all</v>
      </c>
      <c r="R16" s="256" t="str">
        <f>D16</f>
        <v>CWDM</v>
      </c>
      <c r="S16" s="443" t="str">
        <f>IF(E16=0,"",E16/E153)</f>
        <v/>
      </c>
      <c r="T16" s="443" t="str">
        <f>IF(F16=0,"",F16/F153)</f>
        <v/>
      </c>
      <c r="U16" s="443"/>
      <c r="V16" s="443"/>
      <c r="W16" s="443"/>
      <c r="X16" s="443"/>
      <c r="Y16" s="443"/>
      <c r="Z16" s="443"/>
      <c r="AA16" s="443"/>
      <c r="AB16" s="443"/>
    </row>
    <row r="17" spans="1:28" s="160" customFormat="1" x14ac:dyDescent="0.25">
      <c r="A17" s="821"/>
      <c r="B17" s="161" t="s">
        <v>68</v>
      </c>
      <c r="C17" s="161" t="s">
        <v>60</v>
      </c>
      <c r="D17" s="161" t="s">
        <v>27</v>
      </c>
      <c r="E17" s="720">
        <v>0</v>
      </c>
      <c r="F17" s="720">
        <v>0</v>
      </c>
      <c r="G17" s="720"/>
      <c r="H17" s="720"/>
      <c r="I17" s="720"/>
      <c r="J17" s="720"/>
      <c r="K17" s="720"/>
      <c r="L17" s="720"/>
      <c r="M17" s="720"/>
      <c r="N17" s="720"/>
      <c r="P17" s="246" t="str">
        <f>B17</f>
        <v>10 Gbps</v>
      </c>
      <c r="Q17" s="259" t="str">
        <f>C17</f>
        <v>all</v>
      </c>
      <c r="R17" s="256" t="str">
        <f>D17</f>
        <v>DWDM</v>
      </c>
      <c r="S17" s="443" t="str">
        <f>IF(E17=0,"",E17/E154)</f>
        <v/>
      </c>
      <c r="T17" s="443" t="str">
        <f>IF(F17=0,"",F17/F154)</f>
        <v/>
      </c>
      <c r="U17" s="443"/>
      <c r="V17" s="443"/>
      <c r="W17" s="443"/>
      <c r="X17" s="443"/>
      <c r="Y17" s="443"/>
      <c r="Z17" s="443"/>
      <c r="AA17" s="443"/>
      <c r="AB17" s="443"/>
    </row>
    <row r="18" spans="1:28" s="160" customFormat="1" x14ac:dyDescent="0.25">
      <c r="A18" s="821"/>
      <c r="B18" s="161" t="s">
        <v>489</v>
      </c>
      <c r="C18" s="161" t="s">
        <v>60</v>
      </c>
      <c r="D18" s="161" t="s">
        <v>14</v>
      </c>
      <c r="E18" s="720">
        <v>0</v>
      </c>
      <c r="F18" s="720">
        <v>0</v>
      </c>
      <c r="G18" s="720"/>
      <c r="H18" s="720"/>
      <c r="I18" s="720"/>
      <c r="J18" s="720"/>
      <c r="K18" s="720"/>
      <c r="L18" s="720"/>
      <c r="M18" s="720"/>
      <c r="N18" s="720"/>
      <c r="P18" s="246" t="str">
        <f>B18</f>
        <v>25 Gbps</v>
      </c>
      <c r="Q18" s="259" t="str">
        <f>C18</f>
        <v>all</v>
      </c>
      <c r="R18" s="256" t="str">
        <f>D18</f>
        <v>CWDM</v>
      </c>
      <c r="S18" s="443" t="str">
        <f>IF(E18=0,"",E18/E155)</f>
        <v/>
      </c>
      <c r="T18" s="443" t="str">
        <f>IF(F18=0,"",F18/F155)</f>
        <v/>
      </c>
      <c r="U18" s="443"/>
      <c r="V18" s="443"/>
      <c r="W18" s="443"/>
      <c r="X18" s="443"/>
      <c r="Y18" s="443"/>
      <c r="Z18" s="443"/>
      <c r="AA18" s="443"/>
      <c r="AB18" s="443"/>
    </row>
    <row r="19" spans="1:28" s="160" customFormat="1" x14ac:dyDescent="0.25">
      <c r="A19" s="821"/>
      <c r="B19" s="161" t="s">
        <v>489</v>
      </c>
      <c r="C19" s="161" t="s">
        <v>60</v>
      </c>
      <c r="D19" s="161" t="s">
        <v>27</v>
      </c>
      <c r="E19" s="720">
        <v>0</v>
      </c>
      <c r="F19" s="720">
        <v>0</v>
      </c>
      <c r="G19" s="720"/>
      <c r="H19" s="720"/>
      <c r="I19" s="720"/>
      <c r="J19" s="720"/>
      <c r="K19" s="720"/>
      <c r="L19" s="720"/>
      <c r="M19" s="720"/>
      <c r="N19" s="720"/>
      <c r="P19" s="246" t="str">
        <f>B19</f>
        <v>25 Gbps</v>
      </c>
      <c r="Q19" s="259" t="str">
        <f>C19</f>
        <v>all</v>
      </c>
      <c r="R19" s="256" t="str">
        <f>D19</f>
        <v>DWDM</v>
      </c>
      <c r="S19" s="443" t="str">
        <f>IF(E19=0,"",E19/E156)</f>
        <v/>
      </c>
      <c r="T19" s="443" t="str">
        <f>IF(F19=0,"",F19/F156)</f>
        <v/>
      </c>
      <c r="U19" s="443"/>
      <c r="V19" s="443"/>
      <c r="W19" s="443"/>
      <c r="X19" s="443"/>
      <c r="Y19" s="443"/>
      <c r="Z19" s="443"/>
      <c r="AA19" s="443"/>
      <c r="AB19" s="443"/>
    </row>
    <row r="20" spans="1:28" s="163" customFormat="1" ht="13" thickBot="1" x14ac:dyDescent="0.3">
      <c r="A20" s="824"/>
      <c r="B20" s="617" t="s">
        <v>433</v>
      </c>
      <c r="C20" s="617" t="s">
        <v>20</v>
      </c>
      <c r="D20" s="617" t="s">
        <v>20</v>
      </c>
      <c r="E20" s="723">
        <f t="shared" ref="E20:L20" si="0">SUM(E8:E19)</f>
        <v>11390120.661512379</v>
      </c>
      <c r="F20" s="723">
        <f t="shared" si="0"/>
        <v>7193790.5449723806</v>
      </c>
      <c r="G20" s="723"/>
      <c r="H20" s="723"/>
      <c r="I20" s="723"/>
      <c r="J20" s="723"/>
      <c r="K20" s="723"/>
      <c r="L20" s="723"/>
      <c r="M20" s="723"/>
      <c r="N20" s="723"/>
      <c r="O20" s="160"/>
      <c r="P20" s="617" t="str">
        <f>B20</f>
        <v>Total FH</v>
      </c>
      <c r="Q20" s="617" t="str">
        <f>C20</f>
        <v>All</v>
      </c>
      <c r="R20" s="617" t="str">
        <f>D20</f>
        <v>All</v>
      </c>
      <c r="S20" s="643">
        <f>IF(E20=0,"",E20/E157)</f>
        <v>0.59871998272702509</v>
      </c>
      <c r="T20" s="643">
        <f>IF(F20=0,"",F20/F157)</f>
        <v>0.55338746572391195</v>
      </c>
      <c r="U20" s="643"/>
      <c r="V20" s="643"/>
      <c r="W20" s="643"/>
      <c r="X20" s="643"/>
      <c r="Y20" s="643"/>
      <c r="Z20" s="643"/>
      <c r="AA20" s="643"/>
      <c r="AB20" s="643"/>
    </row>
    <row r="21" spans="1:28" s="160" customFormat="1" x14ac:dyDescent="0.25">
      <c r="A21" s="821" t="s">
        <v>413</v>
      </c>
      <c r="B21" s="246" t="s">
        <v>515</v>
      </c>
      <c r="C21" s="246" t="s">
        <v>516</v>
      </c>
      <c r="D21" s="246" t="s">
        <v>496</v>
      </c>
      <c r="E21" s="721">
        <v>290384.61845625</v>
      </c>
      <c r="F21" s="721">
        <v>257463.00200000001</v>
      </c>
      <c r="G21" s="721"/>
      <c r="H21" s="721"/>
      <c r="I21" s="721"/>
      <c r="J21" s="721"/>
      <c r="K21" s="721"/>
      <c r="L21" s="721"/>
      <c r="M21" s="721"/>
      <c r="N21" s="721"/>
      <c r="P21" s="246" t="str">
        <f>B21</f>
        <v>1GbE</v>
      </c>
      <c r="Q21" s="246" t="str">
        <f>C21</f>
        <v>SFP</v>
      </c>
      <c r="R21" s="246" t="str">
        <f>D21</f>
        <v>All reaches</v>
      </c>
      <c r="S21" s="642">
        <f>IF(E21=0,"",E21/E158)</f>
        <v>0.44999999999999996</v>
      </c>
      <c r="T21" s="642">
        <f>IF(F21=0,"",F21/F158)</f>
        <v>0.4</v>
      </c>
      <c r="U21" s="642"/>
      <c r="V21" s="642"/>
      <c r="W21" s="642"/>
      <c r="X21" s="642"/>
      <c r="Y21" s="642"/>
      <c r="Z21" s="642"/>
      <c r="AA21" s="642"/>
      <c r="AB21" s="642"/>
    </row>
    <row r="22" spans="1:28" s="160" customFormat="1" x14ac:dyDescent="0.25">
      <c r="A22" s="821"/>
      <c r="B22" s="161" t="s">
        <v>133</v>
      </c>
      <c r="C22" s="161" t="s">
        <v>517</v>
      </c>
      <c r="D22" s="161" t="s">
        <v>496</v>
      </c>
      <c r="E22" s="722">
        <v>30595.551681000001</v>
      </c>
      <c r="F22" s="722">
        <v>284056.73514</v>
      </c>
      <c r="G22" s="722"/>
      <c r="H22" s="722"/>
      <c r="I22" s="722"/>
      <c r="J22" s="722"/>
      <c r="K22" s="722"/>
      <c r="L22" s="722"/>
      <c r="M22" s="722"/>
      <c r="N22" s="722"/>
      <c r="P22" s="11" t="str">
        <f>B22</f>
        <v>10 GbE</v>
      </c>
      <c r="Q22" s="11" t="str">
        <f>C22</f>
        <v>SFP+</v>
      </c>
      <c r="R22" s="11" t="str">
        <f>D22</f>
        <v>All reaches</v>
      </c>
      <c r="S22" s="443">
        <f>IF(E22=0,"",E22/E159)</f>
        <v>0.05</v>
      </c>
      <c r="T22" s="443">
        <f>IF(F22=0,"",F22/F159)</f>
        <v>0.45</v>
      </c>
      <c r="U22" s="443"/>
      <c r="V22" s="443"/>
      <c r="W22" s="443"/>
      <c r="X22" s="443"/>
      <c r="Y22" s="443"/>
      <c r="Z22" s="443"/>
      <c r="AA22" s="443"/>
      <c r="AB22" s="443"/>
    </row>
    <row r="23" spans="1:28" s="160" customFormat="1" x14ac:dyDescent="0.25">
      <c r="A23" s="821"/>
      <c r="B23" s="161" t="s">
        <v>153</v>
      </c>
      <c r="C23" s="161" t="s">
        <v>154</v>
      </c>
      <c r="D23" s="161" t="s">
        <v>496</v>
      </c>
      <c r="E23" s="722">
        <v>0</v>
      </c>
      <c r="F23" s="722">
        <v>1800</v>
      </c>
      <c r="G23" s="722"/>
      <c r="H23" s="722"/>
      <c r="I23" s="722"/>
      <c r="J23" s="722"/>
      <c r="K23" s="722"/>
      <c r="L23" s="722"/>
      <c r="M23" s="722"/>
      <c r="N23" s="722"/>
      <c r="P23" s="11" t="str">
        <f>B23</f>
        <v>25 GbE</v>
      </c>
      <c r="Q23" s="11" t="str">
        <f>C23</f>
        <v>SFP28</v>
      </c>
      <c r="R23" s="11" t="str">
        <f>D23</f>
        <v>All reaches</v>
      </c>
      <c r="S23" s="443" t="str">
        <f>IF(E23=0,"",E23/E160)</f>
        <v/>
      </c>
      <c r="T23" s="443">
        <f>IF(F23=0,"",F23/F160)</f>
        <v>0.9</v>
      </c>
      <c r="U23" s="443"/>
      <c r="V23" s="443"/>
      <c r="W23" s="443"/>
      <c r="X23" s="443"/>
      <c r="Y23" s="443"/>
      <c r="Z23" s="443"/>
      <c r="AA23" s="443"/>
      <c r="AB23" s="443"/>
    </row>
    <row r="24" spans="1:28" s="160" customFormat="1" x14ac:dyDescent="0.25">
      <c r="A24" s="821"/>
      <c r="B24" s="161" t="s">
        <v>156</v>
      </c>
      <c r="C24" s="161" t="s">
        <v>162</v>
      </c>
      <c r="D24" s="161" t="s">
        <v>496</v>
      </c>
      <c r="E24" s="722">
        <v>0</v>
      </c>
      <c r="F24" s="722">
        <v>0</v>
      </c>
      <c r="G24" s="722"/>
      <c r="H24" s="722"/>
      <c r="I24" s="722"/>
      <c r="J24" s="722"/>
      <c r="K24" s="722"/>
      <c r="L24" s="722"/>
      <c r="M24" s="722"/>
      <c r="N24" s="722"/>
      <c r="P24" s="11" t="str">
        <f>B24</f>
        <v>50 GbE</v>
      </c>
      <c r="Q24" s="11" t="str">
        <f>C24</f>
        <v>QSFP28</v>
      </c>
      <c r="R24" s="11" t="str">
        <f>D24</f>
        <v>All reaches</v>
      </c>
      <c r="S24" s="443" t="str">
        <f>IF(E24=0,"",E24/E161)</f>
        <v/>
      </c>
      <c r="T24" s="443" t="str">
        <f>IF(F24=0,"",F24/F161)</f>
        <v/>
      </c>
      <c r="U24" s="443"/>
      <c r="V24" s="443"/>
      <c r="W24" s="443"/>
      <c r="X24" s="443"/>
      <c r="Y24" s="443"/>
      <c r="Z24" s="443"/>
      <c r="AA24" s="443"/>
      <c r="AB24" s="443"/>
    </row>
    <row r="25" spans="1:28" s="160" customFormat="1" x14ac:dyDescent="0.25">
      <c r="A25" s="821"/>
      <c r="B25" s="161" t="s">
        <v>140</v>
      </c>
      <c r="C25" s="161" t="s">
        <v>162</v>
      </c>
      <c r="D25" s="161" t="s">
        <v>496</v>
      </c>
      <c r="E25" s="722">
        <v>0</v>
      </c>
      <c r="F25" s="722">
        <v>0</v>
      </c>
      <c r="G25" s="722"/>
      <c r="H25" s="722"/>
      <c r="I25" s="722"/>
      <c r="J25" s="722"/>
      <c r="K25" s="722"/>
      <c r="L25" s="722"/>
      <c r="M25" s="722"/>
      <c r="N25" s="722"/>
      <c r="P25" s="11" t="str">
        <f>B25</f>
        <v>100 GbE</v>
      </c>
      <c r="Q25" s="11" t="str">
        <f>C25</f>
        <v>QSFP28</v>
      </c>
      <c r="R25" s="11" t="str">
        <f>D25</f>
        <v>All reaches</v>
      </c>
      <c r="S25" s="443" t="str">
        <f>IF(E25=0,"",E25/E162)</f>
        <v/>
      </c>
      <c r="T25" s="443" t="str">
        <f>IF(F25=0,"",F25/F162)</f>
        <v/>
      </c>
      <c r="U25" s="443"/>
      <c r="V25" s="443"/>
      <c r="W25" s="443"/>
      <c r="X25" s="443"/>
      <c r="Y25" s="443"/>
      <c r="Z25" s="443"/>
      <c r="AA25" s="443"/>
      <c r="AB25" s="443"/>
    </row>
    <row r="26" spans="1:28" s="160" customFormat="1" x14ac:dyDescent="0.25">
      <c r="A26" s="821"/>
      <c r="B26" s="161" t="s">
        <v>157</v>
      </c>
      <c r="C26" s="161" t="s">
        <v>495</v>
      </c>
      <c r="D26" s="161" t="s">
        <v>496</v>
      </c>
      <c r="E26" s="722">
        <v>0</v>
      </c>
      <c r="F26" s="722">
        <v>0</v>
      </c>
      <c r="G26" s="722"/>
      <c r="H26" s="722"/>
      <c r="I26" s="722"/>
      <c r="J26" s="722"/>
      <c r="K26" s="722"/>
      <c r="L26" s="722"/>
      <c r="M26" s="722"/>
      <c r="N26" s="722"/>
      <c r="P26" s="11" t="str">
        <f>B26</f>
        <v>200 GbE</v>
      </c>
      <c r="Q26" s="11" t="str">
        <f>C26</f>
        <v>QSFP29</v>
      </c>
      <c r="R26" s="11" t="str">
        <f>D26</f>
        <v>All reaches</v>
      </c>
      <c r="S26" s="443" t="str">
        <f>IF(E26=0,"",E26/E164)</f>
        <v/>
      </c>
      <c r="T26" s="443" t="str">
        <f>IF(F26=0,"",F26/F164)</f>
        <v/>
      </c>
      <c r="U26" s="443"/>
      <c r="V26" s="443"/>
      <c r="W26" s="443"/>
      <c r="X26" s="443"/>
      <c r="Y26" s="443"/>
      <c r="Z26" s="443"/>
      <c r="AA26" s="443"/>
      <c r="AB26" s="443"/>
    </row>
    <row r="27" spans="1:28" s="160" customFormat="1" x14ac:dyDescent="0.25">
      <c r="A27" s="822"/>
      <c r="B27" s="161" t="s">
        <v>434</v>
      </c>
      <c r="C27" s="161" t="s">
        <v>20</v>
      </c>
      <c r="D27" s="161" t="s">
        <v>496</v>
      </c>
      <c r="E27" s="624">
        <f t="shared" ref="E27:N27" si="1">SUM(E21:E26)</f>
        <v>320980.17013724998</v>
      </c>
      <c r="F27" s="624">
        <f t="shared" si="1"/>
        <v>543319.73713999998</v>
      </c>
      <c r="G27" s="624"/>
      <c r="H27" s="624"/>
      <c r="I27" s="624"/>
      <c r="J27" s="624"/>
      <c r="K27" s="624"/>
      <c r="L27" s="624"/>
      <c r="M27" s="624"/>
      <c r="N27" s="624"/>
      <c r="P27" s="11" t="str">
        <f>B27</f>
        <v>Total BH</v>
      </c>
      <c r="Q27" s="11" t="str">
        <f>C27</f>
        <v>All</v>
      </c>
      <c r="R27" s="11" t="str">
        <f>D27</f>
        <v>All reaches</v>
      </c>
      <c r="S27" s="443">
        <f>IF(E27=0,"",E27/E164)</f>
        <v>0.25531146166067925</v>
      </c>
      <c r="T27" s="443">
        <f>IF(F27=0,"",F27/F164)</f>
        <v>0.42550081820208407</v>
      </c>
      <c r="U27" s="443"/>
      <c r="V27" s="443"/>
      <c r="W27" s="443"/>
      <c r="X27" s="443"/>
      <c r="Y27" s="443"/>
      <c r="Z27" s="443"/>
      <c r="AA27" s="443"/>
      <c r="AB27" s="443"/>
    </row>
    <row r="28" spans="1:28" x14ac:dyDescent="0.25">
      <c r="A28" s="100"/>
      <c r="D28" s="197"/>
      <c r="E28" s="59"/>
      <c r="F28" s="59">
        <f t="shared" ref="F28:N28" si="2">IF(E20=0,"",F20/E20-1)</f>
        <v>-0.36841840760471889</v>
      </c>
      <c r="G28" s="59"/>
      <c r="H28" s="59"/>
      <c r="I28" s="59"/>
      <c r="J28" s="59"/>
      <c r="K28" s="59"/>
      <c r="L28" s="442"/>
      <c r="M28" s="442"/>
      <c r="N28" s="442"/>
      <c r="AA28" s="160"/>
    </row>
    <row r="29" spans="1:28" s="163" customFormat="1" ht="14.5" x14ac:dyDescent="0.35">
      <c r="A29" s="43"/>
      <c r="B29" s="439" t="s">
        <v>356</v>
      </c>
      <c r="C29" s="46"/>
      <c r="D29" s="197"/>
      <c r="E29" s="572" t="s">
        <v>208</v>
      </c>
      <c r="F29" s="46"/>
      <c r="G29" s="46"/>
      <c r="H29" s="46"/>
      <c r="I29" s="46"/>
      <c r="J29" s="220"/>
      <c r="K29" s="160"/>
      <c r="L29" s="46"/>
      <c r="N29" s="361" t="str">
        <f>B29</f>
        <v>ASP ($) of units consumed in China</v>
      </c>
    </row>
    <row r="30" spans="1:28" ht="12.75" customHeight="1" x14ac:dyDescent="0.25">
      <c r="A30" s="101"/>
      <c r="B30" s="98" t="s">
        <v>10</v>
      </c>
      <c r="C30" s="98" t="s">
        <v>11</v>
      </c>
      <c r="D30" s="210" t="str">
        <f t="shared" ref="D30:D42" si="3">D7</f>
        <v>Wavelengths</v>
      </c>
      <c r="E30" s="98">
        <v>2016</v>
      </c>
      <c r="F30" s="98">
        <v>2017</v>
      </c>
      <c r="G30" s="98">
        <v>2018</v>
      </c>
      <c r="H30" s="98">
        <v>2019</v>
      </c>
      <c r="I30" s="98">
        <v>2020</v>
      </c>
      <c r="J30" s="98">
        <v>2021</v>
      </c>
      <c r="K30" s="98">
        <v>2022</v>
      </c>
      <c r="L30" s="98">
        <v>2023</v>
      </c>
      <c r="M30" s="98">
        <v>2024</v>
      </c>
      <c r="N30" s="98">
        <v>2025</v>
      </c>
      <c r="P30" s="163"/>
    </row>
    <row r="31" spans="1:28" s="16" customFormat="1" ht="14.5" customHeight="1" x14ac:dyDescent="0.25">
      <c r="A31" s="823" t="str">
        <f>A8</f>
        <v>Fronthaul</v>
      </c>
      <c r="B31" s="255" t="str">
        <f>B8</f>
        <v>1,3,6,12 Gbps</v>
      </c>
      <c r="C31" s="259" t="str">
        <f>C8</f>
        <v>all</v>
      </c>
      <c r="D31" s="256" t="str">
        <f t="shared" si="3"/>
        <v>all</v>
      </c>
      <c r="E31" s="257">
        <f t="shared" ref="E31:M31" si="4">IF(E8=0,,E52*10^6/E8)</f>
        <v>16.897696433557229</v>
      </c>
      <c r="F31" s="257">
        <f t="shared" si="4"/>
        <v>14.724913670056409</v>
      </c>
      <c r="G31" s="257"/>
      <c r="H31" s="257"/>
      <c r="I31" s="257"/>
      <c r="J31" s="257"/>
      <c r="K31" s="257"/>
      <c r="L31" s="257"/>
      <c r="M31" s="257"/>
      <c r="N31" s="257"/>
      <c r="O31" s="160"/>
      <c r="P31" s="163"/>
      <c r="AB31" s="160"/>
    </row>
    <row r="32" spans="1:28" s="160" customFormat="1" ht="14.5" customHeight="1" x14ac:dyDescent="0.25">
      <c r="A32" s="821"/>
      <c r="B32" s="255" t="str">
        <f t="shared" ref="B32:C42" si="5">B9</f>
        <v>10 Gbps</v>
      </c>
      <c r="C32" s="259" t="str">
        <f t="shared" si="5"/>
        <v>all</v>
      </c>
      <c r="D32" s="256" t="str">
        <f t="shared" si="3"/>
        <v>grey</v>
      </c>
      <c r="E32" s="257">
        <f t="shared" ref="E32:M32" si="6">IF(E9=0,,E53*10^6/E9)</f>
        <v>22.694952593933319</v>
      </c>
      <c r="F32" s="257">
        <f t="shared" si="6"/>
        <v>19.352876755863903</v>
      </c>
      <c r="G32" s="257"/>
      <c r="H32" s="257"/>
      <c r="I32" s="257"/>
      <c r="J32" s="257"/>
      <c r="K32" s="257"/>
      <c r="L32" s="257"/>
      <c r="M32" s="257"/>
      <c r="N32" s="257"/>
      <c r="P32" s="163"/>
    </row>
    <row r="33" spans="1:16" s="160" customFormat="1" ht="14.5" customHeight="1" x14ac:dyDescent="0.25">
      <c r="A33" s="821"/>
      <c r="B33" s="245" t="str">
        <f t="shared" si="5"/>
        <v>25 Gbps</v>
      </c>
      <c r="C33" s="259" t="str">
        <f t="shared" si="5"/>
        <v>≤ 0.5 km</v>
      </c>
      <c r="D33" s="256" t="str">
        <f t="shared" si="3"/>
        <v>grey MMF</v>
      </c>
      <c r="E33" s="257">
        <f t="shared" ref="E33:M33" si="7">IF(E10=0,,E54*10^6/E10)</f>
        <v>0</v>
      </c>
      <c r="F33" s="257">
        <f t="shared" si="7"/>
        <v>0</v>
      </c>
      <c r="G33" s="257"/>
      <c r="H33" s="257"/>
      <c r="I33" s="257"/>
      <c r="J33" s="257"/>
      <c r="K33" s="257"/>
      <c r="L33" s="257"/>
      <c r="M33" s="257"/>
      <c r="N33" s="257"/>
      <c r="P33" s="163"/>
    </row>
    <row r="34" spans="1:16" s="160" customFormat="1" ht="14.5" customHeight="1" x14ac:dyDescent="0.25">
      <c r="A34" s="821"/>
      <c r="B34" s="245" t="str">
        <f t="shared" si="5"/>
        <v>25 Gbps</v>
      </c>
      <c r="C34" s="259" t="str">
        <f t="shared" si="5"/>
        <v>300 m</v>
      </c>
      <c r="D34" s="256" t="str">
        <f t="shared" si="3"/>
        <v>grey SMF</v>
      </c>
      <c r="E34" s="257">
        <f t="shared" ref="E34:M34" si="8">IF(E11=0,,E55*10^6/E11)</f>
        <v>0</v>
      </c>
      <c r="F34" s="257">
        <f t="shared" si="8"/>
        <v>0</v>
      </c>
      <c r="G34" s="257"/>
      <c r="H34" s="257"/>
      <c r="I34" s="257"/>
      <c r="J34" s="257"/>
      <c r="K34" s="257"/>
      <c r="L34" s="257"/>
      <c r="M34" s="257"/>
      <c r="N34" s="257"/>
      <c r="P34" s="163"/>
    </row>
    <row r="35" spans="1:16" ht="14.5" customHeight="1" x14ac:dyDescent="0.25">
      <c r="A35" s="821"/>
      <c r="B35" s="161" t="str">
        <f t="shared" si="5"/>
        <v>25 Gbps</v>
      </c>
      <c r="C35" s="259" t="str">
        <f t="shared" si="5"/>
        <v>10, 20 km</v>
      </c>
      <c r="D35" s="256" t="str">
        <f t="shared" si="3"/>
        <v>duplex</v>
      </c>
      <c r="E35" s="257">
        <f t="shared" ref="E35:M35" si="9">IF(E12=0,,E56*10^6/E12)</f>
        <v>0</v>
      </c>
      <c r="F35" s="257">
        <f t="shared" si="9"/>
        <v>0</v>
      </c>
      <c r="G35" s="257"/>
      <c r="H35" s="257"/>
      <c r="I35" s="257"/>
      <c r="J35" s="257"/>
      <c r="K35" s="257"/>
      <c r="L35" s="257"/>
      <c r="M35" s="257"/>
      <c r="N35" s="257"/>
      <c r="O35" s="160"/>
      <c r="P35" s="163"/>
    </row>
    <row r="36" spans="1:16" s="160" customFormat="1" x14ac:dyDescent="0.25">
      <c r="A36" s="821"/>
      <c r="B36" s="246" t="str">
        <f t="shared" si="5"/>
        <v>25 Gbps</v>
      </c>
      <c r="C36" s="259" t="str">
        <f t="shared" si="5"/>
        <v>10, 20 km</v>
      </c>
      <c r="D36" s="256" t="str">
        <f t="shared" si="3"/>
        <v>Bi-Di</v>
      </c>
      <c r="E36" s="257">
        <f t="shared" ref="E36:M36" si="10">IF(E13=0,,E57*10^6/E13)</f>
        <v>0</v>
      </c>
      <c r="F36" s="257">
        <f t="shared" si="10"/>
        <v>0</v>
      </c>
      <c r="G36" s="257"/>
      <c r="H36" s="257"/>
      <c r="I36" s="257"/>
      <c r="J36" s="257"/>
      <c r="K36" s="257"/>
      <c r="L36" s="257"/>
      <c r="M36" s="257"/>
      <c r="N36" s="257"/>
      <c r="P36" s="163"/>
    </row>
    <row r="37" spans="1:16" s="160" customFormat="1" x14ac:dyDescent="0.25">
      <c r="A37" s="821"/>
      <c r="B37" s="246" t="str">
        <f t="shared" si="5"/>
        <v>50 Gbps</v>
      </c>
      <c r="C37" s="342" t="str">
        <f t="shared" si="5"/>
        <v>all</v>
      </c>
      <c r="D37" s="256" t="str">
        <f t="shared" si="3"/>
        <v>grey</v>
      </c>
      <c r="E37" s="257">
        <f t="shared" ref="E37:M37" si="11">IF(E14=0,,E58*10^6/E14)</f>
        <v>0</v>
      </c>
      <c r="F37" s="257">
        <f t="shared" si="11"/>
        <v>0</v>
      </c>
      <c r="G37" s="257"/>
      <c r="H37" s="257"/>
      <c r="I37" s="257"/>
      <c r="J37" s="257"/>
      <c r="K37" s="257"/>
      <c r="L37" s="257"/>
      <c r="M37" s="257"/>
      <c r="N37" s="257"/>
      <c r="P37" s="163"/>
    </row>
    <row r="38" spans="1:16" s="160" customFormat="1" x14ac:dyDescent="0.25">
      <c r="A38" s="821"/>
      <c r="B38" s="246" t="str">
        <f t="shared" si="5"/>
        <v>100 Gbps</v>
      </c>
      <c r="C38" s="342" t="str">
        <f t="shared" si="5"/>
        <v>all</v>
      </c>
      <c r="D38" s="256" t="str">
        <f t="shared" si="3"/>
        <v>grey</v>
      </c>
      <c r="E38" s="257">
        <f t="shared" ref="E38:M38" si="12">IF(E15=0,,E59*10^6/E15)</f>
        <v>0</v>
      </c>
      <c r="F38" s="257">
        <f t="shared" si="12"/>
        <v>0</v>
      </c>
      <c r="G38" s="257"/>
      <c r="H38" s="257"/>
      <c r="I38" s="257"/>
      <c r="J38" s="257"/>
      <c r="K38" s="257"/>
      <c r="L38" s="257"/>
      <c r="M38" s="257"/>
      <c r="N38" s="257"/>
      <c r="P38" s="163"/>
    </row>
    <row r="39" spans="1:16" s="160" customFormat="1" x14ac:dyDescent="0.25">
      <c r="A39" s="821"/>
      <c r="B39" s="246" t="str">
        <f t="shared" si="5"/>
        <v>10 Gbps</v>
      </c>
      <c r="C39" s="342" t="str">
        <f t="shared" si="5"/>
        <v>all</v>
      </c>
      <c r="D39" s="256" t="str">
        <f t="shared" si="3"/>
        <v>CWDM</v>
      </c>
      <c r="E39" s="257">
        <f t="shared" ref="E39:M39" si="13">IF(E16=0,,E60*10^6/E16)</f>
        <v>0</v>
      </c>
      <c r="F39" s="257">
        <f t="shared" si="13"/>
        <v>0</v>
      </c>
      <c r="G39" s="257"/>
      <c r="H39" s="257"/>
      <c r="I39" s="257"/>
      <c r="J39" s="257"/>
      <c r="K39" s="257"/>
      <c r="L39" s="257"/>
      <c r="M39" s="257"/>
      <c r="N39" s="257"/>
      <c r="P39" s="163"/>
    </row>
    <row r="40" spans="1:16" s="160" customFormat="1" x14ac:dyDescent="0.25">
      <c r="A40" s="821"/>
      <c r="B40" s="246" t="str">
        <f t="shared" si="5"/>
        <v>10 Gbps</v>
      </c>
      <c r="C40" s="342" t="str">
        <f t="shared" si="5"/>
        <v>all</v>
      </c>
      <c r="D40" s="256" t="str">
        <f t="shared" si="3"/>
        <v>DWDM</v>
      </c>
      <c r="E40" s="257">
        <f t="shared" ref="E40:M40" si="14">IF(E17=0,,E61*10^6/E17)</f>
        <v>0</v>
      </c>
      <c r="F40" s="257">
        <f t="shared" si="14"/>
        <v>0</v>
      </c>
      <c r="G40" s="257"/>
      <c r="H40" s="257"/>
      <c r="I40" s="257"/>
      <c r="J40" s="257"/>
      <c r="K40" s="257"/>
      <c r="L40" s="257"/>
      <c r="M40" s="257"/>
      <c r="N40" s="257"/>
      <c r="P40" s="163"/>
    </row>
    <row r="41" spans="1:16" s="160" customFormat="1" x14ac:dyDescent="0.25">
      <c r="A41" s="821"/>
      <c r="B41" s="246" t="str">
        <f t="shared" si="5"/>
        <v>25 Gbps</v>
      </c>
      <c r="C41" s="342" t="str">
        <f t="shared" si="5"/>
        <v>all</v>
      </c>
      <c r="D41" s="256" t="str">
        <f t="shared" si="3"/>
        <v>CWDM</v>
      </c>
      <c r="E41" s="257">
        <f t="shared" ref="E41:M41" si="15">IF(E18=0,,E62*10^6/E18)</f>
        <v>0</v>
      </c>
      <c r="F41" s="257">
        <f t="shared" si="15"/>
        <v>0</v>
      </c>
      <c r="G41" s="257"/>
      <c r="H41" s="257"/>
      <c r="I41" s="257"/>
      <c r="J41" s="257"/>
      <c r="K41" s="257"/>
      <c r="L41" s="257"/>
      <c r="M41" s="257"/>
      <c r="N41" s="257"/>
      <c r="P41" s="163"/>
    </row>
    <row r="42" spans="1:16" s="160" customFormat="1" ht="13" thickBot="1" x14ac:dyDescent="0.3">
      <c r="A42" s="824"/>
      <c r="B42" s="613" t="str">
        <f t="shared" si="5"/>
        <v>25 Gbps</v>
      </c>
      <c r="C42" s="614" t="str">
        <f t="shared" si="5"/>
        <v>all</v>
      </c>
      <c r="D42" s="615" t="str">
        <f t="shared" si="3"/>
        <v>DWDM</v>
      </c>
      <c r="E42" s="616">
        <f t="shared" ref="E42:M42" si="16">IF(E19=0,,E63*10^6/E19)</f>
        <v>0</v>
      </c>
      <c r="F42" s="616">
        <f t="shared" si="16"/>
        <v>0</v>
      </c>
      <c r="G42" s="616"/>
      <c r="H42" s="616"/>
      <c r="I42" s="616"/>
      <c r="J42" s="616"/>
      <c r="K42" s="616"/>
      <c r="L42" s="616"/>
      <c r="M42" s="616"/>
      <c r="N42" s="616"/>
      <c r="P42" s="163"/>
    </row>
    <row r="43" spans="1:16" s="160" customFormat="1" ht="12.5" customHeight="1" x14ac:dyDescent="0.25">
      <c r="A43" s="825" t="s">
        <v>413</v>
      </c>
      <c r="B43" s="246" t="str">
        <f t="shared" ref="B43:D48" si="17">B21</f>
        <v>1GbE</v>
      </c>
      <c r="C43" s="246" t="str">
        <f t="shared" si="17"/>
        <v>SFP</v>
      </c>
      <c r="D43" s="246" t="str">
        <f t="shared" si="17"/>
        <v>All reaches</v>
      </c>
      <c r="E43" s="612">
        <f t="shared" ref="E43:M43" si="18">IF(E20=0,,E64*10^6/E20)</f>
        <v>19.205179379349996</v>
      </c>
      <c r="F43" s="612">
        <f t="shared" si="18"/>
        <v>16.425002129707153</v>
      </c>
      <c r="G43" s="612"/>
      <c r="H43" s="612"/>
      <c r="I43" s="612"/>
      <c r="J43" s="612"/>
      <c r="K43" s="612"/>
      <c r="L43" s="612"/>
      <c r="M43" s="612"/>
      <c r="N43" s="612"/>
      <c r="O43" s="582"/>
    </row>
    <row r="44" spans="1:16" s="160" customFormat="1" x14ac:dyDescent="0.25">
      <c r="A44" s="826"/>
      <c r="B44" s="161" t="str">
        <f t="shared" si="17"/>
        <v>10 GbE</v>
      </c>
      <c r="C44" s="161" t="str">
        <f t="shared" si="17"/>
        <v>SFP+</v>
      </c>
      <c r="D44" s="161" t="str">
        <f t="shared" si="17"/>
        <v>All reaches</v>
      </c>
      <c r="E44" s="258">
        <f t="shared" ref="E44:M44" si="19">IF(E21=0,,E65*10^6/E21)</f>
        <v>16.815538644807191</v>
      </c>
      <c r="F44" s="258">
        <f t="shared" si="19"/>
        <v>13.986462718271209</v>
      </c>
      <c r="G44" s="258"/>
      <c r="H44" s="258"/>
      <c r="I44" s="258"/>
      <c r="J44" s="258"/>
      <c r="K44" s="258"/>
      <c r="L44" s="258"/>
      <c r="M44" s="258"/>
      <c r="N44" s="258"/>
      <c r="O44" s="582"/>
    </row>
    <row r="45" spans="1:16" s="160" customFormat="1" x14ac:dyDescent="0.25">
      <c r="A45" s="826"/>
      <c r="B45" s="161" t="str">
        <f t="shared" si="17"/>
        <v>25 GbE</v>
      </c>
      <c r="C45" s="161" t="str">
        <f t="shared" si="17"/>
        <v>SFP28</v>
      </c>
      <c r="D45" s="161" t="str">
        <f t="shared" si="17"/>
        <v>All reaches</v>
      </c>
      <c r="E45" s="258">
        <f t="shared" ref="E45:M45" si="20">IF(E22=0,,E66*10^6/E22)</f>
        <v>182.06356171750147</v>
      </c>
      <c r="F45" s="258">
        <f t="shared" si="20"/>
        <v>148.99019472816192</v>
      </c>
      <c r="G45" s="258"/>
      <c r="H45" s="258"/>
      <c r="I45" s="258"/>
      <c r="J45" s="258"/>
      <c r="K45" s="258"/>
      <c r="L45" s="258"/>
      <c r="M45" s="258"/>
      <c r="N45" s="258"/>
      <c r="O45" s="582"/>
    </row>
    <row r="46" spans="1:16" s="160" customFormat="1" x14ac:dyDescent="0.25">
      <c r="A46" s="826"/>
      <c r="B46" s="161" t="str">
        <f t="shared" si="17"/>
        <v>50 GbE</v>
      </c>
      <c r="C46" s="161" t="str">
        <f t="shared" si="17"/>
        <v>QSFP28</v>
      </c>
      <c r="D46" s="161" t="str">
        <f t="shared" si="17"/>
        <v>All reaches</v>
      </c>
      <c r="E46" s="258">
        <f t="shared" ref="E46:M46" si="21">IF(E23=0,,E67*10^6/E23)</f>
        <v>0</v>
      </c>
      <c r="F46" s="258">
        <f t="shared" si="21"/>
        <v>324.10355668962507</v>
      </c>
      <c r="G46" s="258"/>
      <c r="H46" s="258"/>
      <c r="I46" s="258"/>
      <c r="J46" s="258"/>
      <c r="K46" s="258"/>
      <c r="L46" s="258"/>
      <c r="M46" s="258"/>
      <c r="N46" s="258"/>
      <c r="O46" s="582"/>
    </row>
    <row r="47" spans="1:16" s="160" customFormat="1" x14ac:dyDescent="0.25">
      <c r="A47" s="826"/>
      <c r="B47" s="161" t="str">
        <f t="shared" si="17"/>
        <v>100 GbE</v>
      </c>
      <c r="C47" s="161" t="str">
        <f t="shared" si="17"/>
        <v>QSFP28</v>
      </c>
      <c r="D47" s="161" t="str">
        <f t="shared" si="17"/>
        <v>All reaches</v>
      </c>
      <c r="E47" s="258">
        <f t="shared" ref="E47:M48" si="22">IF(E24=0,,E68*10^6/E24)</f>
        <v>0</v>
      </c>
      <c r="F47" s="258">
        <f t="shared" si="22"/>
        <v>0</v>
      </c>
      <c r="G47" s="258"/>
      <c r="H47" s="258"/>
      <c r="I47" s="258"/>
      <c r="J47" s="258"/>
      <c r="K47" s="258"/>
      <c r="L47" s="258"/>
      <c r="M47" s="258"/>
      <c r="N47" s="258"/>
      <c r="O47" s="582"/>
    </row>
    <row r="48" spans="1:16" s="160" customFormat="1" x14ac:dyDescent="0.25">
      <c r="A48" s="826"/>
      <c r="B48" s="161" t="str">
        <f t="shared" si="17"/>
        <v>200 GbE</v>
      </c>
      <c r="C48" s="161" t="str">
        <f t="shared" si="17"/>
        <v>QSFP29</v>
      </c>
      <c r="D48" s="161" t="str">
        <f t="shared" si="17"/>
        <v>All reaches</v>
      </c>
      <c r="E48" s="258">
        <f t="shared" si="22"/>
        <v>0</v>
      </c>
      <c r="F48" s="258">
        <f t="shared" si="22"/>
        <v>0</v>
      </c>
      <c r="G48" s="258">
        <f t="shared" si="22"/>
        <v>0</v>
      </c>
      <c r="H48" s="258">
        <f t="shared" si="22"/>
        <v>0</v>
      </c>
      <c r="I48" s="258">
        <f t="shared" si="22"/>
        <v>0</v>
      </c>
      <c r="J48" s="258">
        <f t="shared" si="22"/>
        <v>0</v>
      </c>
      <c r="K48" s="258">
        <f t="shared" si="22"/>
        <v>0</v>
      </c>
      <c r="L48" s="258">
        <f t="shared" si="22"/>
        <v>0</v>
      </c>
      <c r="M48" s="258">
        <f t="shared" si="22"/>
        <v>0</v>
      </c>
      <c r="N48" s="258">
        <f t="shared" ref="N47:N48" si="23">IF(N25=0,,N69*10^6/N25)</f>
        <v>0</v>
      </c>
      <c r="O48" s="582"/>
    </row>
    <row r="49" spans="1:16" x14ac:dyDescent="0.25">
      <c r="A49" s="160"/>
      <c r="B49" s="160"/>
      <c r="D49" s="160"/>
      <c r="E49" s="46"/>
      <c r="F49" s="46"/>
      <c r="G49" s="46"/>
      <c r="H49" s="46"/>
      <c r="I49" s="46"/>
      <c r="J49" s="46"/>
      <c r="K49" s="46"/>
      <c r="L49" s="46"/>
      <c r="M49" s="46"/>
      <c r="N49" s="46"/>
      <c r="P49" s="163"/>
    </row>
    <row r="50" spans="1:16" ht="14.5" x14ac:dyDescent="0.35">
      <c r="B50" s="439" t="s">
        <v>415</v>
      </c>
      <c r="C50" s="46"/>
      <c r="D50" s="197"/>
      <c r="E50" s="572">
        <f>E6</f>
        <v>0</v>
      </c>
      <c r="F50" s="46"/>
      <c r="G50" s="46"/>
      <c r="H50" s="46"/>
      <c r="I50" s="46"/>
      <c r="J50" s="220"/>
      <c r="L50" s="46"/>
      <c r="N50" s="361" t="str">
        <f>B50</f>
        <v>Sales ($M) of units used in China</v>
      </c>
      <c r="P50" s="163"/>
    </row>
    <row r="51" spans="1:16" x14ac:dyDescent="0.25">
      <c r="B51" s="98" t="s">
        <v>10</v>
      </c>
      <c r="C51" s="98" t="s">
        <v>11</v>
      </c>
      <c r="D51" s="210" t="str">
        <f t="shared" ref="D51:D63" si="24">D7</f>
        <v>Wavelengths</v>
      </c>
      <c r="E51" s="98">
        <v>2016</v>
      </c>
      <c r="F51" s="98">
        <v>2017</v>
      </c>
      <c r="G51" s="98">
        <v>2018</v>
      </c>
      <c r="H51" s="98">
        <v>2019</v>
      </c>
      <c r="I51" s="98">
        <v>2020</v>
      </c>
      <c r="J51" s="98">
        <v>2021</v>
      </c>
      <c r="K51" s="98">
        <v>2022</v>
      </c>
      <c r="L51" s="98">
        <v>2023</v>
      </c>
      <c r="M51" s="98">
        <v>2024</v>
      </c>
      <c r="N51" s="98">
        <v>2025</v>
      </c>
      <c r="P51" s="163"/>
    </row>
    <row r="52" spans="1:16" ht="13.5" customHeight="1" x14ac:dyDescent="0.25">
      <c r="A52" s="823" t="str">
        <f>$A$8</f>
        <v>Fronthaul</v>
      </c>
      <c r="B52" s="255" t="str">
        <f t="shared" ref="B52:C63" si="25">B8</f>
        <v>1,3,6,12 Gbps</v>
      </c>
      <c r="C52" s="259" t="str">
        <f t="shared" si="25"/>
        <v>all</v>
      </c>
      <c r="D52" s="259" t="str">
        <f t="shared" si="24"/>
        <v>all</v>
      </c>
      <c r="E52" s="698">
        <v>115.85920463436767</v>
      </c>
      <c r="F52" s="698">
        <v>67.015171867338381</v>
      </c>
      <c r="G52" s="698"/>
      <c r="H52" s="698"/>
      <c r="I52" s="698"/>
      <c r="J52" s="698"/>
      <c r="K52" s="698"/>
      <c r="L52" s="698"/>
      <c r="M52" s="698"/>
      <c r="N52" s="698"/>
      <c r="P52" s="163"/>
    </row>
    <row r="53" spans="1:16" s="160" customFormat="1" x14ac:dyDescent="0.25">
      <c r="A53" s="821"/>
      <c r="B53" s="255" t="str">
        <f t="shared" si="25"/>
        <v>10 Gbps</v>
      </c>
      <c r="C53" s="259" t="str">
        <f t="shared" si="25"/>
        <v>all</v>
      </c>
      <c r="D53" s="259" t="str">
        <f t="shared" si="24"/>
        <v>grey</v>
      </c>
      <c r="E53" s="698">
        <v>102.89010582241818</v>
      </c>
      <c r="F53" s="698">
        <v>51.142853154500145</v>
      </c>
      <c r="G53" s="698"/>
      <c r="H53" s="698"/>
      <c r="I53" s="698"/>
      <c r="J53" s="698"/>
      <c r="K53" s="698"/>
      <c r="L53" s="698"/>
      <c r="M53" s="698"/>
      <c r="N53" s="698"/>
      <c r="P53" s="163"/>
    </row>
    <row r="54" spans="1:16" s="160" customFormat="1" x14ac:dyDescent="0.25">
      <c r="A54" s="821"/>
      <c r="B54" s="255" t="str">
        <f t="shared" si="25"/>
        <v>25 Gbps</v>
      </c>
      <c r="C54" s="259" t="str">
        <f t="shared" si="25"/>
        <v>≤ 0.5 km</v>
      </c>
      <c r="D54" s="259" t="str">
        <f t="shared" si="24"/>
        <v>grey MMF</v>
      </c>
      <c r="E54" s="698">
        <v>0</v>
      </c>
      <c r="F54" s="698">
        <v>0</v>
      </c>
      <c r="G54" s="698"/>
      <c r="H54" s="698"/>
      <c r="I54" s="698"/>
      <c r="J54" s="698"/>
      <c r="K54" s="698"/>
      <c r="L54" s="698"/>
      <c r="M54" s="698"/>
      <c r="N54" s="698"/>
      <c r="P54" s="163"/>
    </row>
    <row r="55" spans="1:16" s="160" customFormat="1" x14ac:dyDescent="0.25">
      <c r="A55" s="821"/>
      <c r="B55" s="255" t="str">
        <f t="shared" si="25"/>
        <v>25 Gbps</v>
      </c>
      <c r="C55" s="259" t="str">
        <f t="shared" si="25"/>
        <v>300 m</v>
      </c>
      <c r="D55" s="259" t="str">
        <f t="shared" si="24"/>
        <v>grey SMF</v>
      </c>
      <c r="E55" s="698">
        <v>0</v>
      </c>
      <c r="F55" s="698">
        <v>0</v>
      </c>
      <c r="G55" s="698"/>
      <c r="H55" s="698"/>
      <c r="I55" s="698"/>
      <c r="J55" s="698"/>
      <c r="K55" s="698"/>
      <c r="L55" s="698"/>
      <c r="M55" s="698"/>
      <c r="N55" s="698"/>
      <c r="P55" s="163"/>
    </row>
    <row r="56" spans="1:16" ht="12.5" customHeight="1" x14ac:dyDescent="0.25">
      <c r="A56" s="821"/>
      <c r="B56" s="246" t="str">
        <f t="shared" si="25"/>
        <v>25 Gbps</v>
      </c>
      <c r="C56" s="256" t="str">
        <f t="shared" si="25"/>
        <v>10, 20 km</v>
      </c>
      <c r="D56" s="256" t="str">
        <f t="shared" si="24"/>
        <v>duplex</v>
      </c>
      <c r="E56" s="698">
        <v>0</v>
      </c>
      <c r="F56" s="698">
        <v>0</v>
      </c>
      <c r="G56" s="698"/>
      <c r="H56" s="698"/>
      <c r="I56" s="698"/>
      <c r="J56" s="698"/>
      <c r="K56" s="698"/>
      <c r="L56" s="698"/>
      <c r="M56" s="698"/>
      <c r="N56" s="698"/>
      <c r="P56" s="163"/>
    </row>
    <row r="57" spans="1:16" s="160" customFormat="1" x14ac:dyDescent="0.25">
      <c r="A57" s="821"/>
      <c r="B57" s="246" t="str">
        <f t="shared" si="25"/>
        <v>25 Gbps</v>
      </c>
      <c r="C57" s="256" t="str">
        <f t="shared" si="25"/>
        <v>10, 20 km</v>
      </c>
      <c r="D57" s="256" t="str">
        <f t="shared" si="24"/>
        <v>Bi-Di</v>
      </c>
      <c r="E57" s="698">
        <v>0</v>
      </c>
      <c r="F57" s="698">
        <v>0</v>
      </c>
      <c r="G57" s="698"/>
      <c r="H57" s="698"/>
      <c r="I57" s="698"/>
      <c r="J57" s="698"/>
      <c r="K57" s="698"/>
      <c r="L57" s="698"/>
      <c r="M57" s="698"/>
      <c r="N57" s="698"/>
      <c r="P57" s="163"/>
    </row>
    <row r="58" spans="1:16" s="160" customFormat="1" x14ac:dyDescent="0.25">
      <c r="A58" s="821"/>
      <c r="B58" s="246" t="str">
        <f t="shared" si="25"/>
        <v>50 Gbps</v>
      </c>
      <c r="C58" s="256" t="str">
        <f t="shared" si="25"/>
        <v>all</v>
      </c>
      <c r="D58" s="256" t="str">
        <f t="shared" si="24"/>
        <v>grey</v>
      </c>
      <c r="E58" s="698">
        <v>0</v>
      </c>
      <c r="F58" s="698">
        <v>0</v>
      </c>
      <c r="G58" s="698"/>
      <c r="H58" s="698"/>
      <c r="I58" s="698"/>
      <c r="J58" s="698"/>
      <c r="K58" s="698"/>
      <c r="L58" s="698"/>
      <c r="M58" s="698"/>
      <c r="N58" s="698"/>
      <c r="P58" s="163"/>
    </row>
    <row r="59" spans="1:16" s="160" customFormat="1" x14ac:dyDescent="0.25">
      <c r="A59" s="821"/>
      <c r="B59" s="246" t="str">
        <f t="shared" si="25"/>
        <v>100 Gbps</v>
      </c>
      <c r="C59" s="256" t="str">
        <f t="shared" si="25"/>
        <v>all</v>
      </c>
      <c r="D59" s="256" t="str">
        <f t="shared" si="24"/>
        <v>grey</v>
      </c>
      <c r="E59" s="698">
        <v>0</v>
      </c>
      <c r="F59" s="698">
        <v>0</v>
      </c>
      <c r="G59" s="698"/>
      <c r="H59" s="698"/>
      <c r="I59" s="698"/>
      <c r="J59" s="698"/>
      <c r="K59" s="698"/>
      <c r="L59" s="698"/>
      <c r="M59" s="698"/>
      <c r="N59" s="698"/>
      <c r="P59" s="163"/>
    </row>
    <row r="60" spans="1:16" s="160" customFormat="1" x14ac:dyDescent="0.25">
      <c r="A60" s="821"/>
      <c r="B60" s="246" t="str">
        <f t="shared" si="25"/>
        <v>10 Gbps</v>
      </c>
      <c r="C60" s="256" t="str">
        <f t="shared" si="25"/>
        <v>all</v>
      </c>
      <c r="D60" s="256" t="str">
        <f t="shared" si="24"/>
        <v>CWDM</v>
      </c>
      <c r="E60" s="698">
        <v>0</v>
      </c>
      <c r="F60" s="698">
        <v>0</v>
      </c>
      <c r="G60" s="698"/>
      <c r="H60" s="698"/>
      <c r="I60" s="698"/>
      <c r="J60" s="698"/>
      <c r="K60" s="698"/>
      <c r="L60" s="698"/>
      <c r="M60" s="698"/>
      <c r="N60" s="698"/>
      <c r="P60" s="163"/>
    </row>
    <row r="61" spans="1:16" s="160" customFormat="1" x14ac:dyDescent="0.25">
      <c r="A61" s="821"/>
      <c r="B61" s="246" t="str">
        <f t="shared" si="25"/>
        <v>10 Gbps</v>
      </c>
      <c r="C61" s="256" t="str">
        <f t="shared" si="25"/>
        <v>all</v>
      </c>
      <c r="D61" s="256" t="str">
        <f t="shared" si="24"/>
        <v>DWDM</v>
      </c>
      <c r="E61" s="698">
        <v>0</v>
      </c>
      <c r="F61" s="698">
        <v>0</v>
      </c>
      <c r="G61" s="698"/>
      <c r="H61" s="698"/>
      <c r="I61" s="698"/>
      <c r="J61" s="698"/>
      <c r="K61" s="698"/>
      <c r="L61" s="698"/>
      <c r="M61" s="698"/>
      <c r="N61" s="698"/>
      <c r="P61" s="163"/>
    </row>
    <row r="62" spans="1:16" s="160" customFormat="1" x14ac:dyDescent="0.25">
      <c r="A62" s="821"/>
      <c r="B62" s="246" t="str">
        <f t="shared" si="25"/>
        <v>25 Gbps</v>
      </c>
      <c r="C62" s="256" t="str">
        <f t="shared" si="25"/>
        <v>all</v>
      </c>
      <c r="D62" s="256" t="str">
        <f t="shared" si="24"/>
        <v>CWDM</v>
      </c>
      <c r="E62" s="698">
        <v>0</v>
      </c>
      <c r="F62" s="698">
        <v>0</v>
      </c>
      <c r="G62" s="698"/>
      <c r="H62" s="698"/>
      <c r="I62" s="698"/>
      <c r="J62" s="698"/>
      <c r="K62" s="698"/>
      <c r="L62" s="698"/>
      <c r="M62" s="698"/>
      <c r="N62" s="698"/>
      <c r="P62" s="163"/>
    </row>
    <row r="63" spans="1:16" s="160" customFormat="1" x14ac:dyDescent="0.25">
      <c r="A63" s="821"/>
      <c r="B63" s="246" t="str">
        <f t="shared" si="25"/>
        <v>25 Gbps</v>
      </c>
      <c r="C63" s="256" t="str">
        <f t="shared" si="25"/>
        <v>all</v>
      </c>
      <c r="D63" s="256" t="str">
        <f t="shared" si="24"/>
        <v>DWDM</v>
      </c>
      <c r="E63" s="698">
        <v>0</v>
      </c>
      <c r="F63" s="698">
        <v>0</v>
      </c>
      <c r="G63" s="698"/>
      <c r="H63" s="698"/>
      <c r="I63" s="698"/>
      <c r="J63" s="698"/>
      <c r="K63" s="698"/>
      <c r="L63" s="698"/>
      <c r="M63" s="698"/>
      <c r="N63" s="698"/>
      <c r="P63" s="163"/>
    </row>
    <row r="64" spans="1:16" ht="13" thickBot="1" x14ac:dyDescent="0.3">
      <c r="A64" s="824"/>
      <c r="B64" s="617" t="str">
        <f t="shared" ref="B64:B70" si="26">B20</f>
        <v>Total FH</v>
      </c>
      <c r="C64" s="617" t="s">
        <v>20</v>
      </c>
      <c r="D64" s="617" t="s">
        <v>20</v>
      </c>
      <c r="E64" s="620">
        <f t="shared" ref="E64:L64" si="27">SUM(E52:E63)</f>
        <v>218.74931045678585</v>
      </c>
      <c r="F64" s="620">
        <f t="shared" si="27"/>
        <v>118.15802502183853</v>
      </c>
      <c r="G64" s="620"/>
      <c r="H64" s="620"/>
      <c r="I64" s="620"/>
      <c r="J64" s="620"/>
      <c r="K64" s="620"/>
      <c r="L64" s="620"/>
      <c r="M64" s="620"/>
      <c r="N64" s="620"/>
      <c r="P64" s="163"/>
    </row>
    <row r="65" spans="1:16" s="160" customFormat="1" x14ac:dyDescent="0.25">
      <c r="A65" s="821" t="s">
        <v>413</v>
      </c>
      <c r="B65" s="246" t="str">
        <f t="shared" si="26"/>
        <v>1GbE</v>
      </c>
      <c r="C65" s="246" t="str">
        <f t="shared" ref="C65:D70" si="28">C21</f>
        <v>SFP</v>
      </c>
      <c r="D65" s="246" t="str">
        <f t="shared" si="28"/>
        <v>All reaches</v>
      </c>
      <c r="E65" s="726">
        <v>4.8829737735086631</v>
      </c>
      <c r="F65" s="726">
        <v>3.6009966788071859</v>
      </c>
      <c r="G65" s="726"/>
      <c r="H65" s="726"/>
      <c r="I65" s="726"/>
      <c r="J65" s="726"/>
      <c r="K65" s="726"/>
      <c r="L65" s="726"/>
      <c r="M65" s="726"/>
      <c r="N65" s="726"/>
      <c r="O65" s="582"/>
    </row>
    <row r="66" spans="1:16" s="160" customFormat="1" x14ac:dyDescent="0.25">
      <c r="A66" s="821"/>
      <c r="B66" s="161" t="str">
        <f t="shared" si="26"/>
        <v>10 GbE</v>
      </c>
      <c r="C66" s="161" t="str">
        <f t="shared" si="28"/>
        <v>SFP+</v>
      </c>
      <c r="D66" s="161" t="str">
        <f t="shared" si="28"/>
        <v>All reaches</v>
      </c>
      <c r="E66" s="698">
        <v>5.5703351117547495</v>
      </c>
      <c r="F66" s="698">
        <v>42.321668282354516</v>
      </c>
      <c r="G66" s="698"/>
      <c r="H66" s="698"/>
      <c r="I66" s="698"/>
      <c r="J66" s="698"/>
      <c r="K66" s="698"/>
      <c r="L66" s="698"/>
      <c r="M66" s="698"/>
      <c r="N66" s="698"/>
      <c r="O66" s="582"/>
    </row>
    <row r="67" spans="1:16" s="160" customFormat="1" x14ac:dyDescent="0.25">
      <c r="A67" s="821"/>
      <c r="B67" s="161" t="str">
        <f t="shared" si="26"/>
        <v>25 GbE</v>
      </c>
      <c r="C67" s="161" t="str">
        <f t="shared" si="28"/>
        <v>SFP28</v>
      </c>
      <c r="D67" s="161" t="str">
        <f t="shared" si="28"/>
        <v>All reaches</v>
      </c>
      <c r="E67" s="698">
        <v>0</v>
      </c>
      <c r="F67" s="698">
        <v>0.58338640204132508</v>
      </c>
      <c r="G67" s="698"/>
      <c r="H67" s="698"/>
      <c r="I67" s="698"/>
      <c r="J67" s="698"/>
      <c r="K67" s="698"/>
      <c r="L67" s="698"/>
      <c r="M67" s="698"/>
      <c r="N67" s="698"/>
      <c r="O67" s="582"/>
    </row>
    <row r="68" spans="1:16" s="160" customFormat="1" x14ac:dyDescent="0.25">
      <c r="A68" s="821"/>
      <c r="B68" s="161" t="str">
        <f t="shared" si="26"/>
        <v>50 GbE</v>
      </c>
      <c r="C68" s="161" t="str">
        <f t="shared" si="28"/>
        <v>QSFP28</v>
      </c>
      <c r="D68" s="161" t="str">
        <f t="shared" si="28"/>
        <v>All reaches</v>
      </c>
      <c r="E68" s="698">
        <v>0</v>
      </c>
      <c r="F68" s="698">
        <v>0</v>
      </c>
      <c r="G68" s="698"/>
      <c r="H68" s="698"/>
      <c r="I68" s="698"/>
      <c r="J68" s="698"/>
      <c r="K68" s="698"/>
      <c r="L68" s="698"/>
      <c r="M68" s="698"/>
      <c r="N68" s="698"/>
      <c r="O68" s="582"/>
    </row>
    <row r="69" spans="1:16" s="160" customFormat="1" x14ac:dyDescent="0.25">
      <c r="A69" s="821"/>
      <c r="B69" s="161" t="str">
        <f t="shared" si="26"/>
        <v>100 GbE</v>
      </c>
      <c r="C69" s="161" t="str">
        <f t="shared" si="28"/>
        <v>QSFP28</v>
      </c>
      <c r="D69" s="161" t="str">
        <f t="shared" si="28"/>
        <v>All reaches</v>
      </c>
      <c r="E69" s="698">
        <v>0</v>
      </c>
      <c r="F69" s="698">
        <v>0</v>
      </c>
      <c r="G69" s="698"/>
      <c r="H69" s="698"/>
      <c r="I69" s="698"/>
      <c r="J69" s="698"/>
      <c r="K69" s="698"/>
      <c r="L69" s="698"/>
      <c r="M69" s="698"/>
      <c r="N69" s="698"/>
      <c r="O69" s="582"/>
    </row>
    <row r="70" spans="1:16" s="160" customFormat="1" x14ac:dyDescent="0.25">
      <c r="A70" s="821"/>
      <c r="B70" s="161" t="str">
        <f t="shared" si="26"/>
        <v>200 GbE</v>
      </c>
      <c r="C70" s="161" t="str">
        <f t="shared" si="28"/>
        <v>QSFP29</v>
      </c>
      <c r="D70" s="161" t="str">
        <f t="shared" si="28"/>
        <v>All reaches</v>
      </c>
      <c r="E70" s="698">
        <v>0</v>
      </c>
      <c r="F70" s="698">
        <v>0</v>
      </c>
      <c r="G70" s="698"/>
      <c r="H70" s="698"/>
      <c r="I70" s="698"/>
      <c r="J70" s="698"/>
      <c r="K70" s="698"/>
      <c r="L70" s="698"/>
      <c r="M70" s="698"/>
      <c r="N70" s="698"/>
      <c r="O70" s="582"/>
    </row>
    <row r="71" spans="1:16" s="160" customFormat="1" x14ac:dyDescent="0.25">
      <c r="A71" s="822"/>
      <c r="B71" s="161" t="str">
        <f>B27</f>
        <v>Total BH</v>
      </c>
      <c r="C71" s="161" t="str">
        <f>C27</f>
        <v>All</v>
      </c>
      <c r="D71" s="161" t="str">
        <f>D27</f>
        <v>All reaches</v>
      </c>
      <c r="E71" s="611">
        <f t="shared" ref="E71:N71" si="29">SUM(E65:E70)</f>
        <v>10.453308885263413</v>
      </c>
      <c r="F71" s="611">
        <f t="shared" si="29"/>
        <v>46.506051363203028</v>
      </c>
      <c r="G71" s="611"/>
      <c r="H71" s="611"/>
      <c r="I71" s="611"/>
      <c r="J71" s="611"/>
      <c r="K71" s="611"/>
      <c r="L71" s="611"/>
      <c r="M71" s="611"/>
      <c r="N71" s="611"/>
      <c r="O71" s="582"/>
    </row>
    <row r="72" spans="1:16" x14ac:dyDescent="0.25">
      <c r="A72"/>
      <c r="E72" s="59"/>
      <c r="F72" s="59">
        <f t="shared" ref="F72:N72" si="30">IF(E64=0,"",F64/E64-1)</f>
        <v>-0.45984732580365884</v>
      </c>
      <c r="G72" s="59"/>
      <c r="H72" s="59"/>
      <c r="I72" s="59"/>
      <c r="J72" s="59"/>
      <c r="K72" s="59"/>
      <c r="L72" s="59"/>
      <c r="M72" s="59"/>
      <c r="N72" s="59"/>
      <c r="P72" s="163"/>
    </row>
    <row r="73" spans="1:16" x14ac:dyDescent="0.25">
      <c r="P73" s="163"/>
    </row>
    <row r="74" spans="1:16" x14ac:dyDescent="0.25">
      <c r="B74" s="445"/>
      <c r="C74" s="445"/>
      <c r="D74" s="446"/>
      <c r="E74" s="445"/>
      <c r="F74" s="445"/>
      <c r="G74" s="445"/>
      <c r="H74" s="445"/>
      <c r="I74" s="445"/>
      <c r="J74" s="445"/>
      <c r="K74" s="445"/>
      <c r="L74" s="445"/>
      <c r="M74" s="445"/>
      <c r="N74" s="445"/>
      <c r="P74" s="163"/>
    </row>
    <row r="75" spans="1:16" ht="14.5" x14ac:dyDescent="0.35">
      <c r="B75" s="273" t="s">
        <v>357</v>
      </c>
      <c r="D75" s="418"/>
      <c r="E75" s="572" t="s">
        <v>414</v>
      </c>
      <c r="F75" s="160"/>
      <c r="G75" s="160"/>
      <c r="J75" s="220"/>
      <c r="N75" s="361" t="str">
        <f>B75</f>
        <v>Units - Rest of World</v>
      </c>
      <c r="P75" s="163"/>
    </row>
    <row r="76" spans="1:16" x14ac:dyDescent="0.25">
      <c r="B76" s="97" t="s">
        <v>10</v>
      </c>
      <c r="C76" s="97" t="s">
        <v>11</v>
      </c>
      <c r="D76" s="196" t="s">
        <v>158</v>
      </c>
      <c r="E76" s="229">
        <v>2016</v>
      </c>
      <c r="F76" s="229">
        <v>2017</v>
      </c>
      <c r="G76" s="229">
        <v>2018</v>
      </c>
      <c r="H76" s="229">
        <v>2019</v>
      </c>
      <c r="I76" s="229">
        <v>2020</v>
      </c>
      <c r="J76" s="229">
        <v>2021</v>
      </c>
      <c r="K76" s="229">
        <v>2022</v>
      </c>
      <c r="L76" s="229">
        <v>2023</v>
      </c>
      <c r="M76" s="229">
        <v>2024</v>
      </c>
      <c r="N76" s="229">
        <v>2025</v>
      </c>
      <c r="P76" s="163"/>
    </row>
    <row r="77" spans="1:16" x14ac:dyDescent="0.25">
      <c r="A77" s="823" t="s">
        <v>412</v>
      </c>
      <c r="B77" s="255" t="str">
        <f t="shared" ref="B77:D88" si="31">B8</f>
        <v>1,3,6,12 Gbps</v>
      </c>
      <c r="C77" s="259" t="str">
        <f t="shared" si="31"/>
        <v>all</v>
      </c>
      <c r="D77" s="256" t="str">
        <f t="shared" si="31"/>
        <v>all</v>
      </c>
      <c r="E77" s="622">
        <f t="shared" ref="E77:M77" si="32">IF(E145=0,"",E145-E8)</f>
        <v>4571005.88</v>
      </c>
      <c r="F77" s="622">
        <f t="shared" si="32"/>
        <v>3575897.2225990761</v>
      </c>
      <c r="G77" s="622"/>
      <c r="H77" s="622"/>
      <c r="I77" s="622"/>
      <c r="J77" s="622"/>
      <c r="K77" s="622"/>
      <c r="L77" s="622"/>
      <c r="M77" s="622"/>
      <c r="N77" s="622"/>
      <c r="P77" s="163"/>
    </row>
    <row r="78" spans="1:16" x14ac:dyDescent="0.25">
      <c r="A78" s="821"/>
      <c r="B78" s="255" t="str">
        <f t="shared" si="31"/>
        <v>10 Gbps</v>
      </c>
      <c r="C78" s="259" t="str">
        <f t="shared" si="31"/>
        <v>all</v>
      </c>
      <c r="D78" s="256" t="str">
        <f t="shared" si="31"/>
        <v>grey</v>
      </c>
      <c r="E78" s="622">
        <f t="shared" ref="E78:M78" si="33">IF(E146=0,"",E146-E9)</f>
        <v>3022407.8943415871</v>
      </c>
      <c r="F78" s="622">
        <f t="shared" si="33"/>
        <v>2076366.7770220819</v>
      </c>
      <c r="G78" s="622"/>
      <c r="H78" s="622"/>
      <c r="I78" s="622"/>
      <c r="J78" s="622"/>
      <c r="K78" s="622"/>
      <c r="L78" s="622"/>
      <c r="M78" s="622"/>
      <c r="N78" s="622"/>
      <c r="P78" s="163"/>
    </row>
    <row r="79" spans="1:16" x14ac:dyDescent="0.25">
      <c r="A79" s="821"/>
      <c r="B79" s="245" t="str">
        <f t="shared" si="31"/>
        <v>25 Gbps</v>
      </c>
      <c r="C79" s="259" t="str">
        <f t="shared" si="31"/>
        <v>≤ 0.5 km</v>
      </c>
      <c r="D79" s="256" t="str">
        <f t="shared" si="31"/>
        <v>grey MMF</v>
      </c>
      <c r="E79" s="622">
        <f t="shared" ref="E79:M79" si="34">IF(E147=0,0,E147-E10)</f>
        <v>150</v>
      </c>
      <c r="F79" s="622">
        <f t="shared" si="34"/>
        <v>4000</v>
      </c>
      <c r="G79" s="622"/>
      <c r="H79" s="622"/>
      <c r="I79" s="622"/>
      <c r="J79" s="622"/>
      <c r="K79" s="622"/>
      <c r="L79" s="622"/>
      <c r="M79" s="622"/>
      <c r="N79" s="622"/>
      <c r="P79" s="163"/>
    </row>
    <row r="80" spans="1:16" x14ac:dyDescent="0.25">
      <c r="A80" s="821"/>
      <c r="B80" s="245" t="str">
        <f t="shared" si="31"/>
        <v>25 Gbps</v>
      </c>
      <c r="C80" s="259" t="str">
        <f t="shared" si="31"/>
        <v>300 m</v>
      </c>
      <c r="D80" s="256" t="str">
        <f t="shared" si="31"/>
        <v>grey SMF</v>
      </c>
      <c r="E80" s="622">
        <f t="shared" ref="E80:M80" si="35">IF(E148=0,0,E148-E11)</f>
        <v>0</v>
      </c>
      <c r="F80" s="622">
        <f t="shared" si="35"/>
        <v>500</v>
      </c>
      <c r="G80" s="622"/>
      <c r="H80" s="622"/>
      <c r="I80" s="622"/>
      <c r="J80" s="622"/>
      <c r="K80" s="622"/>
      <c r="L80" s="622"/>
      <c r="M80" s="622"/>
      <c r="N80" s="622"/>
      <c r="P80" s="163"/>
    </row>
    <row r="81" spans="1:16" x14ac:dyDescent="0.25">
      <c r="A81" s="821"/>
      <c r="B81" s="161" t="str">
        <f t="shared" si="31"/>
        <v>25 Gbps</v>
      </c>
      <c r="C81" s="259" t="str">
        <f t="shared" si="31"/>
        <v>10, 20 km</v>
      </c>
      <c r="D81" s="256" t="str">
        <f t="shared" si="31"/>
        <v>duplex</v>
      </c>
      <c r="E81" s="622">
        <f t="shared" ref="E81:M81" si="36">IF(E149=0,0,E149-E12)</f>
        <v>450</v>
      </c>
      <c r="F81" s="622">
        <f t="shared" si="36"/>
        <v>74000</v>
      </c>
      <c r="G81" s="622"/>
      <c r="H81" s="622"/>
      <c r="I81" s="622"/>
      <c r="J81" s="622"/>
      <c r="K81" s="622"/>
      <c r="L81" s="622"/>
      <c r="M81" s="622"/>
      <c r="N81" s="622"/>
      <c r="P81" s="163"/>
    </row>
    <row r="82" spans="1:16" x14ac:dyDescent="0.25">
      <c r="A82" s="821"/>
      <c r="B82" s="246" t="str">
        <f t="shared" si="31"/>
        <v>25 Gbps</v>
      </c>
      <c r="C82" s="259" t="str">
        <f t="shared" si="31"/>
        <v>10, 20 km</v>
      </c>
      <c r="D82" s="256" t="str">
        <f t="shared" si="31"/>
        <v>Bi-Di</v>
      </c>
      <c r="E82" s="622">
        <f t="shared" ref="E82:M82" si="37">IF(E150=0,0,E150-E13)</f>
        <v>0</v>
      </c>
      <c r="F82" s="622">
        <f t="shared" si="37"/>
        <v>0</v>
      </c>
      <c r="G82" s="622"/>
      <c r="H82" s="622"/>
      <c r="I82" s="622"/>
      <c r="J82" s="622"/>
      <c r="K82" s="622"/>
      <c r="L82" s="622"/>
      <c r="M82" s="622"/>
      <c r="N82" s="622"/>
      <c r="P82" s="163"/>
    </row>
    <row r="83" spans="1:16" x14ac:dyDescent="0.25">
      <c r="A83" s="821"/>
      <c r="B83" s="246" t="str">
        <f t="shared" si="31"/>
        <v>50 Gbps</v>
      </c>
      <c r="C83" s="259" t="str">
        <f t="shared" si="31"/>
        <v>all</v>
      </c>
      <c r="D83" s="256" t="str">
        <f t="shared" si="31"/>
        <v>grey</v>
      </c>
      <c r="E83" s="622">
        <f t="shared" ref="E83:M83" si="38">IF(E151=0,0,E151-E14)</f>
        <v>0</v>
      </c>
      <c r="F83" s="622">
        <f t="shared" si="38"/>
        <v>0</v>
      </c>
      <c r="G83" s="622"/>
      <c r="H83" s="622"/>
      <c r="I83" s="622"/>
      <c r="J83" s="622"/>
      <c r="K83" s="622"/>
      <c r="L83" s="622"/>
      <c r="M83" s="622"/>
      <c r="N83" s="622"/>
      <c r="P83" s="163"/>
    </row>
    <row r="84" spans="1:16" s="160" customFormat="1" x14ac:dyDescent="0.25">
      <c r="A84" s="821"/>
      <c r="B84" s="246" t="str">
        <f t="shared" si="31"/>
        <v>100 Gbps</v>
      </c>
      <c r="C84" s="259" t="str">
        <f t="shared" si="31"/>
        <v>all</v>
      </c>
      <c r="D84" s="256" t="str">
        <f t="shared" si="31"/>
        <v>grey</v>
      </c>
      <c r="E84" s="622">
        <f t="shared" ref="E84:M84" si="39">IF(E152=0,0,E152-E15)</f>
        <v>0</v>
      </c>
      <c r="F84" s="622">
        <f t="shared" si="39"/>
        <v>0</v>
      </c>
      <c r="G84" s="622"/>
      <c r="H84" s="622"/>
      <c r="I84" s="622"/>
      <c r="J84" s="622"/>
      <c r="K84" s="622"/>
      <c r="L84" s="622"/>
      <c r="M84" s="622"/>
      <c r="N84" s="622"/>
      <c r="P84" s="163"/>
    </row>
    <row r="85" spans="1:16" s="160" customFormat="1" x14ac:dyDescent="0.25">
      <c r="A85" s="821"/>
      <c r="B85" s="246" t="str">
        <f t="shared" si="31"/>
        <v>10 Gbps</v>
      </c>
      <c r="C85" s="259" t="str">
        <f t="shared" si="31"/>
        <v>all</v>
      </c>
      <c r="D85" s="256" t="str">
        <f t="shared" si="31"/>
        <v>CWDM</v>
      </c>
      <c r="E85" s="622">
        <f t="shared" ref="E85:M85" si="40">IF(E153=0,0,E153-E16)</f>
        <v>0</v>
      </c>
      <c r="F85" s="622">
        <f t="shared" si="40"/>
        <v>0</v>
      </c>
      <c r="G85" s="622"/>
      <c r="H85" s="622"/>
      <c r="I85" s="622"/>
      <c r="J85" s="622"/>
      <c r="K85" s="622"/>
      <c r="L85" s="622"/>
      <c r="M85" s="622"/>
      <c r="N85" s="622"/>
      <c r="P85" s="163"/>
    </row>
    <row r="86" spans="1:16" s="160" customFormat="1" x14ac:dyDescent="0.25">
      <c r="A86" s="821"/>
      <c r="B86" s="246" t="str">
        <f t="shared" si="31"/>
        <v>10 Gbps</v>
      </c>
      <c r="C86" s="259" t="str">
        <f t="shared" si="31"/>
        <v>all</v>
      </c>
      <c r="D86" s="256" t="str">
        <f t="shared" si="31"/>
        <v>DWDM</v>
      </c>
      <c r="E86" s="622">
        <f t="shared" ref="E86:M86" si="41">IF(E154=0,0,E154-E17)</f>
        <v>39985.336519634919</v>
      </c>
      <c r="F86" s="622">
        <f t="shared" si="41"/>
        <v>75000</v>
      </c>
      <c r="G86" s="622"/>
      <c r="H86" s="622"/>
      <c r="I86" s="622"/>
      <c r="J86" s="622"/>
      <c r="K86" s="622"/>
      <c r="L86" s="622"/>
      <c r="M86" s="622"/>
      <c r="N86" s="622"/>
      <c r="P86" s="163"/>
    </row>
    <row r="87" spans="1:16" s="160" customFormat="1" x14ac:dyDescent="0.25">
      <c r="A87" s="821"/>
      <c r="B87" s="246" t="str">
        <f t="shared" si="31"/>
        <v>25 Gbps</v>
      </c>
      <c r="C87" s="259" t="str">
        <f t="shared" si="31"/>
        <v>all</v>
      </c>
      <c r="D87" s="256" t="str">
        <f t="shared" si="31"/>
        <v>CWDM</v>
      </c>
      <c r="E87" s="622">
        <f t="shared" ref="E87:M87" si="42">IF(E155=0,0,E155-E18)</f>
        <v>0</v>
      </c>
      <c r="F87" s="622">
        <f t="shared" si="42"/>
        <v>0</v>
      </c>
      <c r="G87" s="622"/>
      <c r="H87" s="622"/>
      <c r="I87" s="622"/>
      <c r="J87" s="622"/>
      <c r="K87" s="622"/>
      <c r="L87" s="622"/>
      <c r="M87" s="622"/>
      <c r="N87" s="622"/>
      <c r="P87" s="163"/>
    </row>
    <row r="88" spans="1:16" s="160" customFormat="1" x14ac:dyDescent="0.25">
      <c r="A88" s="821"/>
      <c r="B88" s="246" t="str">
        <f t="shared" si="31"/>
        <v>25 Gbps</v>
      </c>
      <c r="C88" s="259" t="str">
        <f t="shared" si="31"/>
        <v>all</v>
      </c>
      <c r="D88" s="256" t="str">
        <f t="shared" si="31"/>
        <v>DWDM</v>
      </c>
      <c r="E88" s="622">
        <f t="shared" ref="E88:M88" si="43">IF(E156=0,0,E156-E19)</f>
        <v>0</v>
      </c>
      <c r="F88" s="622">
        <f t="shared" si="43"/>
        <v>0</v>
      </c>
      <c r="G88" s="622"/>
      <c r="H88" s="622"/>
      <c r="I88" s="622"/>
      <c r="J88" s="622"/>
      <c r="K88" s="622"/>
      <c r="L88" s="622"/>
      <c r="M88" s="622"/>
      <c r="N88" s="622"/>
      <c r="P88" s="163"/>
    </row>
    <row r="89" spans="1:16" ht="13" thickBot="1" x14ac:dyDescent="0.3">
      <c r="A89" s="824"/>
      <c r="B89" s="617" t="str">
        <f t="shared" ref="B89:B95" si="44">B20</f>
        <v>Total FH</v>
      </c>
      <c r="C89" s="617" t="s">
        <v>20</v>
      </c>
      <c r="D89" s="617" t="s">
        <v>20</v>
      </c>
      <c r="E89" s="623">
        <f t="shared" ref="E89:L89" si="45">SUM(E77:E88)</f>
        <v>7633999.1108612223</v>
      </c>
      <c r="F89" s="623">
        <f t="shared" si="45"/>
        <v>5805763.9996211585</v>
      </c>
      <c r="G89" s="623"/>
      <c r="H89" s="623"/>
      <c r="I89" s="623"/>
      <c r="J89" s="623"/>
      <c r="K89" s="623"/>
      <c r="L89" s="623"/>
      <c r="M89" s="623"/>
      <c r="N89" s="623"/>
      <c r="P89" s="163"/>
    </row>
    <row r="90" spans="1:16" s="160" customFormat="1" x14ac:dyDescent="0.25">
      <c r="A90" s="821" t="s">
        <v>413</v>
      </c>
      <c r="B90" s="246" t="str">
        <f t="shared" si="44"/>
        <v>1GbE</v>
      </c>
      <c r="C90" s="246" t="str">
        <f t="shared" ref="C90:D95" si="46">C21</f>
        <v>SFP</v>
      </c>
      <c r="D90" s="246" t="str">
        <f t="shared" si="46"/>
        <v>All reaches</v>
      </c>
      <c r="E90" s="644">
        <f t="shared" ref="E90:E95" si="47">IF(E158=0,0,E158-E21)</f>
        <v>354914.53366875002</v>
      </c>
      <c r="F90" s="644">
        <f t="shared" ref="F90:N90" si="48">IF(F158=0,0,F158-F21)</f>
        <v>386194.50300000003</v>
      </c>
      <c r="G90" s="644"/>
      <c r="H90" s="644"/>
      <c r="I90" s="644"/>
      <c r="J90" s="644"/>
      <c r="K90" s="644"/>
      <c r="L90" s="644"/>
      <c r="M90" s="644"/>
      <c r="N90" s="644"/>
      <c r="P90" s="163"/>
    </row>
    <row r="91" spans="1:16" s="160" customFormat="1" x14ac:dyDescent="0.25">
      <c r="A91" s="821"/>
      <c r="B91" s="161" t="str">
        <f t="shared" si="44"/>
        <v>10 GbE</v>
      </c>
      <c r="C91" s="161" t="str">
        <f t="shared" si="46"/>
        <v>SFP+</v>
      </c>
      <c r="D91" s="161" t="str">
        <f t="shared" si="46"/>
        <v>All reaches</v>
      </c>
      <c r="E91" s="493">
        <f t="shared" si="47"/>
        <v>581315.48193899996</v>
      </c>
      <c r="F91" s="493">
        <f t="shared" ref="F91:N91" si="49">IF(F159=0,0,F159-F22)</f>
        <v>347180.45406000002</v>
      </c>
      <c r="G91" s="493"/>
      <c r="H91" s="493"/>
      <c r="I91" s="493"/>
      <c r="J91" s="493"/>
      <c r="K91" s="493"/>
      <c r="L91" s="493"/>
      <c r="M91" s="493"/>
      <c r="N91" s="493"/>
      <c r="P91" s="163"/>
    </row>
    <row r="92" spans="1:16" s="160" customFormat="1" x14ac:dyDescent="0.25">
      <c r="A92" s="821"/>
      <c r="B92" s="161" t="str">
        <f t="shared" si="44"/>
        <v>25 GbE</v>
      </c>
      <c r="C92" s="161" t="str">
        <f t="shared" si="46"/>
        <v>SFP28</v>
      </c>
      <c r="D92" s="161" t="str">
        <f t="shared" si="46"/>
        <v>All reaches</v>
      </c>
      <c r="E92" s="493">
        <f t="shared" si="47"/>
        <v>0</v>
      </c>
      <c r="F92" s="493">
        <f t="shared" ref="F92:N92" si="50">IF(F160=0,0,F160-F23)</f>
        <v>200</v>
      </c>
      <c r="G92" s="493"/>
      <c r="H92" s="493"/>
      <c r="I92" s="493"/>
      <c r="J92" s="493"/>
      <c r="K92" s="493"/>
      <c r="L92" s="493"/>
      <c r="M92" s="493"/>
      <c r="N92" s="493"/>
      <c r="P92" s="163"/>
    </row>
    <row r="93" spans="1:16" s="160" customFormat="1" x14ac:dyDescent="0.25">
      <c r="A93" s="821"/>
      <c r="B93" s="161" t="str">
        <f t="shared" si="44"/>
        <v>50 GbE</v>
      </c>
      <c r="C93" s="161" t="str">
        <f t="shared" si="46"/>
        <v>QSFP28</v>
      </c>
      <c r="D93" s="161" t="str">
        <f t="shared" si="46"/>
        <v>All reaches</v>
      </c>
      <c r="E93" s="493">
        <f t="shared" si="47"/>
        <v>0</v>
      </c>
      <c r="F93" s="493">
        <f t="shared" ref="F93:N93" si="51">IF(F161=0,0,F161-F24)</f>
        <v>0</v>
      </c>
      <c r="G93" s="493"/>
      <c r="H93" s="493"/>
      <c r="I93" s="493"/>
      <c r="J93" s="493"/>
      <c r="K93" s="493"/>
      <c r="L93" s="493"/>
      <c r="M93" s="493"/>
      <c r="N93" s="493"/>
      <c r="P93" s="163"/>
    </row>
    <row r="94" spans="1:16" s="160" customFormat="1" x14ac:dyDescent="0.25">
      <c r="A94" s="821"/>
      <c r="B94" s="161" t="str">
        <f t="shared" si="44"/>
        <v>100 GbE</v>
      </c>
      <c r="C94" s="161" t="str">
        <f t="shared" si="46"/>
        <v>QSFP28</v>
      </c>
      <c r="D94" s="161" t="str">
        <f t="shared" si="46"/>
        <v>All reaches</v>
      </c>
      <c r="E94" s="493">
        <f t="shared" si="47"/>
        <v>0</v>
      </c>
      <c r="F94" s="493">
        <f t="shared" ref="F94:N94" si="52">IF(F162=0,0,F162-F25)</f>
        <v>0</v>
      </c>
      <c r="G94" s="493"/>
      <c r="H94" s="493"/>
      <c r="I94" s="493"/>
      <c r="J94" s="493"/>
      <c r="K94" s="493"/>
      <c r="L94" s="493"/>
      <c r="M94" s="493"/>
      <c r="N94" s="493"/>
      <c r="P94" s="163"/>
    </row>
    <row r="95" spans="1:16" s="160" customFormat="1" x14ac:dyDescent="0.25">
      <c r="A95" s="821"/>
      <c r="B95" s="161" t="str">
        <f t="shared" si="44"/>
        <v>200 GbE</v>
      </c>
      <c r="C95" s="161" t="str">
        <f t="shared" si="46"/>
        <v>QSFP29</v>
      </c>
      <c r="D95" s="161" t="str">
        <f t="shared" si="46"/>
        <v>All reaches</v>
      </c>
      <c r="E95" s="493">
        <f t="shared" si="47"/>
        <v>0</v>
      </c>
      <c r="F95" s="493">
        <f t="shared" ref="F95:N95" si="53">IF(F163=0,0,F163-F26)</f>
        <v>0</v>
      </c>
      <c r="G95" s="493"/>
      <c r="H95" s="493"/>
      <c r="I95" s="493"/>
      <c r="J95" s="493"/>
      <c r="K95" s="493"/>
      <c r="L95" s="493"/>
      <c r="M95" s="493"/>
      <c r="N95" s="493"/>
      <c r="P95" s="163"/>
    </row>
    <row r="96" spans="1:16" s="160" customFormat="1" x14ac:dyDescent="0.25">
      <c r="A96" s="822"/>
      <c r="B96" s="161" t="str">
        <f>B27</f>
        <v>Total BH</v>
      </c>
      <c r="C96" s="161" t="str">
        <f>C27</f>
        <v>All</v>
      </c>
      <c r="D96" s="161" t="str">
        <f>D27</f>
        <v>All reaches</v>
      </c>
      <c r="E96" s="624">
        <f>SUM(E90:E95)</f>
        <v>936230.01560775004</v>
      </c>
      <c r="F96" s="624">
        <f t="shared" ref="F96:N96" si="54">SUM(F90:F95)</f>
        <v>733574.95706000004</v>
      </c>
      <c r="G96" s="624"/>
      <c r="H96" s="624"/>
      <c r="I96" s="624"/>
      <c r="J96" s="624"/>
      <c r="K96" s="624"/>
      <c r="L96" s="624"/>
      <c r="M96" s="624"/>
      <c r="N96" s="624"/>
      <c r="P96" s="163"/>
    </row>
    <row r="97" spans="1:16" x14ac:dyDescent="0.25">
      <c r="A97" s="100"/>
      <c r="B97" s="160"/>
      <c r="D97" s="197"/>
      <c r="E97" s="59"/>
      <c r="F97" s="59">
        <f t="shared" ref="F97:N97" si="55">IF(E89=0,"",F89/E89-1)</f>
        <v>-0.23948589522874775</v>
      </c>
      <c r="G97" s="59"/>
      <c r="H97" s="59"/>
      <c r="I97" s="59"/>
      <c r="J97" s="59"/>
      <c r="K97" s="59"/>
      <c r="L97" s="442"/>
      <c r="M97" s="442"/>
      <c r="N97" s="442"/>
      <c r="P97" s="163"/>
    </row>
    <row r="98" spans="1:16" ht="14.5" x14ac:dyDescent="0.35">
      <c r="A98" s="43"/>
      <c r="B98" s="273" t="s">
        <v>359</v>
      </c>
      <c r="C98" s="46"/>
      <c r="D98" s="197"/>
      <c r="E98" s="572" t="s">
        <v>208</v>
      </c>
      <c r="F98" s="46"/>
      <c r="G98" s="46"/>
      <c r="H98" s="46"/>
      <c r="I98" s="46"/>
      <c r="J98" s="220"/>
      <c r="M98" s="46"/>
      <c r="N98" s="361" t="str">
        <f>B98</f>
        <v>ASP ($) - Rest of World</v>
      </c>
      <c r="P98" s="163"/>
    </row>
    <row r="99" spans="1:16" x14ac:dyDescent="0.25">
      <c r="A99" s="101"/>
      <c r="B99" s="98" t="s">
        <v>10</v>
      </c>
      <c r="C99" s="98" t="s">
        <v>11</v>
      </c>
      <c r="D99" s="210" t="str">
        <f>D76</f>
        <v>Wavelengths</v>
      </c>
      <c r="E99" s="98">
        <v>2016</v>
      </c>
      <c r="F99" s="98">
        <v>2017</v>
      </c>
      <c r="G99" s="98">
        <v>2018</v>
      </c>
      <c r="H99" s="98">
        <v>2019</v>
      </c>
      <c r="I99" s="98">
        <v>2020</v>
      </c>
      <c r="J99" s="98">
        <v>2021</v>
      </c>
      <c r="K99" s="98">
        <v>2022</v>
      </c>
      <c r="L99" s="98">
        <v>2023</v>
      </c>
      <c r="M99" s="98">
        <v>2024</v>
      </c>
      <c r="N99" s="98">
        <v>2025</v>
      </c>
      <c r="P99" s="163"/>
    </row>
    <row r="100" spans="1:16" x14ac:dyDescent="0.25">
      <c r="A100" s="823" t="str">
        <f>A77</f>
        <v>Fronthaul</v>
      </c>
      <c r="B100" s="255" t="str">
        <f t="shared" ref="B100:D111" si="56">B8</f>
        <v>1,3,6,12 Gbps</v>
      </c>
      <c r="C100" s="259" t="str">
        <f t="shared" si="56"/>
        <v>all</v>
      </c>
      <c r="D100" s="256" t="str">
        <f t="shared" si="56"/>
        <v>all</v>
      </c>
      <c r="E100" s="257">
        <f t="shared" ref="E100:M100" si="57">IF(E77=0,"",E121*10^6/E77)</f>
        <v>16.897696433557229</v>
      </c>
      <c r="F100" s="257">
        <f t="shared" si="57"/>
        <v>14.724913670056404</v>
      </c>
      <c r="G100" s="257" t="str">
        <f t="shared" si="57"/>
        <v/>
      </c>
      <c r="H100" s="257" t="str">
        <f t="shared" si="57"/>
        <v/>
      </c>
      <c r="I100" s="257" t="str">
        <f t="shared" si="57"/>
        <v/>
      </c>
      <c r="J100" s="257" t="str">
        <f t="shared" si="57"/>
        <v/>
      </c>
      <c r="K100" s="257" t="str">
        <f t="shared" si="57"/>
        <v/>
      </c>
      <c r="L100" s="257" t="str">
        <f t="shared" si="57"/>
        <v/>
      </c>
      <c r="M100" s="257" t="str">
        <f t="shared" si="57"/>
        <v/>
      </c>
      <c r="N100" s="257" t="str">
        <f t="shared" ref="N100" si="58">IF(N77=0,"",N121*10^6/N77)</f>
        <v/>
      </c>
      <c r="P100" s="163"/>
    </row>
    <row r="101" spans="1:16" x14ac:dyDescent="0.25">
      <c r="A101" s="821"/>
      <c r="B101" s="255" t="str">
        <f t="shared" si="56"/>
        <v>10 Gbps</v>
      </c>
      <c r="C101" s="259" t="str">
        <f t="shared" si="56"/>
        <v>all</v>
      </c>
      <c r="D101" s="256" t="str">
        <f t="shared" si="56"/>
        <v>grey</v>
      </c>
      <c r="E101" s="257">
        <f t="shared" ref="E101:M101" si="59">IF(E78=0,"",E122*10^6/E78)</f>
        <v>22.694952593933323</v>
      </c>
      <c r="F101" s="257">
        <f t="shared" si="59"/>
        <v>19.352876755863903</v>
      </c>
      <c r="G101" s="257"/>
      <c r="H101" s="257"/>
      <c r="I101" s="257"/>
      <c r="J101" s="257"/>
      <c r="K101" s="257"/>
      <c r="L101" s="257"/>
      <c r="M101" s="257"/>
      <c r="N101" s="257"/>
      <c r="P101" s="163"/>
    </row>
    <row r="102" spans="1:16" x14ac:dyDescent="0.25">
      <c r="A102" s="821"/>
      <c r="B102" s="245" t="str">
        <f t="shared" si="56"/>
        <v>25 Gbps</v>
      </c>
      <c r="C102" s="259" t="str">
        <f t="shared" si="56"/>
        <v>≤ 0.5 km</v>
      </c>
      <c r="D102" s="256" t="str">
        <f t="shared" si="56"/>
        <v>grey MMF</v>
      </c>
      <c r="E102" s="257">
        <f t="shared" ref="E102:M102" si="60">IF(E79=0,"",E123*10^6/E79)</f>
        <v>163.44660226760334</v>
      </c>
      <c r="F102" s="257">
        <f t="shared" si="60"/>
        <v>96</v>
      </c>
      <c r="G102" s="257"/>
      <c r="H102" s="257"/>
      <c r="I102" s="257"/>
      <c r="J102" s="257"/>
      <c r="K102" s="257"/>
      <c r="L102" s="257"/>
      <c r="M102" s="257"/>
      <c r="N102" s="257"/>
      <c r="P102" s="163"/>
    </row>
    <row r="103" spans="1:16" x14ac:dyDescent="0.25">
      <c r="A103" s="821"/>
      <c r="B103" s="245" t="str">
        <f t="shared" si="56"/>
        <v>25 Gbps</v>
      </c>
      <c r="C103" s="259" t="str">
        <f t="shared" si="56"/>
        <v>300 m</v>
      </c>
      <c r="D103" s="256" t="str">
        <f t="shared" si="56"/>
        <v>grey SMF</v>
      </c>
      <c r="E103" s="257" t="str">
        <f t="shared" ref="E103:M103" si="61">IF(E80=0,"",E124*10^6/E80)</f>
        <v/>
      </c>
      <c r="F103" s="257">
        <f t="shared" si="61"/>
        <v>97</v>
      </c>
      <c r="G103" s="257"/>
      <c r="H103" s="257"/>
      <c r="I103" s="257"/>
      <c r="J103" s="257"/>
      <c r="K103" s="257"/>
      <c r="L103" s="257"/>
      <c r="M103" s="257"/>
      <c r="N103" s="257"/>
      <c r="P103" s="163"/>
    </row>
    <row r="104" spans="1:16" x14ac:dyDescent="0.25">
      <c r="A104" s="821"/>
      <c r="B104" s="161" t="str">
        <f t="shared" si="56"/>
        <v>25 Gbps</v>
      </c>
      <c r="C104" s="259" t="str">
        <f t="shared" si="56"/>
        <v>10, 20 km</v>
      </c>
      <c r="D104" s="256" t="str">
        <f t="shared" si="56"/>
        <v>duplex</v>
      </c>
      <c r="E104" s="257">
        <f t="shared" ref="E104:M104" si="62">IF(E81=0,"",E125*10^6/E81)</f>
        <v>125.71518903512825</v>
      </c>
      <c r="F104" s="257">
        <f t="shared" si="62"/>
        <v>109.79729729729729</v>
      </c>
      <c r="G104" s="257"/>
      <c r="H104" s="257"/>
      <c r="I104" s="257"/>
      <c r="J104" s="257"/>
      <c r="K104" s="257"/>
      <c r="L104" s="257"/>
      <c r="M104" s="257"/>
      <c r="N104" s="257"/>
      <c r="P104" s="163"/>
    </row>
    <row r="105" spans="1:16" x14ac:dyDescent="0.25">
      <c r="A105" s="821"/>
      <c r="B105" s="246" t="str">
        <f t="shared" si="56"/>
        <v>25 Gbps</v>
      </c>
      <c r="C105" s="259" t="str">
        <f t="shared" si="56"/>
        <v>10, 20 km</v>
      </c>
      <c r="D105" s="256" t="str">
        <f t="shared" si="56"/>
        <v>Bi-Di</v>
      </c>
      <c r="E105" s="257" t="str">
        <f t="shared" ref="E105:M105" si="63">IF(E82=0,"",E126*10^6/E82)</f>
        <v/>
      </c>
      <c r="F105" s="257" t="str">
        <f t="shared" si="63"/>
        <v/>
      </c>
      <c r="G105" s="257"/>
      <c r="H105" s="257"/>
      <c r="I105" s="257"/>
      <c r="J105" s="257"/>
      <c r="K105" s="257"/>
      <c r="L105" s="257"/>
      <c r="M105" s="257"/>
      <c r="N105" s="257"/>
      <c r="P105" s="163"/>
    </row>
    <row r="106" spans="1:16" x14ac:dyDescent="0.25">
      <c r="A106" s="821"/>
      <c r="B106" s="246" t="str">
        <f t="shared" si="56"/>
        <v>50 Gbps</v>
      </c>
      <c r="C106" s="342" t="str">
        <f t="shared" si="56"/>
        <v>all</v>
      </c>
      <c r="D106" s="256" t="str">
        <f t="shared" si="56"/>
        <v>grey</v>
      </c>
      <c r="E106" s="257" t="str">
        <f t="shared" ref="E106:M106" si="64">IF(E83=0,"",E127*10^6/E83)</f>
        <v/>
      </c>
      <c r="F106" s="257" t="str">
        <f t="shared" si="64"/>
        <v/>
      </c>
      <c r="G106" s="257"/>
      <c r="H106" s="257"/>
      <c r="I106" s="257"/>
      <c r="J106" s="257"/>
      <c r="K106" s="257"/>
      <c r="L106" s="257"/>
      <c r="M106" s="257"/>
      <c r="N106" s="257"/>
      <c r="P106" s="163"/>
    </row>
    <row r="107" spans="1:16" s="160" customFormat="1" x14ac:dyDescent="0.25">
      <c r="A107" s="821"/>
      <c r="B107" s="246" t="str">
        <f t="shared" si="56"/>
        <v>100 Gbps</v>
      </c>
      <c r="C107" s="342" t="str">
        <f t="shared" si="56"/>
        <v>all</v>
      </c>
      <c r="D107" s="256" t="str">
        <f t="shared" si="56"/>
        <v>grey</v>
      </c>
      <c r="E107" s="257" t="str">
        <f t="shared" ref="E107:M107" si="65">IF(E84=0,"",E128*10^6/E84)</f>
        <v/>
      </c>
      <c r="F107" s="257" t="str">
        <f t="shared" si="65"/>
        <v/>
      </c>
      <c r="G107" s="257"/>
      <c r="H107" s="257"/>
      <c r="I107" s="257"/>
      <c r="J107" s="257"/>
      <c r="K107" s="257"/>
      <c r="L107" s="257"/>
      <c r="M107" s="257"/>
      <c r="N107" s="257"/>
      <c r="P107" s="163"/>
    </row>
    <row r="108" spans="1:16" s="160" customFormat="1" x14ac:dyDescent="0.25">
      <c r="A108" s="821"/>
      <c r="B108" s="246" t="str">
        <f t="shared" si="56"/>
        <v>10 Gbps</v>
      </c>
      <c r="C108" s="342" t="str">
        <f t="shared" si="56"/>
        <v>all</v>
      </c>
      <c r="D108" s="256" t="str">
        <f t="shared" si="56"/>
        <v>CWDM</v>
      </c>
      <c r="E108" s="257" t="str">
        <f t="shared" ref="E108:M108" si="66">IF(E85=0,"",E129*10^6/E85)</f>
        <v/>
      </c>
      <c r="F108" s="257" t="str">
        <f t="shared" si="66"/>
        <v/>
      </c>
      <c r="G108" s="257"/>
      <c r="H108" s="257"/>
      <c r="I108" s="257"/>
      <c r="J108" s="257"/>
      <c r="K108" s="257"/>
      <c r="L108" s="257"/>
      <c r="M108" s="257"/>
      <c r="N108" s="257"/>
      <c r="P108" s="163"/>
    </row>
    <row r="109" spans="1:16" s="160" customFormat="1" x14ac:dyDescent="0.25">
      <c r="A109" s="821"/>
      <c r="B109" s="246" t="str">
        <f t="shared" si="56"/>
        <v>10 Gbps</v>
      </c>
      <c r="C109" s="342" t="str">
        <f t="shared" si="56"/>
        <v>all</v>
      </c>
      <c r="D109" s="256" t="str">
        <f t="shared" si="56"/>
        <v>DWDM</v>
      </c>
      <c r="E109" s="257">
        <f t="shared" ref="E109:M109" si="67">IF(E86=0,"",E130*10^6/E86)</f>
        <v>440</v>
      </c>
      <c r="F109" s="257">
        <f t="shared" si="67"/>
        <v>370.5993386636224</v>
      </c>
      <c r="G109" s="257"/>
      <c r="H109" s="257"/>
      <c r="I109" s="257"/>
      <c r="J109" s="257"/>
      <c r="K109" s="257"/>
      <c r="L109" s="257"/>
      <c r="M109" s="257"/>
      <c r="N109" s="257"/>
      <c r="P109" s="163"/>
    </row>
    <row r="110" spans="1:16" s="160" customFormat="1" x14ac:dyDescent="0.25">
      <c r="A110" s="821"/>
      <c r="B110" s="246" t="str">
        <f t="shared" si="56"/>
        <v>25 Gbps</v>
      </c>
      <c r="C110" s="342" t="str">
        <f t="shared" si="56"/>
        <v>all</v>
      </c>
      <c r="D110" s="256" t="str">
        <f t="shared" si="56"/>
        <v>CWDM</v>
      </c>
      <c r="E110" s="257" t="str">
        <f t="shared" ref="E110:M110" si="68">IF(E87=0,"",E131*10^6/E87)</f>
        <v/>
      </c>
      <c r="F110" s="257" t="str">
        <f t="shared" si="68"/>
        <v/>
      </c>
      <c r="G110" s="257"/>
      <c r="H110" s="257"/>
      <c r="I110" s="257"/>
      <c r="J110" s="257"/>
      <c r="K110" s="257"/>
      <c r="L110" s="257"/>
      <c r="M110" s="257"/>
      <c r="N110" s="257"/>
      <c r="P110" s="163"/>
    </row>
    <row r="111" spans="1:16" s="160" customFormat="1" ht="13" thickBot="1" x14ac:dyDescent="0.3">
      <c r="A111" s="821"/>
      <c r="B111" s="613" t="str">
        <f t="shared" si="56"/>
        <v>25 Gbps</v>
      </c>
      <c r="C111" s="614" t="str">
        <f t="shared" si="56"/>
        <v>all</v>
      </c>
      <c r="D111" s="615" t="str">
        <f t="shared" si="56"/>
        <v>DWDM</v>
      </c>
      <c r="E111" s="616" t="str">
        <f t="shared" ref="E111:M111" si="69">IF(E88=0,"",E132*10^6/E88)</f>
        <v/>
      </c>
      <c r="F111" s="616" t="str">
        <f t="shared" si="69"/>
        <v/>
      </c>
      <c r="G111" s="616"/>
      <c r="H111" s="616"/>
      <c r="I111" s="616"/>
      <c r="J111" s="616"/>
      <c r="K111" s="616"/>
      <c r="L111" s="616"/>
      <c r="M111" s="616"/>
      <c r="N111" s="616"/>
      <c r="P111" s="163"/>
    </row>
    <row r="112" spans="1:16" s="160" customFormat="1" ht="12.5" customHeight="1" x14ac:dyDescent="0.25">
      <c r="A112" s="827" t="s">
        <v>413</v>
      </c>
      <c r="B112" s="246" t="str">
        <f t="shared" ref="B112:D117" si="70">B21</f>
        <v>1GbE</v>
      </c>
      <c r="C112" s="246" t="str">
        <f t="shared" si="70"/>
        <v>SFP</v>
      </c>
      <c r="D112" s="246" t="str">
        <f t="shared" si="70"/>
        <v>All reaches</v>
      </c>
      <c r="E112" s="612">
        <f t="shared" ref="E112:N112" si="71">IF(E89=0,"",E133*10^6/E89)</f>
        <v>21.418329784617519</v>
      </c>
      <c r="F112" s="612">
        <f t="shared" si="71"/>
        <v>22.25217880706937</v>
      </c>
      <c r="G112" s="612"/>
      <c r="H112" s="612"/>
      <c r="I112" s="612"/>
      <c r="J112" s="612"/>
      <c r="K112" s="612"/>
      <c r="L112" s="612"/>
      <c r="M112" s="612"/>
      <c r="N112" s="612"/>
      <c r="P112" s="163"/>
    </row>
    <row r="113" spans="1:16" s="160" customFormat="1" x14ac:dyDescent="0.25">
      <c r="A113" s="826"/>
      <c r="B113" s="161" t="str">
        <f t="shared" si="70"/>
        <v>10 GbE</v>
      </c>
      <c r="C113" s="161" t="str">
        <f t="shared" si="70"/>
        <v>SFP+</v>
      </c>
      <c r="D113" s="161" t="str">
        <f t="shared" si="70"/>
        <v>All reaches</v>
      </c>
      <c r="E113" s="612">
        <f t="shared" ref="E113:N113" si="72">IF(E90=0,"",E134*10^6/E90)</f>
        <v>16.815538644807191</v>
      </c>
      <c r="F113" s="612">
        <f t="shared" si="72"/>
        <v>13.986462718271207</v>
      </c>
      <c r="G113" s="612"/>
      <c r="H113" s="612"/>
      <c r="I113" s="612"/>
      <c r="J113" s="612"/>
      <c r="K113" s="612"/>
      <c r="L113" s="612"/>
      <c r="M113" s="612"/>
      <c r="N113" s="612"/>
      <c r="P113" s="163"/>
    </row>
    <row r="114" spans="1:16" s="160" customFormat="1" x14ac:dyDescent="0.25">
      <c r="A114" s="826"/>
      <c r="B114" s="161" t="str">
        <f t="shared" si="70"/>
        <v>25 GbE</v>
      </c>
      <c r="C114" s="161" t="str">
        <f t="shared" si="70"/>
        <v>SFP28</v>
      </c>
      <c r="D114" s="161" t="str">
        <f t="shared" si="70"/>
        <v>All reaches</v>
      </c>
      <c r="E114" s="612">
        <f t="shared" ref="E114:N114" si="73">IF(E91=0,"",E135*10^6/E91)</f>
        <v>182.0635617175015</v>
      </c>
      <c r="F114" s="612">
        <f t="shared" si="73"/>
        <v>148.99019472816192</v>
      </c>
      <c r="G114" s="612"/>
      <c r="H114" s="612"/>
      <c r="I114" s="612"/>
      <c r="J114" s="612"/>
      <c r="K114" s="612"/>
      <c r="L114" s="612"/>
      <c r="M114" s="612"/>
      <c r="N114" s="612"/>
      <c r="P114" s="163"/>
    </row>
    <row r="115" spans="1:16" s="160" customFormat="1" x14ac:dyDescent="0.25">
      <c r="A115" s="826"/>
      <c r="B115" s="161" t="str">
        <f t="shared" si="70"/>
        <v>50 GbE</v>
      </c>
      <c r="C115" s="161" t="str">
        <f t="shared" si="70"/>
        <v>QSFP28</v>
      </c>
      <c r="D115" s="161" t="str">
        <f t="shared" si="70"/>
        <v>All reaches</v>
      </c>
      <c r="E115" s="612" t="str">
        <f t="shared" ref="E115:N115" si="74">IF(E92=0,"",E136*10^6/E92)</f>
        <v/>
      </c>
      <c r="F115" s="612">
        <f t="shared" si="74"/>
        <v>324.10355668962552</v>
      </c>
      <c r="G115" s="612"/>
      <c r="H115" s="612"/>
      <c r="I115" s="612"/>
      <c r="J115" s="612"/>
      <c r="K115" s="612"/>
      <c r="L115" s="612"/>
      <c r="M115" s="612"/>
      <c r="N115" s="612"/>
      <c r="P115" s="163"/>
    </row>
    <row r="116" spans="1:16" s="160" customFormat="1" x14ac:dyDescent="0.25">
      <c r="A116" s="826"/>
      <c r="B116" s="161" t="str">
        <f t="shared" si="70"/>
        <v>100 GbE</v>
      </c>
      <c r="C116" s="161" t="str">
        <f t="shared" si="70"/>
        <v>QSFP28</v>
      </c>
      <c r="D116" s="161" t="str">
        <f t="shared" si="70"/>
        <v>All reaches</v>
      </c>
      <c r="E116" s="612" t="str">
        <f t="shared" ref="E116:N116" si="75">IF(E93=0,"",E137*10^6/E93)</f>
        <v/>
      </c>
      <c r="F116" s="612" t="str">
        <f t="shared" si="75"/>
        <v/>
      </c>
      <c r="G116" s="612"/>
      <c r="H116" s="612"/>
      <c r="I116" s="612"/>
      <c r="J116" s="612"/>
      <c r="K116" s="612"/>
      <c r="L116" s="612"/>
      <c r="M116" s="612"/>
      <c r="N116" s="612"/>
      <c r="P116" s="163"/>
    </row>
    <row r="117" spans="1:16" s="160" customFormat="1" x14ac:dyDescent="0.25">
      <c r="A117" s="826"/>
      <c r="B117" s="161" t="str">
        <f t="shared" si="70"/>
        <v>200 GbE</v>
      </c>
      <c r="C117" s="161" t="str">
        <f t="shared" si="70"/>
        <v>QSFP29</v>
      </c>
      <c r="D117" s="161" t="str">
        <f t="shared" si="70"/>
        <v>All reaches</v>
      </c>
      <c r="E117" s="612" t="str">
        <f t="shared" ref="E117:N117" si="76">IF(E94=0,"",E138*10^6/E94)</f>
        <v/>
      </c>
      <c r="F117" s="612" t="str">
        <f t="shared" si="76"/>
        <v/>
      </c>
      <c r="G117" s="612"/>
      <c r="H117" s="612"/>
      <c r="I117" s="612"/>
      <c r="J117" s="612"/>
      <c r="K117" s="612"/>
      <c r="L117" s="612"/>
      <c r="M117" s="612"/>
      <c r="N117" s="612"/>
      <c r="P117" s="163"/>
    </row>
    <row r="118" spans="1:16" x14ac:dyDescent="0.25">
      <c r="A118" s="160"/>
      <c r="B118" s="160"/>
      <c r="D118" s="160"/>
      <c r="E118" s="46"/>
      <c r="F118" s="46"/>
      <c r="G118" s="46"/>
      <c r="H118" s="46"/>
      <c r="I118" s="46"/>
      <c r="J118" s="46"/>
      <c r="K118" s="46"/>
      <c r="L118" s="46"/>
      <c r="M118" s="46"/>
      <c r="N118" s="46"/>
      <c r="P118" s="163"/>
    </row>
    <row r="119" spans="1:16" ht="14.5" x14ac:dyDescent="0.35">
      <c r="B119" s="273" t="s">
        <v>358</v>
      </c>
      <c r="C119" s="46"/>
      <c r="D119" s="197"/>
      <c r="E119" s="572" t="str">
        <f>E75</f>
        <v xml:space="preserve">Calculated as the difference between the Global and the China tables, above and below. </v>
      </c>
      <c r="F119" s="46"/>
      <c r="G119" s="46"/>
      <c r="H119" s="46"/>
      <c r="I119" s="46"/>
      <c r="J119" s="220"/>
      <c r="M119" s="46"/>
      <c r="N119" s="361" t="str">
        <f>B119</f>
        <v>Sales ($M) - Rest of World</v>
      </c>
      <c r="P119" s="163"/>
    </row>
    <row r="120" spans="1:16" x14ac:dyDescent="0.25">
      <c r="B120" s="98" t="s">
        <v>10</v>
      </c>
      <c r="C120" s="98" t="s">
        <v>11</v>
      </c>
      <c r="D120" s="210" t="str">
        <f>D76</f>
        <v>Wavelengths</v>
      </c>
      <c r="E120" s="98">
        <v>2016</v>
      </c>
      <c r="F120" s="98">
        <v>2017</v>
      </c>
      <c r="G120" s="98">
        <v>2018</v>
      </c>
      <c r="H120" s="98">
        <v>2019</v>
      </c>
      <c r="I120" s="98">
        <v>2020</v>
      </c>
      <c r="J120" s="98">
        <v>2021</v>
      </c>
      <c r="K120" s="98">
        <v>2022</v>
      </c>
      <c r="L120" s="98">
        <v>2023</v>
      </c>
      <c r="M120" s="98">
        <v>2024</v>
      </c>
      <c r="N120" s="98">
        <v>2025</v>
      </c>
      <c r="P120" s="163"/>
    </row>
    <row r="121" spans="1:16" x14ac:dyDescent="0.25">
      <c r="A121" s="823" t="str">
        <f>$A$8</f>
        <v>Fronthaul</v>
      </c>
      <c r="B121" s="255" t="str">
        <f t="shared" ref="B121:D139" si="77">B8</f>
        <v>1,3,6,12 Gbps</v>
      </c>
      <c r="C121" s="259" t="str">
        <f t="shared" si="77"/>
        <v>all</v>
      </c>
      <c r="D121" s="259" t="str">
        <f t="shared" si="77"/>
        <v>all</v>
      </c>
      <c r="E121" s="257">
        <f t="shared" ref="E121:M121" si="78">IF(E189=0,"",E189-E52)</f>
        <v>77.239469756245114</v>
      </c>
      <c r="F121" s="257">
        <f t="shared" si="78"/>
        <v>52.654777895765861</v>
      </c>
      <c r="G121" s="257"/>
      <c r="H121" s="257"/>
      <c r="I121" s="257"/>
      <c r="J121" s="257"/>
      <c r="K121" s="257"/>
      <c r="L121" s="257"/>
      <c r="M121" s="257"/>
      <c r="N121" s="257"/>
      <c r="P121" s="163"/>
    </row>
    <row r="122" spans="1:16" x14ac:dyDescent="0.25">
      <c r="A122" s="821"/>
      <c r="B122" s="255" t="str">
        <f t="shared" si="77"/>
        <v>10 Gbps</v>
      </c>
      <c r="C122" s="259" t="str">
        <f t="shared" si="77"/>
        <v>all</v>
      </c>
      <c r="D122" s="259" t="str">
        <f t="shared" si="77"/>
        <v>grey</v>
      </c>
      <c r="E122" s="257">
        <f t="shared" ref="E122:M122" si="79">IF(E190=0,"",E190-E53)</f>
        <v>68.593403881612147</v>
      </c>
      <c r="F122" s="257">
        <f t="shared" si="79"/>
        <v>40.183670335678698</v>
      </c>
      <c r="G122" s="257"/>
      <c r="H122" s="257"/>
      <c r="I122" s="257"/>
      <c r="J122" s="257"/>
      <c r="K122" s="257"/>
      <c r="L122" s="257"/>
      <c r="M122" s="257"/>
      <c r="N122" s="257"/>
      <c r="P122" s="163"/>
    </row>
    <row r="123" spans="1:16" x14ac:dyDescent="0.25">
      <c r="A123" s="821"/>
      <c r="B123" s="255" t="str">
        <f t="shared" si="77"/>
        <v>25 Gbps</v>
      </c>
      <c r="C123" s="259" t="str">
        <f t="shared" si="77"/>
        <v>≤ 0.5 km</v>
      </c>
      <c r="D123" s="259" t="str">
        <f t="shared" si="77"/>
        <v>grey MMF</v>
      </c>
      <c r="E123" s="257">
        <f t="shared" ref="E123:M123" si="80">IF(E191=0,0,E191-E54)</f>
        <v>2.4516990340140501E-2</v>
      </c>
      <c r="F123" s="257">
        <f t="shared" si="80"/>
        <v>0.38400000000000001</v>
      </c>
      <c r="G123" s="257"/>
      <c r="H123" s="257"/>
      <c r="I123" s="257"/>
      <c r="J123" s="257"/>
      <c r="K123" s="257"/>
      <c r="L123" s="257"/>
      <c r="M123" s="257"/>
      <c r="N123" s="257"/>
      <c r="P123" s="163"/>
    </row>
    <row r="124" spans="1:16" x14ac:dyDescent="0.25">
      <c r="A124" s="821"/>
      <c r="B124" s="255" t="str">
        <f t="shared" si="77"/>
        <v>25 Gbps</v>
      </c>
      <c r="C124" s="259" t="str">
        <f t="shared" si="77"/>
        <v>300 m</v>
      </c>
      <c r="D124" s="259" t="str">
        <f t="shared" si="77"/>
        <v>grey SMF</v>
      </c>
      <c r="E124" s="257">
        <f t="shared" ref="E124:M124" si="81">IF(E192=0,0,E192-E55)</f>
        <v>0</v>
      </c>
      <c r="F124" s="257">
        <f t="shared" si="81"/>
        <v>4.8500000000000001E-2</v>
      </c>
      <c r="G124" s="257"/>
      <c r="H124" s="257"/>
      <c r="I124" s="257"/>
      <c r="J124" s="257"/>
      <c r="K124" s="257"/>
      <c r="L124" s="257"/>
      <c r="M124" s="257"/>
      <c r="N124" s="257"/>
      <c r="P124" s="163"/>
    </row>
    <row r="125" spans="1:16" x14ac:dyDescent="0.25">
      <c r="A125" s="821"/>
      <c r="B125" s="246" t="str">
        <f t="shared" si="77"/>
        <v>25 Gbps</v>
      </c>
      <c r="C125" s="256" t="str">
        <f t="shared" si="77"/>
        <v>10, 20 km</v>
      </c>
      <c r="D125" s="256" t="str">
        <f t="shared" si="77"/>
        <v>duplex</v>
      </c>
      <c r="E125" s="257">
        <f t="shared" ref="E125:M125" si="82">IF(E193=0,0,E193-E56)</f>
        <v>5.6571835065807707E-2</v>
      </c>
      <c r="F125" s="257">
        <f t="shared" si="82"/>
        <v>8.125</v>
      </c>
      <c r="G125" s="257"/>
      <c r="H125" s="257"/>
      <c r="I125" s="257"/>
      <c r="J125" s="257"/>
      <c r="K125" s="257"/>
      <c r="L125" s="257"/>
      <c r="M125" s="257"/>
      <c r="N125" s="257"/>
      <c r="P125" s="163"/>
    </row>
    <row r="126" spans="1:16" x14ac:dyDescent="0.25">
      <c r="A126" s="821"/>
      <c r="B126" s="246" t="str">
        <f t="shared" si="77"/>
        <v>25 Gbps</v>
      </c>
      <c r="C126" s="256" t="str">
        <f t="shared" si="77"/>
        <v>10, 20 km</v>
      </c>
      <c r="D126" s="256" t="str">
        <f t="shared" si="77"/>
        <v>Bi-Di</v>
      </c>
      <c r="E126" s="257">
        <f t="shared" ref="E126:M126" si="83">IF(E194=0,0,E194-E57)</f>
        <v>0</v>
      </c>
      <c r="F126" s="257">
        <f t="shared" si="83"/>
        <v>0</v>
      </c>
      <c r="G126" s="257"/>
      <c r="H126" s="257"/>
      <c r="I126" s="257"/>
      <c r="J126" s="257"/>
      <c r="K126" s="257"/>
      <c r="L126" s="257"/>
      <c r="M126" s="257"/>
      <c r="N126" s="257"/>
      <c r="P126" s="163"/>
    </row>
    <row r="127" spans="1:16" x14ac:dyDescent="0.25">
      <c r="A127" s="821"/>
      <c r="B127" s="246" t="str">
        <f t="shared" si="77"/>
        <v>50 Gbps</v>
      </c>
      <c r="C127" s="256" t="str">
        <f t="shared" si="77"/>
        <v>all</v>
      </c>
      <c r="D127" s="256" t="str">
        <f t="shared" si="77"/>
        <v>grey</v>
      </c>
      <c r="E127" s="257">
        <f t="shared" ref="E127:M127" si="84">IF(E195=0,0,E195-E58)</f>
        <v>0</v>
      </c>
      <c r="F127" s="257">
        <f t="shared" si="84"/>
        <v>0</v>
      </c>
      <c r="G127" s="257"/>
      <c r="H127" s="257"/>
      <c r="I127" s="257"/>
      <c r="J127" s="257"/>
      <c r="K127" s="257"/>
      <c r="L127" s="257"/>
      <c r="M127" s="257"/>
      <c r="N127" s="257"/>
      <c r="P127" s="163"/>
    </row>
    <row r="128" spans="1:16" s="160" customFormat="1" x14ac:dyDescent="0.25">
      <c r="A128" s="821"/>
      <c r="B128" s="246" t="str">
        <f t="shared" si="77"/>
        <v>100 Gbps</v>
      </c>
      <c r="C128" s="256" t="str">
        <f t="shared" si="77"/>
        <v>all</v>
      </c>
      <c r="D128" s="256" t="str">
        <f t="shared" si="77"/>
        <v>grey</v>
      </c>
      <c r="E128" s="257">
        <f t="shared" ref="E128:M128" si="85">IF(E196=0,0,E196-E59)</f>
        <v>0</v>
      </c>
      <c r="F128" s="257">
        <f t="shared" si="85"/>
        <v>0</v>
      </c>
      <c r="G128" s="257"/>
      <c r="H128" s="257"/>
      <c r="I128" s="257"/>
      <c r="J128" s="257"/>
      <c r="K128" s="257"/>
      <c r="L128" s="257"/>
      <c r="M128" s="257"/>
      <c r="N128" s="257"/>
      <c r="P128" s="163"/>
    </row>
    <row r="129" spans="1:16" s="160" customFormat="1" x14ac:dyDescent="0.25">
      <c r="A129" s="821"/>
      <c r="B129" s="246" t="str">
        <f t="shared" si="77"/>
        <v>10 Gbps</v>
      </c>
      <c r="C129" s="256" t="str">
        <f t="shared" si="77"/>
        <v>all</v>
      </c>
      <c r="D129" s="256" t="str">
        <f t="shared" si="77"/>
        <v>CWDM</v>
      </c>
      <c r="E129" s="257">
        <f t="shared" ref="E129:M129" si="86">IF(E197=0,0,E197-E60)</f>
        <v>0</v>
      </c>
      <c r="F129" s="257">
        <f t="shared" si="86"/>
        <v>0</v>
      </c>
      <c r="G129" s="257"/>
      <c r="H129" s="257"/>
      <c r="I129" s="257"/>
      <c r="J129" s="257"/>
      <c r="K129" s="257"/>
      <c r="L129" s="257"/>
      <c r="M129" s="257"/>
      <c r="N129" s="257"/>
      <c r="P129" s="163"/>
    </row>
    <row r="130" spans="1:16" s="160" customFormat="1" x14ac:dyDescent="0.25">
      <c r="A130" s="821"/>
      <c r="B130" s="246" t="str">
        <f t="shared" si="77"/>
        <v>10 Gbps</v>
      </c>
      <c r="C130" s="256" t="str">
        <f t="shared" si="77"/>
        <v>all</v>
      </c>
      <c r="D130" s="256" t="str">
        <f t="shared" si="77"/>
        <v>DWDM</v>
      </c>
      <c r="E130" s="257">
        <f t="shared" ref="E130:M130" si="87">IF(E198=0,0,E198-E61)</f>
        <v>17.593548068639365</v>
      </c>
      <c r="F130" s="257">
        <f t="shared" si="87"/>
        <v>27.794950399771679</v>
      </c>
      <c r="G130" s="257"/>
      <c r="H130" s="257"/>
      <c r="I130" s="257"/>
      <c r="J130" s="257"/>
      <c r="K130" s="257"/>
      <c r="L130" s="257"/>
      <c r="M130" s="257"/>
      <c r="N130" s="257"/>
      <c r="P130" s="163"/>
    </row>
    <row r="131" spans="1:16" s="160" customFormat="1" x14ac:dyDescent="0.25">
      <c r="A131" s="821"/>
      <c r="B131" s="246" t="str">
        <f t="shared" si="77"/>
        <v>25 Gbps</v>
      </c>
      <c r="C131" s="256" t="str">
        <f t="shared" si="77"/>
        <v>all</v>
      </c>
      <c r="D131" s="256" t="str">
        <f t="shared" si="77"/>
        <v>CWDM</v>
      </c>
      <c r="E131" s="257">
        <f t="shared" ref="E131:M131" si="88">IF(E199=0,0,E199-E62)</f>
        <v>0</v>
      </c>
      <c r="F131" s="257">
        <f t="shared" si="88"/>
        <v>0</v>
      </c>
      <c r="G131" s="257"/>
      <c r="H131" s="257"/>
      <c r="I131" s="257"/>
      <c r="J131" s="257"/>
      <c r="K131" s="257"/>
      <c r="L131" s="257"/>
      <c r="M131" s="257"/>
      <c r="N131" s="257"/>
      <c r="P131" s="163"/>
    </row>
    <row r="132" spans="1:16" s="160" customFormat="1" x14ac:dyDescent="0.25">
      <c r="A132" s="821"/>
      <c r="B132" s="246" t="str">
        <f t="shared" si="77"/>
        <v>25 Gbps</v>
      </c>
      <c r="C132" s="256" t="str">
        <f t="shared" si="77"/>
        <v>all</v>
      </c>
      <c r="D132" s="256" t="str">
        <f t="shared" si="77"/>
        <v>DWDM</v>
      </c>
      <c r="E132" s="257">
        <f t="shared" ref="E132:M132" si="89">IF(E200=0,0,E200-E63)</f>
        <v>0</v>
      </c>
      <c r="F132" s="257">
        <f t="shared" si="89"/>
        <v>0</v>
      </c>
      <c r="G132" s="257"/>
      <c r="H132" s="257"/>
      <c r="I132" s="257"/>
      <c r="J132" s="257"/>
      <c r="K132" s="257"/>
      <c r="L132" s="257"/>
      <c r="M132" s="257"/>
      <c r="N132" s="257"/>
      <c r="P132" s="163"/>
    </row>
    <row r="133" spans="1:16" ht="13" thickBot="1" x14ac:dyDescent="0.3">
      <c r="A133" s="824"/>
      <c r="B133" s="617" t="str">
        <f t="shared" si="77"/>
        <v>Total FH</v>
      </c>
      <c r="C133" s="617" t="str">
        <f t="shared" si="77"/>
        <v>All</v>
      </c>
      <c r="D133" s="617" t="str">
        <f t="shared" si="77"/>
        <v>All</v>
      </c>
      <c r="E133" s="618">
        <f t="shared" ref="E133:K133" si="90">SUM(E121:E132)</f>
        <v>163.50751053190257</v>
      </c>
      <c r="F133" s="618">
        <f t="shared" si="90"/>
        <v>129.19089863121624</v>
      </c>
      <c r="G133" s="618"/>
      <c r="H133" s="618"/>
      <c r="I133" s="618"/>
      <c r="J133" s="618"/>
      <c r="K133" s="618"/>
      <c r="L133" s="618"/>
      <c r="M133" s="618"/>
      <c r="N133" s="618"/>
      <c r="P133" s="163"/>
    </row>
    <row r="134" spans="1:16" s="160" customFormat="1" x14ac:dyDescent="0.25">
      <c r="A134" s="821" t="s">
        <v>413</v>
      </c>
      <c r="B134" s="246" t="str">
        <f t="shared" si="77"/>
        <v>1GbE</v>
      </c>
      <c r="C134" s="246" t="str">
        <f t="shared" si="77"/>
        <v>SFP</v>
      </c>
      <c r="D134" s="246" t="str">
        <f t="shared" si="77"/>
        <v>All reaches</v>
      </c>
      <c r="E134" s="621">
        <f>IF(E202=0,0,E202-E65)</f>
        <v>5.9680790565105895</v>
      </c>
      <c r="F134" s="621">
        <f t="shared" ref="F134:N134" si="91">IF(F202=0,0,F202-F65)</f>
        <v>5.4014950182107784</v>
      </c>
      <c r="G134" s="621"/>
      <c r="H134" s="621"/>
      <c r="I134" s="621"/>
      <c r="J134" s="621"/>
      <c r="K134" s="621"/>
      <c r="L134" s="621"/>
      <c r="M134" s="621"/>
      <c r="N134" s="621"/>
      <c r="P134" s="163"/>
    </row>
    <row r="135" spans="1:16" s="160" customFormat="1" x14ac:dyDescent="0.25">
      <c r="A135" s="821"/>
      <c r="B135" s="161" t="str">
        <f t="shared" si="77"/>
        <v>10 GbE</v>
      </c>
      <c r="C135" s="161" t="str">
        <f t="shared" si="77"/>
        <v>SFP+</v>
      </c>
      <c r="D135" s="161" t="str">
        <f t="shared" si="77"/>
        <v>All reaches</v>
      </c>
      <c r="E135" s="621">
        <f t="shared" ref="E135:N135" si="92">IF(E203=0,0,E203-E66)</f>
        <v>105.83636712334025</v>
      </c>
      <c r="F135" s="621">
        <f t="shared" si="92"/>
        <v>51.726483456211078</v>
      </c>
      <c r="G135" s="621"/>
      <c r="H135" s="621"/>
      <c r="I135" s="621"/>
      <c r="J135" s="621"/>
      <c r="K135" s="621"/>
      <c r="L135" s="621"/>
      <c r="M135" s="621"/>
      <c r="N135" s="621"/>
      <c r="P135" s="163"/>
    </row>
    <row r="136" spans="1:16" s="160" customFormat="1" x14ac:dyDescent="0.25">
      <c r="A136" s="821"/>
      <c r="B136" s="161" t="str">
        <f t="shared" si="77"/>
        <v>25 GbE</v>
      </c>
      <c r="C136" s="161" t="str">
        <f t="shared" si="77"/>
        <v>SFP28</v>
      </c>
      <c r="D136" s="161" t="str">
        <f t="shared" si="77"/>
        <v>All reaches</v>
      </c>
      <c r="E136" s="621">
        <f t="shared" ref="E136:N136" si="93">IF(E204=0,0,E204-E67)</f>
        <v>0</v>
      </c>
      <c r="F136" s="621">
        <f t="shared" si="93"/>
        <v>6.4820711337925108E-2</v>
      </c>
      <c r="G136" s="621"/>
      <c r="H136" s="621"/>
      <c r="I136" s="621"/>
      <c r="J136" s="621"/>
      <c r="K136" s="621"/>
      <c r="L136" s="621"/>
      <c r="M136" s="621"/>
      <c r="N136" s="621"/>
      <c r="P136" s="163"/>
    </row>
    <row r="137" spans="1:16" s="160" customFormat="1" x14ac:dyDescent="0.25">
      <c r="A137" s="821"/>
      <c r="B137" s="161" t="str">
        <f t="shared" si="77"/>
        <v>50 GbE</v>
      </c>
      <c r="C137" s="161" t="str">
        <f t="shared" si="77"/>
        <v>QSFP28</v>
      </c>
      <c r="D137" s="161" t="str">
        <f t="shared" si="77"/>
        <v>All reaches</v>
      </c>
      <c r="E137" s="621">
        <f t="shared" ref="E137:N137" si="94">IF(E205=0,0,E205-E68)</f>
        <v>0</v>
      </c>
      <c r="F137" s="621">
        <f t="shared" si="94"/>
        <v>0</v>
      </c>
      <c r="G137" s="621"/>
      <c r="H137" s="621"/>
      <c r="I137" s="621"/>
      <c r="J137" s="621"/>
      <c r="K137" s="621"/>
      <c r="L137" s="621"/>
      <c r="M137" s="621"/>
      <c r="N137" s="621"/>
      <c r="P137" s="163"/>
    </row>
    <row r="138" spans="1:16" s="160" customFormat="1" x14ac:dyDescent="0.25">
      <c r="A138" s="821"/>
      <c r="B138" s="161" t="str">
        <f t="shared" si="77"/>
        <v>100 GbE</v>
      </c>
      <c r="C138" s="161" t="str">
        <f t="shared" si="77"/>
        <v>QSFP28</v>
      </c>
      <c r="D138" s="161" t="str">
        <f t="shared" si="77"/>
        <v>All reaches</v>
      </c>
      <c r="E138" s="621">
        <f t="shared" ref="E138:N138" si="95">IF(E206=0,0,E206-E69)</f>
        <v>0</v>
      </c>
      <c r="F138" s="621">
        <f t="shared" si="95"/>
        <v>0</v>
      </c>
      <c r="G138" s="621"/>
      <c r="H138" s="621"/>
      <c r="I138" s="621"/>
      <c r="J138" s="621"/>
      <c r="K138" s="621"/>
      <c r="L138" s="621"/>
      <c r="M138" s="621"/>
      <c r="N138" s="621"/>
      <c r="P138" s="163"/>
    </row>
    <row r="139" spans="1:16" s="160" customFormat="1" x14ac:dyDescent="0.25">
      <c r="A139" s="821"/>
      <c r="B139" s="161" t="str">
        <f t="shared" si="77"/>
        <v>200 GbE</v>
      </c>
      <c r="C139" s="161" t="str">
        <f t="shared" si="77"/>
        <v>QSFP29</v>
      </c>
      <c r="D139" s="161" t="str">
        <f t="shared" si="77"/>
        <v>All reaches</v>
      </c>
      <c r="E139" s="621">
        <f t="shared" ref="E139:N139" si="96">IF(E207=0,0,E207-E70)</f>
        <v>0</v>
      </c>
      <c r="F139" s="621">
        <f t="shared" si="96"/>
        <v>0</v>
      </c>
      <c r="G139" s="621"/>
      <c r="H139" s="621"/>
      <c r="I139" s="621"/>
      <c r="J139" s="621"/>
      <c r="K139" s="621"/>
      <c r="L139" s="621"/>
      <c r="M139" s="621"/>
      <c r="N139" s="621"/>
      <c r="P139" s="163"/>
    </row>
    <row r="140" spans="1:16" s="160" customFormat="1" x14ac:dyDescent="0.25">
      <c r="A140" s="822"/>
      <c r="B140" s="161" t="str">
        <f>B27</f>
        <v>Total BH</v>
      </c>
      <c r="C140" s="161" t="str">
        <f>C27</f>
        <v>All</v>
      </c>
      <c r="D140" s="161" t="str">
        <f>D27</f>
        <v>All reaches</v>
      </c>
      <c r="E140" s="611">
        <f t="shared" ref="E140:N140" si="97">SUM(E134:E139)</f>
        <v>111.80444617985084</v>
      </c>
      <c r="F140" s="611">
        <f t="shared" si="97"/>
        <v>57.192799185759782</v>
      </c>
      <c r="G140" s="611"/>
      <c r="H140" s="611"/>
      <c r="I140" s="611"/>
      <c r="J140" s="611"/>
      <c r="K140" s="611"/>
      <c r="L140" s="611"/>
      <c r="M140" s="611"/>
      <c r="N140" s="611"/>
      <c r="P140" s="163"/>
    </row>
    <row r="141" spans="1:16" x14ac:dyDescent="0.25">
      <c r="B141" s="160"/>
      <c r="D141" s="418"/>
      <c r="E141" s="59"/>
      <c r="F141" s="59">
        <f t="shared" ref="F141:N141" si="98">IF(E133=0,"",F133/E133-1)</f>
        <v>-0.20987789361511122</v>
      </c>
      <c r="G141" s="59"/>
      <c r="H141" s="59"/>
      <c r="I141" s="59"/>
      <c r="J141" s="59"/>
      <c r="K141" s="59"/>
      <c r="L141" s="59"/>
      <c r="M141" s="59"/>
      <c r="N141" s="59"/>
      <c r="O141" s="44"/>
      <c r="P141" s="163"/>
    </row>
    <row r="142" spans="1:16" x14ac:dyDescent="0.25">
      <c r="B142" s="445"/>
      <c r="C142" s="445"/>
      <c r="D142" s="446"/>
      <c r="E142" s="445"/>
      <c r="F142" s="445"/>
      <c r="G142" s="445"/>
      <c r="H142" s="445"/>
      <c r="I142" s="445"/>
      <c r="J142" s="445"/>
      <c r="K142" s="445"/>
      <c r="L142" s="445"/>
      <c r="M142" s="445"/>
      <c r="N142" s="445"/>
      <c r="O142" s="44"/>
      <c r="P142" s="163"/>
    </row>
    <row r="143" spans="1:16" ht="14.5" x14ac:dyDescent="0.35">
      <c r="B143" s="438" t="s">
        <v>360</v>
      </c>
      <c r="D143" s="418"/>
      <c r="E143" s="572"/>
      <c r="F143" s="160"/>
      <c r="G143" s="160"/>
      <c r="J143" s="220"/>
      <c r="L143" s="46"/>
      <c r="N143" s="361" t="str">
        <f>B143</f>
        <v>Global Units</v>
      </c>
      <c r="O143" s="44"/>
      <c r="P143" s="163"/>
    </row>
    <row r="144" spans="1:16" x14ac:dyDescent="0.25">
      <c r="B144" s="97" t="s">
        <v>10</v>
      </c>
      <c r="C144" s="97" t="s">
        <v>11</v>
      </c>
      <c r="D144" s="196" t="s">
        <v>158</v>
      </c>
      <c r="E144" s="229">
        <v>2016</v>
      </c>
      <c r="F144" s="229">
        <v>2017</v>
      </c>
      <c r="G144" s="229">
        <v>2018</v>
      </c>
      <c r="H144" s="229">
        <v>2019</v>
      </c>
      <c r="I144" s="229">
        <v>2020</v>
      </c>
      <c r="J144" s="229">
        <v>2021</v>
      </c>
      <c r="K144" s="229">
        <v>2022</v>
      </c>
      <c r="L144" s="229">
        <v>2023</v>
      </c>
      <c r="M144" s="229">
        <v>2024</v>
      </c>
      <c r="N144" s="229">
        <v>2025</v>
      </c>
      <c r="O144" s="44"/>
      <c r="P144" s="44"/>
    </row>
    <row r="145" spans="1:19" x14ac:dyDescent="0.25">
      <c r="A145" s="823" t="s">
        <v>412</v>
      </c>
      <c r="B145" s="255" t="str">
        <f t="shared" ref="B145:D163" si="99">B8</f>
        <v>1,3,6,12 Gbps</v>
      </c>
      <c r="C145" s="259" t="str">
        <f t="shared" si="99"/>
        <v>all</v>
      </c>
      <c r="D145" s="256" t="str">
        <f t="shared" si="99"/>
        <v>all</v>
      </c>
      <c r="E145" s="720">
        <v>11427514.699999999</v>
      </c>
      <c r="F145" s="720">
        <v>8127039.1422706265</v>
      </c>
      <c r="G145" s="720"/>
      <c r="H145" s="720"/>
      <c r="I145" s="720"/>
      <c r="J145" s="720"/>
      <c r="K145" s="720"/>
      <c r="L145" s="720"/>
      <c r="M145" s="720"/>
      <c r="N145" s="720"/>
      <c r="O145" s="44"/>
      <c r="P145" s="581"/>
      <c r="Q145" s="581"/>
      <c r="R145" s="581"/>
      <c r="S145" s="581"/>
    </row>
    <row r="146" spans="1:19" x14ac:dyDescent="0.25">
      <c r="A146" s="821"/>
      <c r="B146" s="255" t="str">
        <f t="shared" si="99"/>
        <v>10 Gbps</v>
      </c>
      <c r="C146" s="259" t="str">
        <f t="shared" si="99"/>
        <v>all</v>
      </c>
      <c r="D146" s="256" t="str">
        <f t="shared" si="99"/>
        <v>grey</v>
      </c>
      <c r="E146" s="720">
        <v>7556019.7358539663</v>
      </c>
      <c r="F146" s="720">
        <v>4719015.4023229126</v>
      </c>
      <c r="G146" s="720"/>
      <c r="H146" s="720"/>
      <c r="I146" s="720"/>
      <c r="J146" s="720"/>
      <c r="K146" s="720"/>
      <c r="L146" s="720"/>
      <c r="M146" s="720"/>
      <c r="N146" s="720"/>
      <c r="O146" s="44"/>
      <c r="P146" s="581"/>
      <c r="Q146" s="581"/>
      <c r="R146" s="581"/>
      <c r="S146" s="581"/>
    </row>
    <row r="147" spans="1:19" x14ac:dyDescent="0.25">
      <c r="A147" s="821"/>
      <c r="B147" s="245" t="str">
        <f t="shared" si="99"/>
        <v>25 Gbps</v>
      </c>
      <c r="C147" s="259" t="str">
        <f t="shared" si="99"/>
        <v>≤ 0.5 km</v>
      </c>
      <c r="D147" s="256" t="str">
        <f t="shared" si="99"/>
        <v>grey MMF</v>
      </c>
      <c r="E147" s="720">
        <v>150</v>
      </c>
      <c r="F147" s="720">
        <v>4000</v>
      </c>
      <c r="G147" s="720"/>
      <c r="H147" s="720"/>
      <c r="I147" s="720"/>
      <c r="J147" s="720"/>
      <c r="K147" s="720"/>
      <c r="L147" s="720"/>
      <c r="M147" s="720"/>
      <c r="N147" s="720"/>
      <c r="O147" s="44"/>
      <c r="P147" s="581"/>
      <c r="Q147" s="581"/>
      <c r="R147" s="581"/>
      <c r="S147" s="581"/>
    </row>
    <row r="148" spans="1:19" x14ac:dyDescent="0.25">
      <c r="A148" s="821"/>
      <c r="B148" s="245" t="str">
        <f t="shared" si="99"/>
        <v>25 Gbps</v>
      </c>
      <c r="C148" s="259" t="str">
        <f t="shared" si="99"/>
        <v>300 m</v>
      </c>
      <c r="D148" s="256" t="str">
        <f t="shared" si="99"/>
        <v>grey SMF</v>
      </c>
      <c r="E148" s="720">
        <v>0</v>
      </c>
      <c r="F148" s="720">
        <v>500</v>
      </c>
      <c r="G148" s="720"/>
      <c r="H148" s="720"/>
      <c r="I148" s="720"/>
      <c r="J148" s="720"/>
      <c r="K148" s="720"/>
      <c r="L148" s="720"/>
      <c r="M148" s="720"/>
      <c r="N148" s="720"/>
      <c r="O148" s="44"/>
      <c r="P148" s="581"/>
      <c r="Q148" s="581"/>
      <c r="R148" s="581"/>
      <c r="S148" s="581"/>
    </row>
    <row r="149" spans="1:19" x14ac:dyDescent="0.25">
      <c r="A149" s="821"/>
      <c r="B149" s="161" t="str">
        <f t="shared" si="99"/>
        <v>25 Gbps</v>
      </c>
      <c r="C149" s="259" t="str">
        <f t="shared" si="99"/>
        <v>10, 20 km</v>
      </c>
      <c r="D149" s="256" t="str">
        <f t="shared" si="99"/>
        <v>duplex</v>
      </c>
      <c r="E149" s="720">
        <v>450</v>
      </c>
      <c r="F149" s="720">
        <v>74000</v>
      </c>
      <c r="G149" s="720"/>
      <c r="H149" s="720"/>
      <c r="I149" s="720"/>
      <c r="J149" s="720"/>
      <c r="K149" s="720"/>
      <c r="L149" s="720"/>
      <c r="M149" s="720"/>
      <c r="N149" s="720"/>
      <c r="O149" s="44"/>
      <c r="P149" s="581"/>
      <c r="Q149" s="581"/>
      <c r="R149" s="581"/>
      <c r="S149" s="581"/>
    </row>
    <row r="150" spans="1:19" x14ac:dyDescent="0.25">
      <c r="A150" s="821"/>
      <c r="B150" s="246" t="str">
        <f t="shared" si="99"/>
        <v>25 Gbps</v>
      </c>
      <c r="C150" s="259" t="str">
        <f t="shared" si="99"/>
        <v>10, 20 km</v>
      </c>
      <c r="D150" s="256" t="str">
        <f t="shared" si="99"/>
        <v>Bi-Di</v>
      </c>
      <c r="E150" s="720">
        <v>0</v>
      </c>
      <c r="F150" s="720">
        <v>0</v>
      </c>
      <c r="G150" s="720"/>
      <c r="H150" s="720"/>
      <c r="I150" s="720"/>
      <c r="J150" s="720"/>
      <c r="K150" s="720"/>
      <c r="L150" s="720"/>
      <c r="M150" s="720"/>
      <c r="N150" s="720"/>
      <c r="O150" s="44"/>
      <c r="P150" s="581"/>
      <c r="Q150" s="581"/>
      <c r="R150" s="581"/>
      <c r="S150" s="581"/>
    </row>
    <row r="151" spans="1:19" x14ac:dyDescent="0.25">
      <c r="A151" s="821"/>
      <c r="B151" s="246" t="str">
        <f t="shared" si="99"/>
        <v>50 Gbps</v>
      </c>
      <c r="C151" s="259" t="str">
        <f t="shared" si="99"/>
        <v>all</v>
      </c>
      <c r="D151" s="256" t="str">
        <f t="shared" si="99"/>
        <v>grey</v>
      </c>
      <c r="E151" s="720">
        <v>0</v>
      </c>
      <c r="F151" s="720">
        <v>0</v>
      </c>
      <c r="G151" s="720"/>
      <c r="H151" s="720"/>
      <c r="I151" s="720"/>
      <c r="J151" s="720"/>
      <c r="K151" s="720"/>
      <c r="L151" s="720"/>
      <c r="M151" s="720"/>
      <c r="N151" s="720"/>
      <c r="O151" s="44"/>
      <c r="P151" s="581"/>
      <c r="Q151" s="581"/>
      <c r="R151" s="581"/>
      <c r="S151" s="581"/>
    </row>
    <row r="152" spans="1:19" s="160" customFormat="1" ht="14.5" x14ac:dyDescent="0.35">
      <c r="A152" s="821"/>
      <c r="B152" s="246" t="str">
        <f t="shared" si="99"/>
        <v>100 Gbps</v>
      </c>
      <c r="C152" s="259" t="str">
        <f t="shared" si="99"/>
        <v>all</v>
      </c>
      <c r="D152" s="256" t="str">
        <f t="shared" si="99"/>
        <v>grey</v>
      </c>
      <c r="E152" s="724">
        <v>0</v>
      </c>
      <c r="F152" s="724">
        <v>0</v>
      </c>
      <c r="G152" s="724"/>
      <c r="H152" s="724"/>
      <c r="I152" s="724"/>
      <c r="J152" s="724"/>
      <c r="K152" s="724"/>
      <c r="L152" s="724"/>
      <c r="M152" s="724"/>
      <c r="N152" s="724"/>
      <c r="O152" s="44"/>
      <c r="P152" s="581"/>
      <c r="Q152" s="581"/>
      <c r="R152" s="581"/>
      <c r="S152" s="581"/>
    </row>
    <row r="153" spans="1:19" s="160" customFormat="1" x14ac:dyDescent="0.25">
      <c r="A153" s="821"/>
      <c r="B153" s="246" t="str">
        <f t="shared" si="99"/>
        <v>10 Gbps</v>
      </c>
      <c r="C153" s="259" t="str">
        <f t="shared" si="99"/>
        <v>all</v>
      </c>
      <c r="D153" s="256" t="str">
        <f t="shared" si="99"/>
        <v>CWDM</v>
      </c>
      <c r="E153" s="720">
        <v>0</v>
      </c>
      <c r="F153" s="720">
        <v>0</v>
      </c>
      <c r="G153" s="720"/>
      <c r="H153" s="720"/>
      <c r="I153" s="720"/>
      <c r="J153" s="720"/>
      <c r="K153" s="720"/>
      <c r="L153" s="720"/>
      <c r="M153" s="720"/>
      <c r="N153" s="720"/>
      <c r="O153" s="44"/>
      <c r="P153" s="581"/>
      <c r="Q153" s="581"/>
      <c r="R153" s="581"/>
      <c r="S153" s="581"/>
    </row>
    <row r="154" spans="1:19" s="160" customFormat="1" x14ac:dyDescent="0.25">
      <c r="A154" s="821"/>
      <c r="B154" s="246" t="str">
        <f t="shared" si="99"/>
        <v>10 Gbps</v>
      </c>
      <c r="C154" s="259" t="str">
        <f t="shared" si="99"/>
        <v>all</v>
      </c>
      <c r="D154" s="256" t="str">
        <f t="shared" si="99"/>
        <v>DWDM</v>
      </c>
      <c r="E154" s="720">
        <v>39985.336519634919</v>
      </c>
      <c r="F154" s="720">
        <v>75000</v>
      </c>
      <c r="G154" s="720"/>
      <c r="H154" s="720"/>
      <c r="I154" s="720"/>
      <c r="J154" s="720"/>
      <c r="K154" s="720"/>
      <c r="L154" s="720"/>
      <c r="M154" s="720"/>
      <c r="N154" s="720"/>
      <c r="O154" s="44"/>
      <c r="P154" s="581"/>
      <c r="Q154" s="581"/>
      <c r="R154" s="581"/>
      <c r="S154" s="581"/>
    </row>
    <row r="155" spans="1:19" s="160" customFormat="1" x14ac:dyDescent="0.25">
      <c r="A155" s="821"/>
      <c r="B155" s="246" t="str">
        <f t="shared" si="99"/>
        <v>25 Gbps</v>
      </c>
      <c r="C155" s="259" t="str">
        <f t="shared" si="99"/>
        <v>all</v>
      </c>
      <c r="D155" s="256" t="str">
        <f t="shared" si="99"/>
        <v>CWDM</v>
      </c>
      <c r="E155" s="720">
        <v>0</v>
      </c>
      <c r="F155" s="720">
        <v>0</v>
      </c>
      <c r="G155" s="720"/>
      <c r="H155" s="720"/>
      <c r="I155" s="720"/>
      <c r="J155" s="720"/>
      <c r="K155" s="720"/>
      <c r="L155" s="720"/>
      <c r="M155" s="720"/>
      <c r="N155" s="720"/>
      <c r="O155" s="44"/>
      <c r="P155" s="581"/>
      <c r="Q155" s="581"/>
      <c r="R155" s="581"/>
      <c r="S155" s="581"/>
    </row>
    <row r="156" spans="1:19" s="160" customFormat="1" x14ac:dyDescent="0.25">
      <c r="A156" s="821"/>
      <c r="B156" s="246" t="str">
        <f t="shared" si="99"/>
        <v>25 Gbps</v>
      </c>
      <c r="C156" s="259" t="str">
        <f t="shared" si="99"/>
        <v>all</v>
      </c>
      <c r="D156" s="256" t="str">
        <f t="shared" si="99"/>
        <v>DWDM</v>
      </c>
      <c r="E156" s="720">
        <v>0</v>
      </c>
      <c r="F156" s="720">
        <v>0</v>
      </c>
      <c r="G156" s="720"/>
      <c r="H156" s="720"/>
      <c r="I156" s="720"/>
      <c r="J156" s="720"/>
      <c r="K156" s="720"/>
      <c r="L156" s="720"/>
      <c r="M156" s="720"/>
      <c r="N156" s="720"/>
      <c r="O156" s="44"/>
      <c r="P156" s="581"/>
    </row>
    <row r="157" spans="1:19" ht="13" thickBot="1" x14ac:dyDescent="0.3">
      <c r="A157" s="824"/>
      <c r="B157" s="617" t="str">
        <f t="shared" si="99"/>
        <v>Total FH</v>
      </c>
      <c r="C157" s="617" t="str">
        <f t="shared" si="99"/>
        <v>All</v>
      </c>
      <c r="D157" s="617" t="str">
        <f t="shared" si="99"/>
        <v>All</v>
      </c>
      <c r="E157" s="619">
        <f t="shared" ref="E157:L157" si="100">SUM(E145:E156)</f>
        <v>19024119.772373602</v>
      </c>
      <c r="F157" s="619">
        <f t="shared" si="100"/>
        <v>12999554.544593539</v>
      </c>
      <c r="G157" s="619"/>
      <c r="H157" s="619"/>
      <c r="I157" s="619"/>
      <c r="J157" s="619"/>
      <c r="K157" s="619"/>
      <c r="L157" s="619"/>
      <c r="M157" s="619"/>
      <c r="N157" s="619"/>
      <c r="O157" s="44"/>
      <c r="P157" s="581"/>
    </row>
    <row r="158" spans="1:19" s="160" customFormat="1" x14ac:dyDescent="0.25">
      <c r="A158" s="821" t="s">
        <v>413</v>
      </c>
      <c r="B158" s="246" t="str">
        <f t="shared" si="99"/>
        <v>1GbE</v>
      </c>
      <c r="C158" s="246" t="str">
        <f t="shared" si="99"/>
        <v>SFP</v>
      </c>
      <c r="D158" s="246" t="str">
        <f t="shared" si="99"/>
        <v>All reaches</v>
      </c>
      <c r="E158" s="721">
        <v>645299.15212500002</v>
      </c>
      <c r="F158" s="721">
        <v>643657.505</v>
      </c>
      <c r="G158" s="721"/>
      <c r="H158" s="721"/>
      <c r="I158" s="721"/>
      <c r="J158" s="721"/>
      <c r="K158" s="721"/>
      <c r="L158" s="721"/>
      <c r="M158" s="721"/>
      <c r="N158" s="721"/>
      <c r="O158" s="44"/>
    </row>
    <row r="159" spans="1:19" s="160" customFormat="1" x14ac:dyDescent="0.25">
      <c r="A159" s="821"/>
      <c r="B159" s="161" t="str">
        <f t="shared" si="99"/>
        <v>10 GbE</v>
      </c>
      <c r="C159" s="161" t="str">
        <f t="shared" si="99"/>
        <v>SFP+</v>
      </c>
      <c r="D159" s="161" t="str">
        <f t="shared" si="99"/>
        <v>All reaches</v>
      </c>
      <c r="E159" s="722">
        <v>611911.03362</v>
      </c>
      <c r="F159" s="722">
        <v>631237.18920000002</v>
      </c>
      <c r="G159" s="722"/>
      <c r="H159" s="722"/>
      <c r="I159" s="722"/>
      <c r="J159" s="722"/>
      <c r="K159" s="722"/>
      <c r="L159" s="722"/>
      <c r="M159" s="722"/>
      <c r="N159" s="722"/>
      <c r="O159" s="44"/>
    </row>
    <row r="160" spans="1:19" s="160" customFormat="1" x14ac:dyDescent="0.25">
      <c r="A160" s="821"/>
      <c r="B160" s="161" t="str">
        <f t="shared" si="99"/>
        <v>25 GbE</v>
      </c>
      <c r="C160" s="161" t="str">
        <f t="shared" si="99"/>
        <v>SFP28</v>
      </c>
      <c r="D160" s="161" t="str">
        <f t="shared" si="99"/>
        <v>All reaches</v>
      </c>
      <c r="E160" s="722">
        <v>0</v>
      </c>
      <c r="F160" s="722">
        <v>2000</v>
      </c>
      <c r="G160" s="722"/>
      <c r="H160" s="722"/>
      <c r="I160" s="722"/>
      <c r="J160" s="722"/>
      <c r="K160" s="722"/>
      <c r="L160" s="722"/>
      <c r="M160" s="722"/>
      <c r="N160" s="722"/>
      <c r="O160" s="44"/>
    </row>
    <row r="161" spans="1:17" s="160" customFormat="1" x14ac:dyDescent="0.25">
      <c r="A161" s="821"/>
      <c r="B161" s="161" t="str">
        <f t="shared" si="99"/>
        <v>50 GbE</v>
      </c>
      <c r="C161" s="161" t="str">
        <f t="shared" si="99"/>
        <v>QSFP28</v>
      </c>
      <c r="D161" s="161" t="str">
        <f t="shared" si="99"/>
        <v>All reaches</v>
      </c>
      <c r="E161" s="722">
        <v>0</v>
      </c>
      <c r="F161" s="722">
        <v>0</v>
      </c>
      <c r="G161" s="722"/>
      <c r="H161" s="722"/>
      <c r="I161" s="722"/>
      <c r="J161" s="722"/>
      <c r="K161" s="722"/>
      <c r="L161" s="722"/>
      <c r="M161" s="722"/>
      <c r="N161" s="722"/>
      <c r="O161" s="44"/>
    </row>
    <row r="162" spans="1:17" s="160" customFormat="1" x14ac:dyDescent="0.25">
      <c r="A162" s="821"/>
      <c r="B162" s="161" t="str">
        <f t="shared" si="99"/>
        <v>100 GbE</v>
      </c>
      <c r="C162" s="161" t="str">
        <f t="shared" si="99"/>
        <v>QSFP28</v>
      </c>
      <c r="D162" s="161" t="str">
        <f t="shared" si="99"/>
        <v>All reaches</v>
      </c>
      <c r="E162" s="722">
        <v>0</v>
      </c>
      <c r="F162" s="722">
        <v>0</v>
      </c>
      <c r="G162" s="722"/>
      <c r="H162" s="722"/>
      <c r="I162" s="722"/>
      <c r="J162" s="722"/>
      <c r="K162" s="722"/>
      <c r="L162" s="722"/>
      <c r="M162" s="722"/>
      <c r="N162" s="722"/>
      <c r="O162" s="44"/>
    </row>
    <row r="163" spans="1:17" s="160" customFormat="1" x14ac:dyDescent="0.25">
      <c r="A163" s="821"/>
      <c r="B163" s="161" t="str">
        <f t="shared" si="99"/>
        <v>200 GbE</v>
      </c>
      <c r="C163" s="161" t="str">
        <f t="shared" si="99"/>
        <v>QSFP29</v>
      </c>
      <c r="D163" s="161" t="str">
        <f t="shared" si="99"/>
        <v>All reaches</v>
      </c>
      <c r="E163" s="722">
        <v>0</v>
      </c>
      <c r="F163" s="722">
        <v>0</v>
      </c>
      <c r="G163" s="722"/>
      <c r="H163" s="722"/>
      <c r="I163" s="722"/>
      <c r="J163" s="722"/>
      <c r="K163" s="722"/>
      <c r="L163" s="722"/>
      <c r="M163" s="722"/>
      <c r="N163" s="722"/>
      <c r="O163" s="44"/>
      <c r="Q163" s="160" t="s">
        <v>518</v>
      </c>
    </row>
    <row r="164" spans="1:17" s="160" customFormat="1" x14ac:dyDescent="0.25">
      <c r="A164" s="822"/>
      <c r="B164" s="161" t="str">
        <f>B27</f>
        <v>Total BH</v>
      </c>
      <c r="C164" s="161" t="str">
        <f>C27</f>
        <v>All</v>
      </c>
      <c r="D164" s="161" t="str">
        <f>D27</f>
        <v>All reaches</v>
      </c>
      <c r="E164" s="624">
        <f>SUM(E158:E163)</f>
        <v>1257210.1857449999</v>
      </c>
      <c r="F164" s="624">
        <f t="shared" ref="F164:N164" si="101">SUM(F158:F163)</f>
        <v>1276894.6942</v>
      </c>
      <c r="G164" s="624"/>
      <c r="H164" s="624"/>
      <c r="I164" s="624"/>
      <c r="J164" s="624"/>
      <c r="K164" s="624"/>
      <c r="L164" s="624"/>
      <c r="M164" s="624"/>
      <c r="N164" s="624"/>
      <c r="O164" s="44"/>
    </row>
    <row r="165" spans="1:17" x14ac:dyDescent="0.25">
      <c r="A165" s="100"/>
      <c r="B165" s="160"/>
      <c r="D165" s="197"/>
      <c r="E165" s="59"/>
      <c r="F165" s="59">
        <f t="shared" ref="F165:N165" si="102">IF(E157=0,"",F157/E157-1)</f>
        <v>-0.31668036681144118</v>
      </c>
      <c r="G165" s="59"/>
      <c r="H165" s="59"/>
      <c r="I165" s="59"/>
      <c r="J165" s="59"/>
      <c r="K165" s="59"/>
      <c r="L165" s="59"/>
      <c r="M165" s="59"/>
      <c r="N165" s="59"/>
      <c r="O165" s="44"/>
      <c r="P165" s="581"/>
    </row>
    <row r="166" spans="1:17" ht="14.5" x14ac:dyDescent="0.35">
      <c r="A166" s="43"/>
      <c r="B166" s="439" t="s">
        <v>361</v>
      </c>
      <c r="C166" s="46"/>
      <c r="D166" s="197"/>
      <c r="E166" s="572" t="s">
        <v>208</v>
      </c>
      <c r="F166" s="46"/>
      <c r="G166" s="46"/>
      <c r="H166" s="46"/>
      <c r="I166" s="46"/>
      <c r="J166" s="220"/>
      <c r="L166" s="46"/>
      <c r="N166" s="361" t="str">
        <f>B166</f>
        <v>Global ASPs ($)</v>
      </c>
      <c r="P166" s="581"/>
    </row>
    <row r="167" spans="1:17" x14ac:dyDescent="0.25">
      <c r="A167" s="101"/>
      <c r="B167" s="98" t="s">
        <v>10</v>
      </c>
      <c r="C167" s="98" t="s">
        <v>11</v>
      </c>
      <c r="D167" s="210" t="str">
        <f>D144</f>
        <v>Wavelengths</v>
      </c>
      <c r="E167" s="98">
        <v>2016</v>
      </c>
      <c r="F167" s="98">
        <v>2017</v>
      </c>
      <c r="G167" s="98">
        <v>2018</v>
      </c>
      <c r="H167" s="98">
        <v>2019</v>
      </c>
      <c r="I167" s="98">
        <v>2020</v>
      </c>
      <c r="J167" s="98">
        <v>2021</v>
      </c>
      <c r="K167" s="98">
        <v>2022</v>
      </c>
      <c r="L167" s="98">
        <v>2023</v>
      </c>
      <c r="M167" s="98">
        <v>2024</v>
      </c>
      <c r="N167" s="98">
        <v>2025</v>
      </c>
      <c r="P167" s="581"/>
    </row>
    <row r="168" spans="1:17" x14ac:dyDescent="0.25">
      <c r="A168" s="823" t="str">
        <f>A145</f>
        <v>Fronthaul</v>
      </c>
      <c r="B168" s="255" t="str">
        <f t="shared" ref="B168:D179" si="103">B8</f>
        <v>1,3,6,12 Gbps</v>
      </c>
      <c r="C168" s="259" t="str">
        <f t="shared" si="103"/>
        <v>all</v>
      </c>
      <c r="D168" s="256" t="str">
        <f t="shared" si="103"/>
        <v>all</v>
      </c>
      <c r="E168" s="257">
        <f t="shared" ref="E168:M168" si="104">IF(E145=0,,E189*10^6/E145)</f>
        <v>16.897696433557229</v>
      </c>
      <c r="F168" s="257">
        <f t="shared" si="104"/>
        <v>14.724913670056408</v>
      </c>
      <c r="G168" s="257"/>
      <c r="H168" s="257"/>
      <c r="I168" s="257"/>
      <c r="J168" s="257"/>
      <c r="K168" s="257"/>
      <c r="L168" s="257"/>
      <c r="M168" s="257"/>
      <c r="N168" s="257"/>
      <c r="P168" s="581"/>
    </row>
    <row r="169" spans="1:17" x14ac:dyDescent="0.25">
      <c r="A169" s="821"/>
      <c r="B169" s="255" t="str">
        <f t="shared" si="103"/>
        <v>10 Gbps</v>
      </c>
      <c r="C169" s="259" t="str">
        <f t="shared" si="103"/>
        <v>all</v>
      </c>
      <c r="D169" s="256" t="str">
        <f t="shared" si="103"/>
        <v>grey</v>
      </c>
      <c r="E169" s="257">
        <f t="shared" ref="E169:M169" si="105">IF(E146=0,,E190*10^6/E146)</f>
        <v>22.694952593933319</v>
      </c>
      <c r="F169" s="257">
        <f t="shared" si="105"/>
        <v>19.352876755863903</v>
      </c>
      <c r="G169" s="257"/>
      <c r="H169" s="257"/>
      <c r="I169" s="257"/>
      <c r="J169" s="257"/>
      <c r="K169" s="257"/>
      <c r="L169" s="257"/>
      <c r="M169" s="257"/>
      <c r="N169" s="257"/>
      <c r="P169" s="581"/>
    </row>
    <row r="170" spans="1:17" x14ac:dyDescent="0.25">
      <c r="A170" s="821"/>
      <c r="B170" s="245" t="str">
        <f t="shared" si="103"/>
        <v>25 Gbps</v>
      </c>
      <c r="C170" s="259" t="str">
        <f t="shared" si="103"/>
        <v>≤ 0.5 km</v>
      </c>
      <c r="D170" s="256" t="str">
        <f t="shared" si="103"/>
        <v>grey MMF</v>
      </c>
      <c r="E170" s="257">
        <f t="shared" ref="E170:M170" si="106">IF(E147=0,,E191*10^6/E147)</f>
        <v>163.44660226760334</v>
      </c>
      <c r="F170" s="257">
        <f t="shared" si="106"/>
        <v>96</v>
      </c>
      <c r="G170" s="257"/>
      <c r="H170" s="257"/>
      <c r="I170" s="257"/>
      <c r="J170" s="257"/>
      <c r="K170" s="257"/>
      <c r="L170" s="257"/>
      <c r="M170" s="257"/>
      <c r="N170" s="257"/>
      <c r="P170" s="581"/>
    </row>
    <row r="171" spans="1:17" x14ac:dyDescent="0.25">
      <c r="A171" s="821"/>
      <c r="B171" s="245" t="str">
        <f t="shared" si="103"/>
        <v>25 Gbps</v>
      </c>
      <c r="C171" s="259" t="str">
        <f t="shared" si="103"/>
        <v>300 m</v>
      </c>
      <c r="D171" s="256" t="str">
        <f t="shared" si="103"/>
        <v>grey SMF</v>
      </c>
      <c r="E171" s="257">
        <f t="shared" ref="E171:M171" si="107">IF(E148=0,,E192*10^6/E148)</f>
        <v>0</v>
      </c>
      <c r="F171" s="257">
        <f t="shared" si="107"/>
        <v>97</v>
      </c>
      <c r="G171" s="257"/>
      <c r="H171" s="257"/>
      <c r="I171" s="257"/>
      <c r="J171" s="257"/>
      <c r="K171" s="257"/>
      <c r="L171" s="257"/>
      <c r="M171" s="257"/>
      <c r="N171" s="257"/>
      <c r="P171" s="581"/>
    </row>
    <row r="172" spans="1:17" x14ac:dyDescent="0.25">
      <c r="A172" s="821"/>
      <c r="B172" s="161" t="str">
        <f t="shared" si="103"/>
        <v>25 Gbps</v>
      </c>
      <c r="C172" s="259" t="str">
        <f t="shared" si="103"/>
        <v>10, 20 km</v>
      </c>
      <c r="D172" s="256" t="str">
        <f t="shared" si="103"/>
        <v>duplex</v>
      </c>
      <c r="E172" s="257">
        <f t="shared" ref="E172:M172" si="108">IF(E149=0,,E193*10^6/E149)</f>
        <v>125.71518903512825</v>
      </c>
      <c r="F172" s="257">
        <f t="shared" si="108"/>
        <v>109.79729729729729</v>
      </c>
      <c r="G172" s="257"/>
      <c r="H172" s="257"/>
      <c r="I172" s="257"/>
      <c r="J172" s="257"/>
      <c r="K172" s="257"/>
      <c r="L172" s="257"/>
      <c r="M172" s="257"/>
      <c r="N172" s="257"/>
      <c r="P172" s="581"/>
    </row>
    <row r="173" spans="1:17" x14ac:dyDescent="0.25">
      <c r="A173" s="821"/>
      <c r="B173" s="246" t="str">
        <f t="shared" si="103"/>
        <v>25 Gbps</v>
      </c>
      <c r="C173" s="259" t="str">
        <f t="shared" si="103"/>
        <v>10, 20 km</v>
      </c>
      <c r="D173" s="256" t="str">
        <f t="shared" si="103"/>
        <v>Bi-Di</v>
      </c>
      <c r="E173" s="257">
        <f t="shared" ref="E173:M173" si="109">IF(E150=0,,E194*10^6/E150)</f>
        <v>0</v>
      </c>
      <c r="F173" s="257">
        <f t="shared" si="109"/>
        <v>0</v>
      </c>
      <c r="G173" s="257"/>
      <c r="H173" s="257"/>
      <c r="I173" s="257"/>
      <c r="J173" s="257"/>
      <c r="K173" s="257"/>
      <c r="L173" s="257"/>
      <c r="M173" s="257"/>
      <c r="N173" s="257"/>
      <c r="P173" s="581"/>
    </row>
    <row r="174" spans="1:17" x14ac:dyDescent="0.25">
      <c r="A174" s="821"/>
      <c r="B174" s="246" t="str">
        <f t="shared" si="103"/>
        <v>50 Gbps</v>
      </c>
      <c r="C174" s="342" t="str">
        <f t="shared" si="103"/>
        <v>all</v>
      </c>
      <c r="D174" s="256" t="str">
        <f t="shared" si="103"/>
        <v>grey</v>
      </c>
      <c r="E174" s="258">
        <f t="shared" ref="E174:M174" si="110">IF(E151=0,,E195*10^6/E151)</f>
        <v>0</v>
      </c>
      <c r="F174" s="258">
        <f t="shared" si="110"/>
        <v>0</v>
      </c>
      <c r="G174" s="258"/>
      <c r="H174" s="258"/>
      <c r="I174" s="258"/>
      <c r="J174" s="258"/>
      <c r="K174" s="258"/>
      <c r="L174" s="258"/>
      <c r="M174" s="258"/>
      <c r="N174" s="258"/>
      <c r="P174" s="581"/>
    </row>
    <row r="175" spans="1:17" s="160" customFormat="1" x14ac:dyDescent="0.25">
      <c r="A175" s="821"/>
      <c r="B175" s="246" t="str">
        <f t="shared" si="103"/>
        <v>100 Gbps</v>
      </c>
      <c r="C175" s="342" t="str">
        <f t="shared" si="103"/>
        <v>all</v>
      </c>
      <c r="D175" s="256" t="str">
        <f t="shared" si="103"/>
        <v>grey</v>
      </c>
      <c r="E175" s="258">
        <f t="shared" ref="E175:M175" si="111">IF(E152=0,,E196*10^6/E152)</f>
        <v>0</v>
      </c>
      <c r="F175" s="258">
        <f t="shared" si="111"/>
        <v>0</v>
      </c>
      <c r="G175" s="258"/>
      <c r="H175" s="258"/>
      <c r="I175" s="258"/>
      <c r="J175" s="258"/>
      <c r="K175" s="258"/>
      <c r="L175" s="258"/>
      <c r="M175" s="258"/>
      <c r="N175" s="258"/>
      <c r="P175" s="581"/>
    </row>
    <row r="176" spans="1:17" s="160" customFormat="1" x14ac:dyDescent="0.25">
      <c r="A176" s="821"/>
      <c r="B176" s="246" t="str">
        <f t="shared" si="103"/>
        <v>10 Gbps</v>
      </c>
      <c r="C176" s="342" t="str">
        <f t="shared" si="103"/>
        <v>all</v>
      </c>
      <c r="D176" s="256" t="str">
        <f t="shared" si="103"/>
        <v>CWDM</v>
      </c>
      <c r="E176" s="258">
        <f t="shared" ref="E176:M176" si="112">IF(E153=0,,E197*10^6/E153)</f>
        <v>0</v>
      </c>
      <c r="F176" s="258">
        <f t="shared" si="112"/>
        <v>0</v>
      </c>
      <c r="G176" s="258"/>
      <c r="H176" s="258"/>
      <c r="I176" s="258"/>
      <c r="J176" s="258"/>
      <c r="K176" s="258"/>
      <c r="L176" s="258"/>
      <c r="M176" s="258"/>
      <c r="N176" s="258"/>
      <c r="P176" s="581"/>
    </row>
    <row r="177" spans="1:16" s="160" customFormat="1" x14ac:dyDescent="0.25">
      <c r="A177" s="821"/>
      <c r="B177" s="246" t="str">
        <f t="shared" si="103"/>
        <v>10 Gbps</v>
      </c>
      <c r="C177" s="342" t="str">
        <f t="shared" si="103"/>
        <v>all</v>
      </c>
      <c r="D177" s="256" t="str">
        <f t="shared" si="103"/>
        <v>DWDM</v>
      </c>
      <c r="E177" s="258">
        <f t="shared" ref="E177:M177" si="113">IF(E154=0,,E198*10^6/E154)</f>
        <v>440</v>
      </c>
      <c r="F177" s="258">
        <f t="shared" si="113"/>
        <v>370.5993386636224</v>
      </c>
      <c r="G177" s="258"/>
      <c r="H177" s="258"/>
      <c r="I177" s="258"/>
      <c r="J177" s="258"/>
      <c r="K177" s="258"/>
      <c r="L177" s="258"/>
      <c r="M177" s="258"/>
      <c r="N177" s="258"/>
      <c r="P177" s="581"/>
    </row>
    <row r="178" spans="1:16" s="160" customFormat="1" x14ac:dyDescent="0.25">
      <c r="A178" s="821"/>
      <c r="B178" s="246" t="str">
        <f t="shared" si="103"/>
        <v>25 Gbps</v>
      </c>
      <c r="C178" s="342" t="str">
        <f t="shared" si="103"/>
        <v>all</v>
      </c>
      <c r="D178" s="256" t="str">
        <f t="shared" si="103"/>
        <v>CWDM</v>
      </c>
      <c r="E178" s="258">
        <f t="shared" ref="E178:M178" si="114">IF(E155=0,,E199*10^6/E155)</f>
        <v>0</v>
      </c>
      <c r="F178" s="258">
        <f t="shared" si="114"/>
        <v>0</v>
      </c>
      <c r="G178" s="258"/>
      <c r="H178" s="258"/>
      <c r="I178" s="258"/>
      <c r="J178" s="258"/>
      <c r="K178" s="258"/>
      <c r="L178" s="258"/>
      <c r="M178" s="258"/>
      <c r="N178" s="258"/>
      <c r="P178" s="581"/>
    </row>
    <row r="179" spans="1:16" s="160" customFormat="1" ht="13" thickBot="1" x14ac:dyDescent="0.3">
      <c r="A179" s="821"/>
      <c r="B179" s="613" t="str">
        <f t="shared" si="103"/>
        <v>25 Gbps</v>
      </c>
      <c r="C179" s="614" t="str">
        <f t="shared" si="103"/>
        <v>all</v>
      </c>
      <c r="D179" s="615" t="str">
        <f t="shared" si="103"/>
        <v>DWDM</v>
      </c>
      <c r="E179" s="616">
        <f t="shared" ref="E179:M179" si="115">IF(E156=0,,E200*10^6/E156)</f>
        <v>0</v>
      </c>
      <c r="F179" s="616">
        <f t="shared" si="115"/>
        <v>0</v>
      </c>
      <c r="G179" s="616"/>
      <c r="H179" s="616"/>
      <c r="I179" s="616"/>
      <c r="J179" s="616"/>
      <c r="K179" s="616"/>
      <c r="L179" s="616"/>
      <c r="M179" s="616"/>
      <c r="N179" s="616"/>
      <c r="P179" s="581"/>
    </row>
    <row r="180" spans="1:16" s="160" customFormat="1" ht="12.5" customHeight="1" x14ac:dyDescent="0.25">
      <c r="A180" s="828" t="s">
        <v>413</v>
      </c>
      <c r="B180" s="246" t="str">
        <f t="shared" ref="B180:D185" si="116">B21</f>
        <v>1GbE</v>
      </c>
      <c r="C180" s="246" t="str">
        <f t="shared" si="116"/>
        <v>SFP</v>
      </c>
      <c r="D180" s="246" t="str">
        <f t="shared" si="116"/>
        <v>All reaches</v>
      </c>
      <c r="E180" s="612">
        <v>16.815538644807191</v>
      </c>
      <c r="F180" s="612">
        <v>13.986462718271209</v>
      </c>
      <c r="G180" s="612"/>
      <c r="H180" s="612"/>
      <c r="I180" s="612"/>
      <c r="J180" s="612"/>
      <c r="K180" s="612"/>
      <c r="L180" s="612"/>
      <c r="M180" s="612"/>
      <c r="N180" s="612"/>
      <c r="O180" s="582"/>
    </row>
    <row r="181" spans="1:16" s="160" customFormat="1" x14ac:dyDescent="0.25">
      <c r="A181" s="828"/>
      <c r="B181" s="161" t="str">
        <f t="shared" si="116"/>
        <v>10 GbE</v>
      </c>
      <c r="C181" s="161" t="str">
        <f t="shared" si="116"/>
        <v>SFP+</v>
      </c>
      <c r="D181" s="161" t="str">
        <f t="shared" si="116"/>
        <v>All reaches</v>
      </c>
      <c r="E181" s="258">
        <v>182.06356171750147</v>
      </c>
      <c r="F181" s="258">
        <v>148.99019472816192</v>
      </c>
      <c r="G181" s="258"/>
      <c r="H181" s="258"/>
      <c r="I181" s="258"/>
      <c r="J181" s="258"/>
      <c r="K181" s="258"/>
      <c r="L181" s="258"/>
      <c r="M181" s="258"/>
      <c r="N181" s="258"/>
      <c r="O181" s="582"/>
    </row>
    <row r="182" spans="1:16" s="160" customFormat="1" x14ac:dyDescent="0.25">
      <c r="A182" s="828"/>
      <c r="B182" s="161" t="str">
        <f t="shared" si="116"/>
        <v>25 GbE</v>
      </c>
      <c r="C182" s="161" t="str">
        <f t="shared" si="116"/>
        <v>SFP28</v>
      </c>
      <c r="D182" s="161" t="str">
        <f t="shared" si="116"/>
        <v>All reaches</v>
      </c>
      <c r="E182" s="258">
        <v>0</v>
      </c>
      <c r="F182" s="258">
        <v>324.10355668962507</v>
      </c>
      <c r="G182" s="258"/>
      <c r="H182" s="258"/>
      <c r="I182" s="258"/>
      <c r="J182" s="258"/>
      <c r="K182" s="258"/>
      <c r="L182" s="258"/>
      <c r="M182" s="258"/>
      <c r="N182" s="258"/>
      <c r="O182" s="582"/>
    </row>
    <row r="183" spans="1:16" s="160" customFormat="1" x14ac:dyDescent="0.25">
      <c r="A183" s="828"/>
      <c r="B183" s="161" t="str">
        <f t="shared" si="116"/>
        <v>50 GbE</v>
      </c>
      <c r="C183" s="161" t="str">
        <f t="shared" si="116"/>
        <v>QSFP28</v>
      </c>
      <c r="D183" s="161" t="str">
        <f t="shared" si="116"/>
        <v>All reaches</v>
      </c>
      <c r="E183" s="258">
        <v>0</v>
      </c>
      <c r="F183" s="258">
        <v>0</v>
      </c>
      <c r="G183" s="258"/>
      <c r="H183" s="258"/>
      <c r="I183" s="258"/>
      <c r="J183" s="258"/>
      <c r="K183" s="258"/>
      <c r="L183" s="258"/>
      <c r="M183" s="258"/>
      <c r="N183" s="258"/>
      <c r="O183" s="582"/>
    </row>
    <row r="184" spans="1:16" s="160" customFormat="1" x14ac:dyDescent="0.25">
      <c r="A184" s="828"/>
      <c r="B184" s="161" t="str">
        <f t="shared" si="116"/>
        <v>100 GbE</v>
      </c>
      <c r="C184" s="161" t="str">
        <f t="shared" si="116"/>
        <v>QSFP28</v>
      </c>
      <c r="D184" s="161" t="str">
        <f t="shared" si="116"/>
        <v>All reaches</v>
      </c>
      <c r="E184" s="258">
        <v>0</v>
      </c>
      <c r="F184" s="258">
        <v>0</v>
      </c>
      <c r="G184" s="258"/>
      <c r="H184" s="258"/>
      <c r="I184" s="258"/>
      <c r="J184" s="258"/>
      <c r="K184" s="258"/>
      <c r="L184" s="258"/>
      <c r="M184" s="258"/>
      <c r="N184" s="258"/>
      <c r="O184" s="582"/>
    </row>
    <row r="185" spans="1:16" s="160" customFormat="1" x14ac:dyDescent="0.25">
      <c r="A185" s="828"/>
      <c r="B185" s="161" t="str">
        <f t="shared" si="116"/>
        <v>200 GbE</v>
      </c>
      <c r="C185" s="161" t="str">
        <f t="shared" si="116"/>
        <v>QSFP29</v>
      </c>
      <c r="D185" s="161" t="str">
        <f t="shared" si="116"/>
        <v>All reaches</v>
      </c>
      <c r="E185" s="258">
        <v>0</v>
      </c>
      <c r="F185" s="258">
        <v>0</v>
      </c>
      <c r="G185" s="258"/>
      <c r="H185" s="258"/>
      <c r="I185" s="258"/>
      <c r="J185" s="258"/>
      <c r="K185" s="258"/>
      <c r="L185" s="258"/>
      <c r="M185" s="258"/>
      <c r="N185" s="258"/>
      <c r="O185" s="582"/>
    </row>
    <row r="186" spans="1:16" x14ac:dyDescent="0.25">
      <c r="A186" s="160"/>
      <c r="B186" s="160"/>
      <c r="D186" s="160"/>
      <c r="E186" s="46"/>
      <c r="F186" s="46"/>
      <c r="G186" s="46"/>
      <c r="H186" s="46"/>
      <c r="I186" s="46"/>
      <c r="J186" s="46"/>
      <c r="K186" s="46"/>
      <c r="L186" s="46"/>
      <c r="M186" s="46"/>
      <c r="N186" s="46"/>
      <c r="P186" s="581"/>
    </row>
    <row r="187" spans="1:16" ht="14.5" x14ac:dyDescent="0.35">
      <c r="B187" s="439" t="s">
        <v>362</v>
      </c>
      <c r="C187" s="46"/>
      <c r="D187" s="197"/>
      <c r="E187" s="572">
        <f>E143</f>
        <v>0</v>
      </c>
      <c r="F187" s="46"/>
      <c r="G187" s="46"/>
      <c r="H187" s="46"/>
      <c r="I187" s="46"/>
      <c r="J187" s="220"/>
      <c r="L187" s="46"/>
      <c r="N187" s="361" t="str">
        <f>B187</f>
        <v>Global Revenues ($M)</v>
      </c>
      <c r="O187" s="160"/>
      <c r="P187" s="581"/>
    </row>
    <row r="188" spans="1:16" x14ac:dyDescent="0.25">
      <c r="B188" s="98" t="s">
        <v>10</v>
      </c>
      <c r="C188" s="98" t="s">
        <v>11</v>
      </c>
      <c r="D188" s="210" t="str">
        <f>D144</f>
        <v>Wavelengths</v>
      </c>
      <c r="E188" s="98">
        <v>2016</v>
      </c>
      <c r="F188" s="98">
        <v>2017</v>
      </c>
      <c r="G188" s="98">
        <v>2018</v>
      </c>
      <c r="H188" s="98">
        <v>2019</v>
      </c>
      <c r="I188" s="98">
        <v>2020</v>
      </c>
      <c r="J188" s="98">
        <v>2021</v>
      </c>
      <c r="K188" s="98">
        <v>2022</v>
      </c>
      <c r="L188" s="98">
        <v>2023</v>
      </c>
      <c r="M188" s="98">
        <v>2024</v>
      </c>
      <c r="N188" s="98">
        <v>2025</v>
      </c>
      <c r="O188" s="160"/>
      <c r="P188" s="581"/>
    </row>
    <row r="189" spans="1:16" x14ac:dyDescent="0.25">
      <c r="A189" s="823" t="str">
        <f>$A$8</f>
        <v>Fronthaul</v>
      </c>
      <c r="B189" s="255" t="str">
        <f t="shared" ref="B189:D207" si="117">B8</f>
        <v>1,3,6,12 Gbps</v>
      </c>
      <c r="C189" s="259" t="str">
        <f t="shared" si="117"/>
        <v>all</v>
      </c>
      <c r="D189" s="259" t="str">
        <f t="shared" si="117"/>
        <v>all</v>
      </c>
      <c r="E189" s="698">
        <v>193.09867439061279</v>
      </c>
      <c r="F189" s="698">
        <v>119.66994976310424</v>
      </c>
      <c r="G189" s="698"/>
      <c r="H189" s="698"/>
      <c r="I189" s="698"/>
      <c r="J189" s="698"/>
      <c r="K189" s="698"/>
      <c r="L189" s="698"/>
      <c r="M189" s="698"/>
      <c r="N189" s="698"/>
      <c r="O189" s="160"/>
    </row>
    <row r="190" spans="1:16" x14ac:dyDescent="0.25">
      <c r="A190" s="821"/>
      <c r="B190" s="255" t="str">
        <f t="shared" si="117"/>
        <v>10 Gbps</v>
      </c>
      <c r="C190" s="259" t="str">
        <f t="shared" si="117"/>
        <v>all</v>
      </c>
      <c r="D190" s="259" t="str">
        <f t="shared" si="117"/>
        <v>grey</v>
      </c>
      <c r="E190" s="698">
        <v>171.48350970403033</v>
      </c>
      <c r="F190" s="698">
        <v>91.326523490178843</v>
      </c>
      <c r="G190" s="698"/>
      <c r="H190" s="698"/>
      <c r="I190" s="698"/>
      <c r="J190" s="698"/>
      <c r="K190" s="698"/>
      <c r="L190" s="698"/>
      <c r="M190" s="698"/>
      <c r="N190" s="698"/>
      <c r="O190" s="160"/>
    </row>
    <row r="191" spans="1:16" x14ac:dyDescent="0.25">
      <c r="A191" s="821"/>
      <c r="B191" s="255" t="str">
        <f t="shared" si="117"/>
        <v>25 Gbps</v>
      </c>
      <c r="C191" s="259" t="str">
        <f t="shared" si="117"/>
        <v>≤ 0.5 km</v>
      </c>
      <c r="D191" s="259" t="str">
        <f t="shared" si="117"/>
        <v>grey MMF</v>
      </c>
      <c r="E191" s="725">
        <v>2.4516990340140501E-2</v>
      </c>
      <c r="F191" s="725">
        <v>0.38400000000000001</v>
      </c>
      <c r="G191" s="698"/>
      <c r="H191" s="698"/>
      <c r="I191" s="698"/>
      <c r="J191" s="698"/>
      <c r="K191" s="698"/>
      <c r="L191" s="698"/>
      <c r="M191" s="698"/>
      <c r="N191" s="698"/>
      <c r="O191" s="160"/>
    </row>
    <row r="192" spans="1:16" x14ac:dyDescent="0.25">
      <c r="A192" s="821"/>
      <c r="B192" s="255" t="str">
        <f t="shared" si="117"/>
        <v>25 Gbps</v>
      </c>
      <c r="C192" s="259" t="str">
        <f t="shared" si="117"/>
        <v>300 m</v>
      </c>
      <c r="D192" s="259" t="str">
        <f t="shared" si="117"/>
        <v>grey SMF</v>
      </c>
      <c r="E192" s="698">
        <v>0</v>
      </c>
      <c r="F192" s="698">
        <v>4.8500000000000001E-2</v>
      </c>
      <c r="G192" s="698"/>
      <c r="H192" s="698"/>
      <c r="I192" s="698"/>
      <c r="J192" s="698"/>
      <c r="K192" s="698"/>
      <c r="L192" s="698"/>
      <c r="M192" s="698"/>
      <c r="N192" s="698"/>
      <c r="O192" s="160"/>
    </row>
    <row r="193" spans="1:15" x14ac:dyDescent="0.25">
      <c r="A193" s="821"/>
      <c r="B193" s="246" t="str">
        <f t="shared" si="117"/>
        <v>25 Gbps</v>
      </c>
      <c r="C193" s="256" t="str">
        <f t="shared" si="117"/>
        <v>10, 20 km</v>
      </c>
      <c r="D193" s="256" t="str">
        <f t="shared" si="117"/>
        <v>duplex</v>
      </c>
      <c r="E193" s="698">
        <v>5.6571835065807707E-2</v>
      </c>
      <c r="F193" s="698">
        <v>8.125</v>
      </c>
      <c r="G193" s="725"/>
      <c r="H193" s="698"/>
      <c r="I193" s="698"/>
      <c r="J193" s="698"/>
      <c r="K193" s="698"/>
      <c r="L193" s="698"/>
      <c r="M193" s="698"/>
      <c r="N193" s="698"/>
      <c r="O193" s="160"/>
    </row>
    <row r="194" spans="1:15" x14ac:dyDescent="0.25">
      <c r="A194" s="821"/>
      <c r="B194" s="246" t="str">
        <f t="shared" si="117"/>
        <v>25 Gbps</v>
      </c>
      <c r="C194" s="256" t="str">
        <f t="shared" si="117"/>
        <v>10, 20 km</v>
      </c>
      <c r="D194" s="256" t="str">
        <f t="shared" si="117"/>
        <v>Bi-Di</v>
      </c>
      <c r="E194" s="698">
        <v>0</v>
      </c>
      <c r="F194" s="698">
        <v>0</v>
      </c>
      <c r="G194" s="698"/>
      <c r="H194" s="698"/>
      <c r="I194" s="698"/>
      <c r="J194" s="698"/>
      <c r="K194" s="698"/>
      <c r="L194" s="698"/>
      <c r="M194" s="698"/>
      <c r="N194" s="698"/>
      <c r="O194" s="160"/>
    </row>
    <row r="195" spans="1:15" x14ac:dyDescent="0.25">
      <c r="A195" s="821"/>
      <c r="B195" s="246" t="str">
        <f t="shared" si="117"/>
        <v>50 Gbps</v>
      </c>
      <c r="C195" s="256" t="str">
        <f t="shared" si="117"/>
        <v>all</v>
      </c>
      <c r="D195" s="256" t="str">
        <f t="shared" si="117"/>
        <v>grey</v>
      </c>
      <c r="E195" s="698">
        <v>0</v>
      </c>
      <c r="F195" s="698">
        <v>0</v>
      </c>
      <c r="G195" s="698"/>
      <c r="H195" s="698"/>
      <c r="I195" s="698"/>
      <c r="J195" s="698"/>
      <c r="K195" s="698"/>
      <c r="L195" s="698"/>
      <c r="M195" s="698"/>
      <c r="N195" s="698"/>
      <c r="O195" s="160"/>
    </row>
    <row r="196" spans="1:15" s="160" customFormat="1" x14ac:dyDescent="0.25">
      <c r="A196" s="821"/>
      <c r="B196" s="246" t="str">
        <f t="shared" si="117"/>
        <v>100 Gbps</v>
      </c>
      <c r="C196" s="256" t="str">
        <f t="shared" si="117"/>
        <v>all</v>
      </c>
      <c r="D196" s="256" t="str">
        <f t="shared" si="117"/>
        <v>grey</v>
      </c>
      <c r="E196" s="698">
        <v>0</v>
      </c>
      <c r="F196" s="698">
        <v>0</v>
      </c>
      <c r="G196" s="698"/>
      <c r="H196" s="698"/>
      <c r="I196" s="698"/>
      <c r="J196" s="698"/>
      <c r="K196" s="698"/>
      <c r="L196" s="698"/>
      <c r="M196" s="698"/>
      <c r="N196" s="698"/>
    </row>
    <row r="197" spans="1:15" s="160" customFormat="1" x14ac:dyDescent="0.25">
      <c r="A197" s="821"/>
      <c r="B197" s="246" t="str">
        <f t="shared" si="117"/>
        <v>10 Gbps</v>
      </c>
      <c r="C197" s="256" t="str">
        <f t="shared" si="117"/>
        <v>all</v>
      </c>
      <c r="D197" s="256" t="str">
        <f t="shared" si="117"/>
        <v>CWDM</v>
      </c>
      <c r="E197" s="698">
        <v>0</v>
      </c>
      <c r="F197" s="698">
        <v>0</v>
      </c>
      <c r="G197" s="698"/>
      <c r="H197" s="698"/>
      <c r="I197" s="698"/>
      <c r="J197" s="698"/>
      <c r="K197" s="698"/>
      <c r="L197" s="698"/>
      <c r="M197" s="698"/>
      <c r="N197" s="698"/>
    </row>
    <row r="198" spans="1:15" s="160" customFormat="1" x14ac:dyDescent="0.25">
      <c r="A198" s="821"/>
      <c r="B198" s="246" t="str">
        <f t="shared" si="117"/>
        <v>10 Gbps</v>
      </c>
      <c r="C198" s="256" t="str">
        <f t="shared" si="117"/>
        <v>all</v>
      </c>
      <c r="D198" s="256" t="str">
        <f t="shared" si="117"/>
        <v>DWDM</v>
      </c>
      <c r="E198" s="698">
        <v>17.593548068639365</v>
      </c>
      <c r="F198" s="698">
        <v>27.794950399771679</v>
      </c>
      <c r="G198" s="698"/>
      <c r="H198" s="698"/>
      <c r="I198" s="698"/>
      <c r="J198" s="698"/>
      <c r="K198" s="698"/>
      <c r="L198" s="698"/>
      <c r="M198" s="698"/>
      <c r="N198" s="698"/>
    </row>
    <row r="199" spans="1:15" s="160" customFormat="1" x14ac:dyDescent="0.25">
      <c r="A199" s="821"/>
      <c r="B199" s="246" t="str">
        <f t="shared" si="117"/>
        <v>25 Gbps</v>
      </c>
      <c r="C199" s="256" t="str">
        <f t="shared" si="117"/>
        <v>all</v>
      </c>
      <c r="D199" s="256" t="str">
        <f t="shared" si="117"/>
        <v>CWDM</v>
      </c>
      <c r="E199" s="698">
        <v>0</v>
      </c>
      <c r="F199" s="698">
        <v>0</v>
      </c>
      <c r="G199" s="698"/>
      <c r="H199" s="698"/>
      <c r="I199" s="698"/>
      <c r="J199" s="698"/>
      <c r="K199" s="698"/>
      <c r="L199" s="698"/>
      <c r="M199" s="698"/>
      <c r="N199" s="698"/>
    </row>
    <row r="200" spans="1:15" s="160" customFormat="1" x14ac:dyDescent="0.25">
      <c r="A200" s="821"/>
      <c r="B200" s="246" t="str">
        <f t="shared" si="117"/>
        <v>25 Gbps</v>
      </c>
      <c r="C200" s="256" t="str">
        <f t="shared" si="117"/>
        <v>all</v>
      </c>
      <c r="D200" s="256" t="str">
        <f t="shared" si="117"/>
        <v>DWDM</v>
      </c>
      <c r="E200" s="698">
        <v>0</v>
      </c>
      <c r="F200" s="698">
        <v>0</v>
      </c>
      <c r="G200" s="698"/>
      <c r="H200" s="698"/>
      <c r="I200" s="698"/>
      <c r="J200" s="698"/>
      <c r="K200" s="698"/>
      <c r="L200" s="698"/>
      <c r="M200" s="698"/>
      <c r="N200" s="698"/>
    </row>
    <row r="201" spans="1:15" ht="13" thickBot="1" x14ac:dyDescent="0.3">
      <c r="A201" s="824"/>
      <c r="B201" s="617" t="str">
        <f t="shared" si="117"/>
        <v>Total FH</v>
      </c>
      <c r="C201" s="617" t="str">
        <f t="shared" si="117"/>
        <v>All</v>
      </c>
      <c r="D201" s="617" t="str">
        <f t="shared" si="117"/>
        <v>All</v>
      </c>
      <c r="E201" s="618">
        <f t="shared" ref="E201:L201" si="118">SUM(E189:E200)</f>
        <v>382.25682098868845</v>
      </c>
      <c r="F201" s="618">
        <f t="shared" si="118"/>
        <v>247.34892365305473</v>
      </c>
      <c r="G201" s="618"/>
      <c r="H201" s="618"/>
      <c r="I201" s="618"/>
      <c r="J201" s="618"/>
      <c r="K201" s="618"/>
      <c r="L201" s="618"/>
      <c r="M201" s="618"/>
      <c r="N201" s="618"/>
      <c r="O201" s="160"/>
    </row>
    <row r="202" spans="1:15" s="160" customFormat="1" x14ac:dyDescent="0.25">
      <c r="A202" s="821" t="s">
        <v>413</v>
      </c>
      <c r="B202" s="246" t="str">
        <f t="shared" si="117"/>
        <v>1GbE</v>
      </c>
      <c r="C202" s="246" t="str">
        <f t="shared" si="117"/>
        <v>SFP</v>
      </c>
      <c r="D202" s="246" t="str">
        <f t="shared" si="117"/>
        <v>All reaches</v>
      </c>
      <c r="E202" s="727">
        <v>10.851052830019253</v>
      </c>
      <c r="F202" s="727">
        <f t="shared" ref="F202:N202" si="119">IF(F158=0,,F158*F180/10^6)</f>
        <v>9.0024916970179643</v>
      </c>
      <c r="G202" s="727"/>
      <c r="H202" s="727"/>
      <c r="I202" s="727"/>
      <c r="J202" s="727"/>
      <c r="K202" s="727"/>
      <c r="L202" s="727"/>
      <c r="M202" s="727"/>
      <c r="N202" s="727"/>
    </row>
    <row r="203" spans="1:15" s="160" customFormat="1" x14ac:dyDescent="0.25">
      <c r="A203" s="821"/>
      <c r="B203" s="161" t="str">
        <f t="shared" si="117"/>
        <v>10 GbE</v>
      </c>
      <c r="C203" s="161" t="str">
        <f t="shared" si="117"/>
        <v>SFP+</v>
      </c>
      <c r="D203" s="161" t="str">
        <f t="shared" si="117"/>
        <v>All reaches</v>
      </c>
      <c r="E203" s="296">
        <f t="shared" ref="E203:N203" si="120">IF(E159=0,,E159*E181/10^6)</f>
        <v>111.406702235095</v>
      </c>
      <c r="F203" s="296">
        <f t="shared" si="120"/>
        <v>94.048151738565593</v>
      </c>
      <c r="G203" s="296"/>
      <c r="H203" s="296"/>
      <c r="I203" s="296"/>
      <c r="J203" s="296"/>
      <c r="K203" s="296"/>
      <c r="L203" s="296"/>
      <c r="M203" s="296"/>
      <c r="N203" s="296"/>
    </row>
    <row r="204" spans="1:15" s="160" customFormat="1" x14ac:dyDescent="0.25">
      <c r="A204" s="821"/>
      <c r="B204" s="161" t="str">
        <f t="shared" si="117"/>
        <v>25 GbE</v>
      </c>
      <c r="C204" s="161" t="str">
        <f t="shared" si="117"/>
        <v>SFP28</v>
      </c>
      <c r="D204" s="161" t="str">
        <f t="shared" si="117"/>
        <v>All reaches</v>
      </c>
      <c r="E204" s="296">
        <f t="shared" ref="E204:N204" si="121">IF(E160=0,,E160*E182/10^6)</f>
        <v>0</v>
      </c>
      <c r="F204" s="296">
        <f t="shared" si="121"/>
        <v>0.64820711337925019</v>
      </c>
      <c r="G204" s="296"/>
      <c r="H204" s="296"/>
      <c r="I204" s="296"/>
      <c r="J204" s="296"/>
      <c r="K204" s="296"/>
      <c r="L204" s="296"/>
      <c r="M204" s="296"/>
      <c r="N204" s="296"/>
    </row>
    <row r="205" spans="1:15" s="160" customFormat="1" x14ac:dyDescent="0.25">
      <c r="A205" s="821"/>
      <c r="B205" s="161" t="str">
        <f t="shared" si="117"/>
        <v>50 GbE</v>
      </c>
      <c r="C205" s="161" t="str">
        <f t="shared" si="117"/>
        <v>QSFP28</v>
      </c>
      <c r="D205" s="161" t="str">
        <f t="shared" si="117"/>
        <v>All reaches</v>
      </c>
      <c r="E205" s="296">
        <f t="shared" ref="E205:N205" si="122">IF(E161=0,,E161*E183/10^6)</f>
        <v>0</v>
      </c>
      <c r="F205" s="296">
        <f t="shared" si="122"/>
        <v>0</v>
      </c>
      <c r="G205" s="296"/>
      <c r="H205" s="296"/>
      <c r="I205" s="296"/>
      <c r="J205" s="296"/>
      <c r="K205" s="296"/>
      <c r="L205" s="296"/>
      <c r="M205" s="296"/>
      <c r="N205" s="296"/>
    </row>
    <row r="206" spans="1:15" s="160" customFormat="1" x14ac:dyDescent="0.25">
      <c r="A206" s="821"/>
      <c r="B206" s="161" t="str">
        <f t="shared" si="117"/>
        <v>100 GbE</v>
      </c>
      <c r="C206" s="161" t="str">
        <f t="shared" si="117"/>
        <v>QSFP28</v>
      </c>
      <c r="D206" s="161" t="str">
        <f t="shared" si="117"/>
        <v>All reaches</v>
      </c>
      <c r="E206" s="296">
        <f t="shared" ref="E206:N206" si="123">IF(E162=0,,E162*E184/10^6)</f>
        <v>0</v>
      </c>
      <c r="F206" s="296">
        <f t="shared" si="123"/>
        <v>0</v>
      </c>
      <c r="G206" s="296"/>
      <c r="H206" s="296"/>
      <c r="I206" s="296"/>
      <c r="J206" s="296"/>
      <c r="K206" s="296"/>
      <c r="L206" s="296"/>
      <c r="M206" s="296"/>
      <c r="N206" s="296"/>
    </row>
    <row r="207" spans="1:15" s="160" customFormat="1" x14ac:dyDescent="0.25">
      <c r="A207" s="821"/>
      <c r="B207" s="161" t="str">
        <f t="shared" si="117"/>
        <v>200 GbE</v>
      </c>
      <c r="C207" s="161" t="str">
        <f t="shared" si="117"/>
        <v>QSFP29</v>
      </c>
      <c r="D207" s="161" t="str">
        <f t="shared" si="117"/>
        <v>All reaches</v>
      </c>
      <c r="E207" s="296">
        <f t="shared" ref="E207:N207" si="124">IF(E163=0,,E163*E185/10^6)</f>
        <v>0</v>
      </c>
      <c r="F207" s="296">
        <f t="shared" si="124"/>
        <v>0</v>
      </c>
      <c r="G207" s="296"/>
      <c r="H207" s="296"/>
      <c r="I207" s="296"/>
      <c r="J207" s="296"/>
      <c r="K207" s="296"/>
      <c r="L207" s="296"/>
      <c r="M207" s="296"/>
      <c r="N207" s="296"/>
    </row>
    <row r="208" spans="1:15" s="160" customFormat="1" x14ac:dyDescent="0.25">
      <c r="A208" s="822"/>
      <c r="B208" s="161" t="str">
        <f>B27</f>
        <v>Total BH</v>
      </c>
      <c r="C208" s="161" t="str">
        <f>C27</f>
        <v>All</v>
      </c>
      <c r="D208" s="161" t="str">
        <f>D27</f>
        <v>All reaches</v>
      </c>
      <c r="E208" s="611">
        <f>SUM(E202:E207)</f>
        <v>122.25775506511425</v>
      </c>
      <c r="F208" s="611">
        <f t="shared" ref="F208:N208" si="125">SUM(F202:F207)</f>
        <v>103.69885054896281</v>
      </c>
      <c r="G208" s="611"/>
      <c r="H208" s="611"/>
      <c r="I208" s="611"/>
      <c r="J208" s="611"/>
      <c r="K208" s="611"/>
      <c r="L208" s="611"/>
      <c r="M208" s="611"/>
      <c r="N208" s="611"/>
    </row>
    <row r="209" spans="2:16" x14ac:dyDescent="0.25">
      <c r="B209" s="160"/>
      <c r="D209" s="418"/>
      <c r="E209" s="59"/>
      <c r="F209" s="59">
        <f t="shared" ref="F209:N209" si="126">IF(E201=0,"",F201/E201-1)</f>
        <v>-0.35292476138607831</v>
      </c>
      <c r="G209" s="59"/>
      <c r="H209" s="59"/>
      <c r="I209" s="59"/>
      <c r="J209" s="59"/>
      <c r="K209" s="59"/>
      <c r="L209" s="59"/>
      <c r="M209" s="59"/>
      <c r="N209" s="59"/>
      <c r="O209" s="160"/>
      <c r="P209" s="44"/>
    </row>
    <row r="210" spans="2:16" x14ac:dyDescent="0.25">
      <c r="D210" s="160"/>
      <c r="E210" s="160"/>
      <c r="F210" s="160"/>
      <c r="G210" s="160"/>
      <c r="O210" s="160"/>
      <c r="P210" s="160"/>
    </row>
    <row r="211" spans="2:16" x14ac:dyDescent="0.25">
      <c r="D211" s="160"/>
      <c r="E211" s="160"/>
      <c r="F211" s="160"/>
      <c r="G211" s="160"/>
      <c r="O211" s="160"/>
    </row>
    <row r="212" spans="2:16" x14ac:dyDescent="0.25">
      <c r="D212" s="160"/>
      <c r="E212" s="160"/>
      <c r="F212" s="160"/>
      <c r="G212" s="160"/>
      <c r="O212" s="160"/>
    </row>
    <row r="213" spans="2:16" x14ac:dyDescent="0.25">
      <c r="D213" s="160"/>
      <c r="E213" s="160"/>
      <c r="F213" s="160"/>
      <c r="G213" s="160"/>
      <c r="O213" s="160"/>
    </row>
    <row r="214" spans="2:16" x14ac:dyDescent="0.25">
      <c r="D214" s="160"/>
      <c r="E214" s="160"/>
      <c r="F214" s="160"/>
      <c r="G214" s="160"/>
      <c r="O214" s="160"/>
    </row>
  </sheetData>
  <mergeCells count="18">
    <mergeCell ref="A145:A157"/>
    <mergeCell ref="A168:A179"/>
    <mergeCell ref="A189:A201"/>
    <mergeCell ref="A202:A208"/>
    <mergeCell ref="A158:A164"/>
    <mergeCell ref="A180:A185"/>
    <mergeCell ref="A134:A140"/>
    <mergeCell ref="A121:A133"/>
    <mergeCell ref="A8:A20"/>
    <mergeCell ref="A52:A64"/>
    <mergeCell ref="A31:A42"/>
    <mergeCell ref="A77:A89"/>
    <mergeCell ref="A100:A111"/>
    <mergeCell ref="A21:A27"/>
    <mergeCell ref="A65:A71"/>
    <mergeCell ref="A90:A96"/>
    <mergeCell ref="A43:A48"/>
    <mergeCell ref="A112:A117"/>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121"/>
  <sheetViews>
    <sheetView showGridLines="0" zoomScale="70" zoomScaleNormal="70" zoomScalePageLayoutView="70" workbookViewId="0">
      <selection activeCell="O117" sqref="O117"/>
    </sheetView>
  </sheetViews>
  <sheetFormatPr defaultColWidth="9.1796875" defaultRowHeight="12.5" x14ac:dyDescent="0.25"/>
  <cols>
    <col min="1" max="1" width="4.453125" style="16" customWidth="1"/>
    <col min="2" max="2" width="12.1796875" style="3" customWidth="1"/>
    <col min="3" max="3" width="17.453125" style="3" customWidth="1"/>
    <col min="4" max="6" width="11.36328125" style="16" customWidth="1"/>
    <col min="7" max="11" width="11.36328125" style="160" customWidth="1"/>
    <col min="12" max="12" width="12.6328125" style="160" customWidth="1"/>
    <col min="13" max="13" width="12.81640625" style="160" customWidth="1"/>
    <col min="14" max="14" width="7.26953125" style="3" customWidth="1"/>
    <col min="15" max="15" width="15.1796875" style="3" bestFit="1" customWidth="1"/>
    <col min="16" max="16" width="12.36328125" style="3" customWidth="1"/>
    <col min="17" max="24" width="9.1796875" style="3" customWidth="1"/>
    <col min="25" max="25" width="9.1796875" style="3"/>
    <col min="26" max="26" width="9.1796875" style="160"/>
    <col min="27" max="16384" width="9.1796875" style="3"/>
  </cols>
  <sheetData>
    <row r="1" spans="1:26" s="160" customFormat="1" x14ac:dyDescent="0.25"/>
    <row r="2" spans="1:26" s="160" customFormat="1" ht="18" x14ac:dyDescent="0.25">
      <c r="B2" s="216" t="str">
        <f>Introduction!B2</f>
        <v>LightCounting Optical Components Market Forecast for China</v>
      </c>
    </row>
    <row r="3" spans="1:26" ht="15.5" x14ac:dyDescent="0.35">
      <c r="B3" s="215" t="str">
        <f>Introduction!B3</f>
        <v>January 25, 2021 - sample only - for illustrative purposes</v>
      </c>
    </row>
    <row r="4" spans="1:26" ht="15.5" x14ac:dyDescent="0.25">
      <c r="B4" s="218" t="s">
        <v>122</v>
      </c>
    </row>
    <row r="5" spans="1:26" x14ac:dyDescent="0.25">
      <c r="N5" s="160"/>
    </row>
    <row r="6" spans="1:26" ht="15.5" x14ac:dyDescent="0.35">
      <c r="A6" s="4"/>
      <c r="B6" s="220" t="s">
        <v>0</v>
      </c>
      <c r="C6" s="273" t="s">
        <v>249</v>
      </c>
      <c r="D6" s="435"/>
      <c r="L6" s="220" t="str">
        <f>B6</f>
        <v>Units</v>
      </c>
      <c r="M6" s="273" t="str">
        <f>C6</f>
        <v>FTTx - China</v>
      </c>
      <c r="N6" s="160"/>
      <c r="O6" s="273" t="s">
        <v>246</v>
      </c>
      <c r="P6" s="160"/>
      <c r="Q6" s="572" t="s">
        <v>245</v>
      </c>
      <c r="Y6" s="160"/>
    </row>
    <row r="7" spans="1:26" x14ac:dyDescent="0.25">
      <c r="A7" s="49"/>
      <c r="B7" s="122" t="s">
        <v>13</v>
      </c>
      <c r="C7" s="41" t="s">
        <v>73</v>
      </c>
      <c r="D7" s="96">
        <v>2016</v>
      </c>
      <c r="E7" s="105">
        <v>2017</v>
      </c>
      <c r="F7" s="105">
        <v>2018</v>
      </c>
      <c r="G7" s="119">
        <v>2019</v>
      </c>
      <c r="H7" s="119">
        <v>2020</v>
      </c>
      <c r="I7" s="119">
        <v>2021</v>
      </c>
      <c r="J7" s="119">
        <v>2022</v>
      </c>
      <c r="K7" s="119">
        <v>2023</v>
      </c>
      <c r="L7" s="119">
        <v>2024</v>
      </c>
      <c r="M7" s="119">
        <v>2025</v>
      </c>
      <c r="N7" s="160"/>
      <c r="O7" s="122" t="s">
        <v>13</v>
      </c>
      <c r="P7" s="122" t="s">
        <v>73</v>
      </c>
      <c r="Q7" s="119">
        <v>2016</v>
      </c>
      <c r="R7" s="119">
        <v>2017</v>
      </c>
      <c r="S7" s="119">
        <v>2018</v>
      </c>
      <c r="T7" s="119">
        <v>2019</v>
      </c>
      <c r="U7" s="119">
        <v>2020</v>
      </c>
      <c r="V7" s="119">
        <v>2021</v>
      </c>
      <c r="W7" s="119">
        <v>2022</v>
      </c>
      <c r="X7" s="119">
        <v>2023</v>
      </c>
      <c r="Y7" s="119">
        <v>2024</v>
      </c>
      <c r="Z7" s="119">
        <v>2025</v>
      </c>
    </row>
    <row r="8" spans="1:26" s="44" customFormat="1" x14ac:dyDescent="0.25">
      <c r="A8" s="118"/>
      <c r="B8" s="407" t="s">
        <v>15</v>
      </c>
      <c r="C8" s="247" t="s">
        <v>241</v>
      </c>
      <c r="D8" s="729">
        <v>0</v>
      </c>
      <c r="E8" s="729">
        <v>0</v>
      </c>
      <c r="F8" s="729"/>
      <c r="G8" s="729"/>
      <c r="H8" s="729"/>
      <c r="I8" s="729"/>
      <c r="J8" s="729"/>
      <c r="K8" s="729"/>
      <c r="L8" s="729"/>
      <c r="M8" s="729"/>
      <c r="N8" s="160"/>
      <c r="O8" s="422" t="str">
        <f>B8</f>
        <v>BPON</v>
      </c>
      <c r="P8" s="549" t="str">
        <f>C8</f>
        <v>ONUs &amp; OLTs</v>
      </c>
      <c r="Q8" s="437" t="str">
        <f>IF(D8=0,"",D8/D86)</f>
        <v/>
      </c>
      <c r="R8" s="437" t="str">
        <f>IF(E8=0,"",E8/E86)</f>
        <v/>
      </c>
      <c r="S8" s="437"/>
      <c r="T8" s="437"/>
      <c r="U8" s="437"/>
      <c r="V8" s="437"/>
      <c r="W8" s="437"/>
      <c r="X8" s="437"/>
      <c r="Y8" s="437"/>
      <c r="Z8" s="437"/>
    </row>
    <row r="9" spans="1:26" x14ac:dyDescent="0.25">
      <c r="A9" s="117"/>
      <c r="B9" s="406" t="s">
        <v>16</v>
      </c>
      <c r="C9" s="247" t="s">
        <v>241</v>
      </c>
      <c r="D9" s="714">
        <v>62994371.409235299</v>
      </c>
      <c r="E9" s="714">
        <v>44968624.335061759</v>
      </c>
      <c r="F9" s="714"/>
      <c r="G9" s="714"/>
      <c r="H9" s="714"/>
      <c r="I9" s="714"/>
      <c r="J9" s="714"/>
      <c r="K9" s="714"/>
      <c r="L9" s="714"/>
      <c r="M9" s="714"/>
      <c r="N9" s="160"/>
      <c r="O9" s="549" t="str">
        <f>B9</f>
        <v>GPON</v>
      </c>
      <c r="P9" s="549" t="str">
        <f>C9</f>
        <v>ONUs &amp; OLTs</v>
      </c>
      <c r="Q9" s="437">
        <f>IF(D9=0,"",D9/D87)</f>
        <v>0.73</v>
      </c>
      <c r="R9" s="437">
        <f>IF(E9=0,"",E9/E87)</f>
        <v>0.69</v>
      </c>
      <c r="S9" s="437"/>
      <c r="T9" s="437"/>
      <c r="U9" s="437"/>
      <c r="V9" s="437"/>
      <c r="W9" s="437"/>
      <c r="X9" s="437"/>
      <c r="Y9" s="437"/>
      <c r="Z9" s="437"/>
    </row>
    <row r="10" spans="1:26" s="16" customFormat="1" x14ac:dyDescent="0.25">
      <c r="A10" s="117"/>
      <c r="B10" s="406" t="s">
        <v>17</v>
      </c>
      <c r="C10" s="247" t="s">
        <v>241</v>
      </c>
      <c r="D10" s="714">
        <v>6984520.1999999983</v>
      </c>
      <c r="E10" s="714">
        <v>4378662.6527999993</v>
      </c>
      <c r="F10" s="714"/>
      <c r="G10" s="714"/>
      <c r="H10" s="714"/>
      <c r="I10" s="714"/>
      <c r="J10" s="714"/>
      <c r="K10" s="714"/>
      <c r="L10" s="714"/>
      <c r="M10" s="714"/>
      <c r="N10" s="160"/>
      <c r="O10" s="549" t="str">
        <f>B10</f>
        <v>EPON</v>
      </c>
      <c r="P10" s="549" t="str">
        <f>C10</f>
        <v>ONUs &amp; OLTs</v>
      </c>
      <c r="Q10" s="437">
        <f>IF(D10=0,"",D10/D88)</f>
        <v>0.4499999999999999</v>
      </c>
      <c r="R10" s="437">
        <f>IF(E10=0,"",E10/E88)</f>
        <v>0.39999999999999997</v>
      </c>
      <c r="S10" s="437"/>
      <c r="T10" s="437"/>
      <c r="U10" s="437"/>
      <c r="V10" s="437"/>
      <c r="W10" s="437"/>
      <c r="X10" s="437"/>
      <c r="Y10" s="437"/>
      <c r="Z10" s="437"/>
    </row>
    <row r="11" spans="1:26" s="16" customFormat="1" x14ac:dyDescent="0.25">
      <c r="A11" s="117"/>
      <c r="B11" s="406" t="s">
        <v>29</v>
      </c>
      <c r="C11" s="73" t="s">
        <v>71</v>
      </c>
      <c r="D11" s="714">
        <v>140000</v>
      </c>
      <c r="E11" s="714">
        <v>405000</v>
      </c>
      <c r="F11" s="714"/>
      <c r="G11" s="714"/>
      <c r="H11" s="714"/>
      <c r="I11" s="714"/>
      <c r="J11" s="714"/>
      <c r="K11" s="714"/>
      <c r="L11" s="714"/>
      <c r="M11" s="714"/>
      <c r="N11" s="160"/>
      <c r="O11" s="549" t="str">
        <f>B11</f>
        <v>10G PON</v>
      </c>
      <c r="P11" s="549" t="str">
        <f>C11</f>
        <v>ONUs</v>
      </c>
      <c r="Q11" s="437">
        <f>IF(D11=0,"",D11/D89)</f>
        <v>0.4</v>
      </c>
      <c r="R11" s="437">
        <f>IF(E11=0,"",E11/E89)</f>
        <v>0.45</v>
      </c>
      <c r="S11" s="437"/>
      <c r="T11" s="437"/>
      <c r="U11" s="437"/>
      <c r="V11" s="437"/>
      <c r="W11" s="437"/>
      <c r="X11" s="437"/>
      <c r="Y11" s="437"/>
      <c r="Z11" s="437"/>
    </row>
    <row r="12" spans="1:26" s="16" customFormat="1" x14ac:dyDescent="0.25">
      <c r="A12" s="117"/>
      <c r="B12" s="406" t="s">
        <v>29</v>
      </c>
      <c r="C12" s="551" t="s">
        <v>72</v>
      </c>
      <c r="D12" s="714">
        <v>14000</v>
      </c>
      <c r="E12" s="714">
        <v>375027.86249999999</v>
      </c>
      <c r="F12" s="714"/>
      <c r="G12" s="714"/>
      <c r="H12" s="714"/>
      <c r="I12" s="714"/>
      <c r="J12" s="714"/>
      <c r="K12" s="714"/>
      <c r="L12" s="714"/>
      <c r="M12" s="714"/>
      <c r="N12" s="160"/>
      <c r="O12" s="549" t="str">
        <f>B12</f>
        <v>10G PON</v>
      </c>
      <c r="P12" s="549" t="str">
        <f>C12</f>
        <v>OLTs</v>
      </c>
      <c r="Q12" s="437">
        <f>IF(D12=0,"",D12/D90)</f>
        <v>0.4</v>
      </c>
      <c r="R12" s="437">
        <f>IF(E12=0,"",E12/E90)</f>
        <v>0.45</v>
      </c>
      <c r="S12" s="437"/>
      <c r="T12" s="437"/>
      <c r="U12" s="437"/>
      <c r="V12" s="437"/>
      <c r="W12" s="437"/>
      <c r="X12" s="437"/>
      <c r="Y12" s="437"/>
      <c r="Z12" s="437"/>
    </row>
    <row r="13" spans="1:26" x14ac:dyDescent="0.25">
      <c r="A13" s="117"/>
      <c r="B13" s="406" t="s">
        <v>363</v>
      </c>
      <c r="C13" s="231" t="s">
        <v>241</v>
      </c>
      <c r="D13" s="714">
        <v>0</v>
      </c>
      <c r="E13" s="714">
        <v>0</v>
      </c>
      <c r="F13" s="714"/>
      <c r="G13" s="714"/>
      <c r="H13" s="714"/>
      <c r="I13" s="714"/>
      <c r="J13" s="714"/>
      <c r="K13" s="714"/>
      <c r="L13" s="714"/>
      <c r="M13" s="714"/>
      <c r="N13" s="160"/>
      <c r="O13" s="549" t="str">
        <f>B13</f>
        <v>NG-PON2</v>
      </c>
      <c r="P13" s="549" t="str">
        <f>C13</f>
        <v>ONUs &amp; OLTs</v>
      </c>
      <c r="Q13" s="437" t="str">
        <f>IF(D13=0,"",D13/D91)</f>
        <v/>
      </c>
      <c r="R13" s="437" t="str">
        <f>IF(E13=0,"",E13/E91)</f>
        <v/>
      </c>
      <c r="S13" s="437"/>
      <c r="T13" s="437"/>
      <c r="U13" s="437"/>
      <c r="V13" s="437"/>
      <c r="W13" s="437"/>
      <c r="X13" s="437"/>
      <c r="Y13" s="437"/>
      <c r="Z13" s="437"/>
    </row>
    <row r="14" spans="1:26" s="16" customFormat="1" x14ac:dyDescent="0.25">
      <c r="A14" s="117"/>
      <c r="B14" s="406" t="s">
        <v>364</v>
      </c>
      <c r="C14" s="74" t="s">
        <v>241</v>
      </c>
      <c r="D14" s="714">
        <v>0</v>
      </c>
      <c r="E14" s="714">
        <v>0</v>
      </c>
      <c r="F14" s="714"/>
      <c r="G14" s="714"/>
      <c r="H14" s="714"/>
      <c r="I14" s="714"/>
      <c r="J14" s="714"/>
      <c r="K14" s="714"/>
      <c r="L14" s="714"/>
      <c r="M14" s="714"/>
      <c r="N14" s="160"/>
      <c r="O14" s="549" t="str">
        <f>B14</f>
        <v>Nx25G PON</v>
      </c>
      <c r="P14" s="549" t="str">
        <f>C14</f>
        <v>ONUs &amp; OLTs</v>
      </c>
      <c r="Q14" s="437" t="str">
        <f>IF(D14=0,"",D14/D92)</f>
        <v/>
      </c>
      <c r="R14" s="437" t="str">
        <f>IF(E14=0,"",E14/E92)</f>
        <v/>
      </c>
      <c r="S14" s="437"/>
      <c r="T14" s="437"/>
      <c r="U14" s="437"/>
      <c r="V14" s="437"/>
      <c r="W14" s="437"/>
      <c r="X14" s="437"/>
      <c r="Y14" s="437"/>
      <c r="Z14" s="437"/>
    </row>
    <row r="15" spans="1:26" s="16" customFormat="1" x14ac:dyDescent="0.25">
      <c r="A15" s="117"/>
      <c r="B15" s="406" t="s">
        <v>18</v>
      </c>
      <c r="C15" s="73" t="s">
        <v>20</v>
      </c>
      <c r="D15" s="714">
        <v>495134.02880000009</v>
      </c>
      <c r="E15" s="714">
        <v>420437.50000000012</v>
      </c>
      <c r="F15" s="714"/>
      <c r="G15" s="714"/>
      <c r="H15" s="714"/>
      <c r="I15" s="714"/>
      <c r="J15" s="714"/>
      <c r="K15" s="714"/>
      <c r="L15" s="714"/>
      <c r="M15" s="714"/>
      <c r="N15" s="160"/>
      <c r="O15" s="549" t="str">
        <f>B15</f>
        <v>Point-to-point</v>
      </c>
      <c r="P15" s="549" t="str">
        <f>C15</f>
        <v>All</v>
      </c>
      <c r="Q15" s="437">
        <f>IF(D15=0,"",D15/D93)</f>
        <v>0.32000000000000006</v>
      </c>
      <c r="R15" s="437">
        <f>IF(E15=0,"",E15/E93)</f>
        <v>0.35000000000000009</v>
      </c>
      <c r="S15" s="437"/>
      <c r="T15" s="437"/>
      <c r="U15" s="437"/>
      <c r="V15" s="437"/>
      <c r="W15" s="437"/>
      <c r="X15" s="437"/>
      <c r="Y15" s="437"/>
      <c r="Z15" s="437"/>
    </row>
    <row r="16" spans="1:26" x14ac:dyDescent="0.25">
      <c r="A16" s="117"/>
      <c r="B16" s="134" t="s">
        <v>9</v>
      </c>
      <c r="C16" s="230" t="s">
        <v>60</v>
      </c>
      <c r="D16" s="132">
        <f t="shared" ref="D16:G16" si="0">SUM(D8:D15)</f>
        <v>70628025.638035297</v>
      </c>
      <c r="E16" s="132">
        <f t="shared" si="0"/>
        <v>50547752.350361757</v>
      </c>
      <c r="F16" s="132"/>
      <c r="G16" s="132"/>
      <c r="H16" s="132"/>
      <c r="I16" s="132"/>
      <c r="J16" s="132"/>
      <c r="K16" s="132"/>
      <c r="L16" s="132"/>
      <c r="M16" s="132"/>
      <c r="N16" s="160"/>
      <c r="O16" s="425" t="s">
        <v>9</v>
      </c>
      <c r="P16" s="230" t="s">
        <v>60</v>
      </c>
      <c r="Q16" s="437">
        <f>IF(D16=0,"",D16/D94)</f>
        <v>0.6795992301482795</v>
      </c>
      <c r="R16" s="437">
        <f>IF(E16=0,"",E16/E94)</f>
        <v>0.63869976747049817</v>
      </c>
      <c r="S16" s="437"/>
      <c r="T16" s="437"/>
      <c r="U16" s="437"/>
      <c r="V16" s="437"/>
      <c r="W16" s="437"/>
      <c r="X16" s="437"/>
      <c r="Y16" s="437"/>
      <c r="Z16" s="437"/>
    </row>
    <row r="17" spans="1:26" x14ac:dyDescent="0.25">
      <c r="A17" s="117"/>
      <c r="B17" s="4"/>
      <c r="C17" s="16"/>
      <c r="D17" s="8"/>
      <c r="E17" s="8">
        <f t="shared" ref="E17:H17" si="1">IF(D16=0,"",E16/D16-1)</f>
        <v>-0.28431027352490101</v>
      </c>
      <c r="F17" s="8"/>
      <c r="G17" s="8"/>
      <c r="H17" s="8"/>
      <c r="I17" s="8"/>
      <c r="J17" s="8"/>
      <c r="K17" s="8"/>
      <c r="L17" s="8"/>
      <c r="M17" s="8"/>
      <c r="N17" s="160"/>
      <c r="Y17" s="160"/>
    </row>
    <row r="18" spans="1:26" s="16" customFormat="1" x14ac:dyDescent="0.25">
      <c r="A18" s="117"/>
      <c r="D18" s="160"/>
      <c r="E18" s="160"/>
      <c r="F18" s="160"/>
      <c r="G18" s="160"/>
      <c r="H18" s="160"/>
      <c r="I18" s="160"/>
      <c r="J18" s="160"/>
      <c r="K18" s="160"/>
      <c r="L18" s="160"/>
      <c r="M18" s="160"/>
      <c r="N18" s="160"/>
      <c r="Y18" s="160"/>
      <c r="Z18" s="160"/>
    </row>
    <row r="19" spans="1:26" ht="13" x14ac:dyDescent="0.3">
      <c r="A19" s="117"/>
      <c r="B19" s="220" t="s">
        <v>53</v>
      </c>
      <c r="C19" s="273" t="str">
        <f>$C$6</f>
        <v>FTTx - China</v>
      </c>
      <c r="D19" s="160" t="s">
        <v>250</v>
      </c>
      <c r="L19" s="220" t="str">
        <f>B19</f>
        <v>ASP ($)</v>
      </c>
      <c r="M19" s="273" t="str">
        <f>C19</f>
        <v>FTTx - China</v>
      </c>
      <c r="N19" s="160"/>
    </row>
    <row r="20" spans="1:26" x14ac:dyDescent="0.25">
      <c r="A20" s="117"/>
      <c r="B20" s="122" t="s">
        <v>13</v>
      </c>
      <c r="C20" s="6" t="s">
        <v>73</v>
      </c>
      <c r="D20" s="104">
        <v>2016</v>
      </c>
      <c r="E20" s="105">
        <v>2017</v>
      </c>
      <c r="F20" s="105">
        <v>2018</v>
      </c>
      <c r="G20" s="119">
        <v>2019</v>
      </c>
      <c r="H20" s="119">
        <v>2020</v>
      </c>
      <c r="I20" s="119">
        <v>2021</v>
      </c>
      <c r="J20" s="119">
        <v>2022</v>
      </c>
      <c r="K20" s="119">
        <v>2023</v>
      </c>
      <c r="L20" s="119">
        <v>2024</v>
      </c>
      <c r="M20" s="119">
        <v>2025</v>
      </c>
      <c r="N20" s="160"/>
    </row>
    <row r="21" spans="1:26" s="160" customFormat="1" x14ac:dyDescent="0.25">
      <c r="A21" s="117"/>
      <c r="B21" s="407" t="str">
        <f t="shared" ref="B21:C28" si="2">B8</f>
        <v>BPON</v>
      </c>
      <c r="C21" s="247" t="str">
        <f t="shared" si="2"/>
        <v>ONUs &amp; OLTs</v>
      </c>
      <c r="D21" s="23" t="str">
        <f>IF(D8=0,"",(D34*10^6/D8))</f>
        <v/>
      </c>
      <c r="E21" s="23" t="str">
        <f t="shared" ref="E21:L21" si="3">IF(E8=0,"",(E34*10^6/E8))</f>
        <v/>
      </c>
      <c r="F21" s="23"/>
      <c r="G21" s="23"/>
      <c r="H21" s="23"/>
      <c r="I21" s="23"/>
      <c r="J21" s="23"/>
      <c r="K21" s="23"/>
      <c r="L21" s="23"/>
      <c r="M21" s="23"/>
    </row>
    <row r="22" spans="1:26" x14ac:dyDescent="0.25">
      <c r="A22" s="117"/>
      <c r="B22" s="406" t="str">
        <f t="shared" si="2"/>
        <v>GPON</v>
      </c>
      <c r="C22" s="247" t="str">
        <f t="shared" si="2"/>
        <v>ONUs &amp; OLTs</v>
      </c>
      <c r="D22" s="23">
        <f t="shared" ref="D22:D29" si="4">IF(D9=0,"",(D35*10^6/D9))</f>
        <v>11.189822587959858</v>
      </c>
      <c r="E22" s="23">
        <f t="shared" ref="E22:L22" si="5">IF(E9=0,"",(E35*10^6/E9))</f>
        <v>10.707657942937981</v>
      </c>
      <c r="F22" s="23"/>
      <c r="G22" s="23"/>
      <c r="H22" s="23"/>
      <c r="I22" s="23"/>
      <c r="J22" s="23"/>
      <c r="K22" s="23"/>
      <c r="L22" s="23"/>
      <c r="M22" s="23"/>
      <c r="N22" s="160"/>
    </row>
    <row r="23" spans="1:26" x14ac:dyDescent="0.25">
      <c r="A23" s="56"/>
      <c r="B23" s="406" t="str">
        <f t="shared" si="2"/>
        <v>EPON</v>
      </c>
      <c r="C23" s="247" t="str">
        <f t="shared" si="2"/>
        <v>ONUs &amp; OLTs</v>
      </c>
      <c r="D23" s="23">
        <f t="shared" si="4"/>
        <v>8.5248271910878621</v>
      </c>
      <c r="E23" s="23">
        <f t="shared" ref="E23:L23" si="6">IF(E10=0,"",(E36*10^6/E10))</f>
        <v>6.6427438220557553</v>
      </c>
      <c r="F23" s="23"/>
      <c r="G23" s="23"/>
      <c r="H23" s="23"/>
      <c r="I23" s="23"/>
      <c r="J23" s="23"/>
      <c r="K23" s="23"/>
      <c r="L23" s="23"/>
      <c r="M23" s="23"/>
      <c r="N23" s="160"/>
    </row>
    <row r="24" spans="1:26" x14ac:dyDescent="0.25">
      <c r="A24" s="56"/>
      <c r="B24" s="406" t="str">
        <f t="shared" si="2"/>
        <v>10G PON</v>
      </c>
      <c r="C24" s="73" t="str">
        <f t="shared" si="2"/>
        <v>ONUs</v>
      </c>
      <c r="D24" s="23">
        <f t="shared" si="4"/>
        <v>70.071428571428555</v>
      </c>
      <c r="E24" s="23">
        <f t="shared" ref="E24:L24" si="7">IF(E11=0,"",(E37*10^6/E11))</f>
        <v>64.222222222222229</v>
      </c>
      <c r="F24" s="23"/>
      <c r="G24" s="23"/>
      <c r="H24" s="23"/>
      <c r="I24" s="23"/>
      <c r="J24" s="23"/>
      <c r="K24" s="23"/>
      <c r="L24" s="23"/>
      <c r="M24" s="23"/>
    </row>
    <row r="25" spans="1:26" x14ac:dyDescent="0.25">
      <c r="A25" s="49"/>
      <c r="B25" s="406" t="str">
        <f t="shared" si="2"/>
        <v>10G PON</v>
      </c>
      <c r="C25" s="231" t="str">
        <f t="shared" si="2"/>
        <v>OLTs</v>
      </c>
      <c r="D25" s="23">
        <f t="shared" si="4"/>
        <v>320</v>
      </c>
      <c r="E25" s="23">
        <f t="shared" ref="E25:L25" si="8">IF(E12=0,"",(E38*10^6/E12))</f>
        <v>220</v>
      </c>
      <c r="F25" s="23"/>
      <c r="G25" s="23"/>
      <c r="H25" s="23"/>
      <c r="I25" s="23"/>
      <c r="J25" s="23"/>
      <c r="K25" s="23"/>
      <c r="L25" s="23"/>
      <c r="M25" s="23"/>
    </row>
    <row r="26" spans="1:26" x14ac:dyDescent="0.25">
      <c r="A26" s="62"/>
      <c r="B26" s="406" t="str">
        <f t="shared" si="2"/>
        <v>NG-PON2</v>
      </c>
      <c r="C26" s="231" t="str">
        <f t="shared" si="2"/>
        <v>ONUs &amp; OLTs</v>
      </c>
      <c r="D26" s="23" t="str">
        <f t="shared" si="4"/>
        <v/>
      </c>
      <c r="E26" s="23" t="str">
        <f t="shared" ref="E26:L26" si="9">IF(E13=0,"",(E39*10^6/E13))</f>
        <v/>
      </c>
      <c r="F26" s="23"/>
      <c r="G26" s="23"/>
      <c r="H26" s="23"/>
      <c r="I26" s="23"/>
      <c r="J26" s="23"/>
      <c r="K26" s="23"/>
      <c r="L26" s="23"/>
      <c r="M26" s="23"/>
    </row>
    <row r="27" spans="1:26" s="16" customFormat="1" x14ac:dyDescent="0.25">
      <c r="A27" s="62"/>
      <c r="B27" s="406" t="str">
        <f t="shared" si="2"/>
        <v>Nx25G PON</v>
      </c>
      <c r="C27" s="74" t="str">
        <f t="shared" si="2"/>
        <v>ONUs &amp; OLTs</v>
      </c>
      <c r="D27" s="23" t="str">
        <f t="shared" si="4"/>
        <v/>
      </c>
      <c r="E27" s="23" t="str">
        <f t="shared" ref="E27:L27" si="10">IF(E14=0,"",(E40*10^6/E14))</f>
        <v/>
      </c>
      <c r="F27" s="23"/>
      <c r="G27" s="23"/>
      <c r="H27" s="23"/>
      <c r="I27" s="23"/>
      <c r="J27" s="23"/>
      <c r="K27" s="23"/>
      <c r="L27" s="23"/>
      <c r="M27" s="23"/>
      <c r="Z27" s="160"/>
    </row>
    <row r="28" spans="1:26" x14ac:dyDescent="0.25">
      <c r="A28" s="62"/>
      <c r="B28" s="406" t="str">
        <f t="shared" si="2"/>
        <v>Point-to-point</v>
      </c>
      <c r="C28" s="73" t="str">
        <f t="shared" si="2"/>
        <v>All</v>
      </c>
      <c r="D28" s="23">
        <f t="shared" si="4"/>
        <v>27.494955579995072</v>
      </c>
      <c r="E28" s="23">
        <f t="shared" ref="E28:L28" si="11">IF(E15=0,"",(E41*10^6/E15))</f>
        <v>24.80829552549428</v>
      </c>
      <c r="F28" s="23"/>
      <c r="G28" s="23"/>
      <c r="H28" s="23"/>
      <c r="I28" s="23"/>
      <c r="J28" s="23"/>
      <c r="K28" s="23"/>
      <c r="L28" s="23"/>
      <c r="M28" s="23"/>
    </row>
    <row r="29" spans="1:26" s="16" customFormat="1" x14ac:dyDescent="0.25">
      <c r="A29" s="62"/>
      <c r="B29" s="408" t="s">
        <v>9</v>
      </c>
      <c r="C29" s="230" t="s">
        <v>60</v>
      </c>
      <c r="D29" s="142">
        <f t="shared" si="4"/>
        <v>11.218512039622366</v>
      </c>
      <c r="E29" s="142">
        <f t="shared" ref="E29:L29" si="12">IF(E16=0,"",(E42*10^6/E16))</f>
        <v>12.454390552650683</v>
      </c>
      <c r="F29" s="142"/>
      <c r="G29" s="142"/>
      <c r="H29" s="142"/>
      <c r="I29" s="142"/>
      <c r="J29" s="142"/>
      <c r="K29" s="142"/>
      <c r="L29" s="142"/>
      <c r="M29" s="142"/>
      <c r="Z29" s="160"/>
    </row>
    <row r="30" spans="1:26" s="16" customFormat="1" x14ac:dyDescent="0.25">
      <c r="A30" s="62"/>
      <c r="L30" s="160"/>
      <c r="M30" s="160"/>
      <c r="Z30" s="160"/>
    </row>
    <row r="31" spans="1:26" x14ac:dyDescent="0.25">
      <c r="A31" s="62"/>
    </row>
    <row r="32" spans="1:26" s="16" customFormat="1" ht="15.5" x14ac:dyDescent="0.35">
      <c r="A32" s="62"/>
      <c r="B32" s="220" t="s">
        <v>1</v>
      </c>
      <c r="C32" s="273" t="str">
        <f>$C$6</f>
        <v>FTTx - China</v>
      </c>
      <c r="D32" s="435" t="str">
        <f>$D$84</f>
        <v>From the FTTx Forecast model_master_2020_v1 spreadsheet, 'Forecast detail' tab.</v>
      </c>
      <c r="G32" s="160"/>
      <c r="H32" s="160"/>
      <c r="L32" s="220" t="str">
        <f>B32</f>
        <v>Sales ($M)</v>
      </c>
      <c r="M32" s="273" t="str">
        <f>C32</f>
        <v>FTTx - China</v>
      </c>
      <c r="Z32" s="160"/>
    </row>
    <row r="33" spans="1:26" s="16" customFormat="1" x14ac:dyDescent="0.25">
      <c r="A33" s="62"/>
      <c r="B33" s="122" t="s">
        <v>13</v>
      </c>
      <c r="C33" s="5" t="s">
        <v>73</v>
      </c>
      <c r="D33" s="104">
        <v>2016</v>
      </c>
      <c r="E33" s="105">
        <v>2017</v>
      </c>
      <c r="F33" s="105">
        <v>2018</v>
      </c>
      <c r="G33" s="119">
        <v>2019</v>
      </c>
      <c r="H33" s="119">
        <v>2020</v>
      </c>
      <c r="I33" s="119">
        <v>2021</v>
      </c>
      <c r="J33" s="119">
        <v>2022</v>
      </c>
      <c r="K33" s="119">
        <v>2023</v>
      </c>
      <c r="L33" s="119">
        <v>2024</v>
      </c>
      <c r="M33" s="119">
        <v>2025</v>
      </c>
      <c r="Z33" s="160"/>
    </row>
    <row r="34" spans="1:26" x14ac:dyDescent="0.25">
      <c r="A34" s="56"/>
      <c r="B34" s="407" t="str">
        <f t="shared" ref="B34:C41" si="13">B8</f>
        <v>BPON</v>
      </c>
      <c r="C34" s="247" t="str">
        <f t="shared" si="13"/>
        <v>ONUs &amp; OLTs</v>
      </c>
      <c r="D34" s="713">
        <v>0</v>
      </c>
      <c r="E34" s="713">
        <v>0</v>
      </c>
      <c r="F34" s="713"/>
      <c r="G34" s="713"/>
      <c r="H34" s="713"/>
      <c r="I34" s="713"/>
      <c r="J34" s="713"/>
      <c r="K34" s="713"/>
      <c r="L34" s="713"/>
      <c r="M34" s="713"/>
    </row>
    <row r="35" spans="1:26" x14ac:dyDescent="0.25">
      <c r="A35" s="56"/>
      <c r="B35" s="406" t="str">
        <f t="shared" si="13"/>
        <v>GPON</v>
      </c>
      <c r="C35" s="247" t="str">
        <f t="shared" si="13"/>
        <v>ONUs &amp; OLTs</v>
      </c>
      <c r="D35" s="713">
        <v>704.89584010939382</v>
      </c>
      <c r="E35" s="713">
        <v>481.50864754431825</v>
      </c>
      <c r="F35" s="713"/>
      <c r="G35" s="713"/>
      <c r="H35" s="713"/>
      <c r="I35" s="713"/>
      <c r="J35" s="713"/>
      <c r="K35" s="713"/>
      <c r="L35" s="713"/>
      <c r="M35" s="713"/>
    </row>
    <row r="36" spans="1:26" x14ac:dyDescent="0.25">
      <c r="A36" s="49"/>
      <c r="B36" s="406" t="str">
        <f t="shared" si="13"/>
        <v>EPON</v>
      </c>
      <c r="C36" s="247" t="str">
        <f t="shared" si="13"/>
        <v>ONUs &amp; OLTs</v>
      </c>
      <c r="D36" s="713">
        <v>59.541827717662414</v>
      </c>
      <c r="E36" s="713">
        <v>29.086334285753459</v>
      </c>
      <c r="F36" s="713"/>
      <c r="G36" s="713"/>
      <c r="H36" s="713"/>
      <c r="I36" s="713"/>
      <c r="J36" s="713"/>
      <c r="K36" s="713"/>
      <c r="L36" s="713"/>
      <c r="M36" s="713"/>
    </row>
    <row r="37" spans="1:26" x14ac:dyDescent="0.25">
      <c r="A37" s="103"/>
      <c r="B37" s="406" t="str">
        <f t="shared" si="13"/>
        <v>10G PON</v>
      </c>
      <c r="C37" s="73" t="str">
        <f t="shared" si="13"/>
        <v>ONUs</v>
      </c>
      <c r="D37" s="713">
        <v>9.8099999999999987</v>
      </c>
      <c r="E37" s="713">
        <v>26.01</v>
      </c>
      <c r="F37" s="713"/>
      <c r="G37" s="713"/>
      <c r="H37" s="713"/>
      <c r="I37" s="713"/>
      <c r="J37" s="713"/>
      <c r="K37" s="713"/>
      <c r="L37" s="713"/>
      <c r="M37" s="713"/>
      <c r="N37" s="160"/>
    </row>
    <row r="38" spans="1:26" s="16" customFormat="1" x14ac:dyDescent="0.25">
      <c r="A38" s="103"/>
      <c r="B38" s="406" t="str">
        <f t="shared" si="13"/>
        <v>10G PON</v>
      </c>
      <c r="C38" s="231" t="str">
        <f t="shared" si="13"/>
        <v>OLTs</v>
      </c>
      <c r="D38" s="713">
        <v>4.4800000000000004</v>
      </c>
      <c r="E38" s="713">
        <v>82.506129749999999</v>
      </c>
      <c r="F38" s="713"/>
      <c r="G38" s="713"/>
      <c r="H38" s="713"/>
      <c r="I38" s="713"/>
      <c r="J38" s="713"/>
      <c r="K38" s="713"/>
      <c r="L38" s="713"/>
      <c r="M38" s="713"/>
      <c r="N38" s="160"/>
      <c r="Z38" s="160"/>
    </row>
    <row r="39" spans="1:26" x14ac:dyDescent="0.25">
      <c r="A39" s="103"/>
      <c r="B39" s="406" t="str">
        <f t="shared" si="13"/>
        <v>NG-PON2</v>
      </c>
      <c r="C39" s="231" t="str">
        <f t="shared" si="13"/>
        <v>ONUs &amp; OLTs</v>
      </c>
      <c r="D39" s="713">
        <v>0</v>
      </c>
      <c r="E39" s="713">
        <v>0</v>
      </c>
      <c r="F39" s="713"/>
      <c r="G39" s="713"/>
      <c r="H39" s="713"/>
      <c r="I39" s="713"/>
      <c r="J39" s="713"/>
      <c r="K39" s="713"/>
      <c r="L39" s="713"/>
      <c r="M39" s="713"/>
      <c r="N39" s="160"/>
    </row>
    <row r="40" spans="1:26" s="16" customFormat="1" x14ac:dyDescent="0.25">
      <c r="A40" s="103"/>
      <c r="B40" s="406" t="str">
        <f t="shared" si="13"/>
        <v>Nx25G PON</v>
      </c>
      <c r="C40" s="74" t="str">
        <f t="shared" si="13"/>
        <v>ONUs &amp; OLTs</v>
      </c>
      <c r="D40" s="713">
        <v>0</v>
      </c>
      <c r="E40" s="713">
        <v>0</v>
      </c>
      <c r="F40" s="713"/>
      <c r="G40" s="713"/>
      <c r="H40" s="713"/>
      <c r="I40" s="713"/>
      <c r="J40" s="713"/>
      <c r="K40" s="713"/>
      <c r="L40" s="713"/>
      <c r="M40" s="713"/>
      <c r="N40" s="160"/>
      <c r="Z40" s="160"/>
    </row>
    <row r="41" spans="1:26" s="16" customFormat="1" x14ac:dyDescent="0.25">
      <c r="A41" s="103"/>
      <c r="B41" s="406" t="str">
        <f t="shared" si="13"/>
        <v>Point-to-point</v>
      </c>
      <c r="C41" s="73" t="str">
        <f t="shared" si="13"/>
        <v>All</v>
      </c>
      <c r="D41" s="713">
        <v>13.613688128000003</v>
      </c>
      <c r="E41" s="713">
        <v>10.430337750000003</v>
      </c>
      <c r="F41" s="713"/>
      <c r="G41" s="713"/>
      <c r="H41" s="713"/>
      <c r="I41" s="713"/>
      <c r="J41" s="713"/>
      <c r="K41" s="713"/>
      <c r="L41" s="713"/>
      <c r="M41" s="713"/>
      <c r="N41" s="160"/>
      <c r="Z41" s="160"/>
    </row>
    <row r="42" spans="1:26" s="16" customFormat="1" x14ac:dyDescent="0.25">
      <c r="A42" s="103"/>
      <c r="B42" s="408" t="s">
        <v>9</v>
      </c>
      <c r="C42" s="230" t="s">
        <v>60</v>
      </c>
      <c r="D42" s="234">
        <f>SUM(D34:D41)</f>
        <v>792.3413559550562</v>
      </c>
      <c r="E42" s="234">
        <f t="shared" ref="E42:H42" si="14">SUM(E34:E41)</f>
        <v>629.54144933007183</v>
      </c>
      <c r="F42" s="234"/>
      <c r="G42" s="234"/>
      <c r="H42" s="234"/>
      <c r="I42" s="234"/>
      <c r="J42" s="234"/>
      <c r="K42" s="234"/>
      <c r="L42" s="234"/>
      <c r="M42" s="234"/>
      <c r="N42" s="160"/>
      <c r="Z42" s="160"/>
    </row>
    <row r="43" spans="1:26" x14ac:dyDescent="0.25">
      <c r="A43" s="103"/>
      <c r="C43" s="160"/>
      <c r="D43" s="160"/>
      <c r="E43" s="160"/>
      <c r="F43" s="160"/>
      <c r="N43" s="160"/>
    </row>
    <row r="44" spans="1:26" s="16" customFormat="1" x14ac:dyDescent="0.25">
      <c r="A44" s="103"/>
      <c r="B44" s="445"/>
      <c r="C44" s="445"/>
      <c r="D44" s="445"/>
      <c r="E44" s="445"/>
      <c r="F44" s="445"/>
      <c r="G44" s="445"/>
      <c r="H44" s="445"/>
      <c r="I44" s="445"/>
      <c r="J44" s="445"/>
      <c r="K44" s="445"/>
      <c r="L44" s="445"/>
      <c r="M44" s="445"/>
      <c r="N44" s="160"/>
      <c r="Z44" s="160"/>
    </row>
    <row r="45" spans="1:26" s="16" customFormat="1" ht="14.5" x14ac:dyDescent="0.35">
      <c r="A45" s="103"/>
      <c r="B45" s="220" t="s">
        <v>0</v>
      </c>
      <c r="C45" s="273" t="s">
        <v>248</v>
      </c>
      <c r="D45" s="572" t="s">
        <v>244</v>
      </c>
      <c r="E45" s="160"/>
      <c r="F45" s="160"/>
      <c r="G45" s="160"/>
      <c r="H45" s="160"/>
      <c r="I45" s="160"/>
      <c r="J45" s="160"/>
      <c r="L45" s="220" t="str">
        <f>B45</f>
        <v>Units</v>
      </c>
      <c r="M45" s="273" t="s">
        <v>497</v>
      </c>
      <c r="N45" s="160"/>
      <c r="Z45" s="160"/>
    </row>
    <row r="46" spans="1:26" x14ac:dyDescent="0.25">
      <c r="A46" s="49"/>
      <c r="B46" s="122" t="s">
        <v>13</v>
      </c>
      <c r="C46" s="41" t="s">
        <v>73</v>
      </c>
      <c r="D46" s="119">
        <v>2016</v>
      </c>
      <c r="E46" s="119">
        <v>2017</v>
      </c>
      <c r="F46" s="119">
        <v>2018</v>
      </c>
      <c r="G46" s="119">
        <v>2019</v>
      </c>
      <c r="H46" s="119">
        <v>2020</v>
      </c>
      <c r="I46" s="119">
        <v>2021</v>
      </c>
      <c r="J46" s="119">
        <v>2022</v>
      </c>
      <c r="K46" s="119">
        <v>2023</v>
      </c>
      <c r="L46" s="119">
        <v>2024</v>
      </c>
      <c r="M46" s="119">
        <v>2025</v>
      </c>
    </row>
    <row r="47" spans="1:26" x14ac:dyDescent="0.25">
      <c r="B47" s="422" t="str">
        <f t="shared" ref="B47:C54" si="15">B8</f>
        <v>BPON</v>
      </c>
      <c r="C47" s="247" t="str">
        <f t="shared" si="15"/>
        <v>ONUs &amp; OLTs</v>
      </c>
      <c r="D47" s="274">
        <f t="shared" ref="D47" si="16">D86-D8</f>
        <v>178784.87663714553</v>
      </c>
      <c r="E47" s="274">
        <f t="shared" ref="E47:M47" si="17">E86-E8</f>
        <v>87827.066647086962</v>
      </c>
      <c r="F47" s="274"/>
      <c r="G47" s="274"/>
      <c r="H47" s="274"/>
      <c r="I47" s="274"/>
      <c r="J47" s="274"/>
      <c r="K47" s="274"/>
      <c r="L47" s="274"/>
      <c r="M47" s="274"/>
    </row>
    <row r="48" spans="1:26" x14ac:dyDescent="0.25">
      <c r="B48" s="420" t="str">
        <f t="shared" si="15"/>
        <v>GPON</v>
      </c>
      <c r="C48" s="247" t="str">
        <f t="shared" si="15"/>
        <v>ONUs &amp; OLTs</v>
      </c>
      <c r="D48" s="274">
        <f t="shared" ref="D48:M48" si="18">D87-D9</f>
        <v>23299288.055470586</v>
      </c>
      <c r="E48" s="274">
        <f t="shared" si="18"/>
        <v>20203294.991114713</v>
      </c>
      <c r="F48" s="274"/>
      <c r="G48" s="274"/>
      <c r="H48" s="274"/>
      <c r="I48" s="274"/>
      <c r="J48" s="274"/>
      <c r="K48" s="274"/>
      <c r="L48" s="274"/>
      <c r="M48" s="274"/>
    </row>
    <row r="49" spans="2:13" x14ac:dyDescent="0.25">
      <c r="B49" s="420" t="str">
        <f t="shared" si="15"/>
        <v>EPON</v>
      </c>
      <c r="C49" s="247" t="str">
        <f t="shared" si="15"/>
        <v>ONUs &amp; OLTs</v>
      </c>
      <c r="D49" s="274">
        <f t="shared" ref="D49:M49" si="19">D88-D10</f>
        <v>8536635.8000000007</v>
      </c>
      <c r="E49" s="274">
        <f t="shared" si="19"/>
        <v>6567993.9791999999</v>
      </c>
      <c r="F49" s="274"/>
      <c r="G49" s="274"/>
      <c r="H49" s="274"/>
      <c r="I49" s="274"/>
      <c r="J49" s="274"/>
      <c r="K49" s="274"/>
      <c r="L49" s="274"/>
      <c r="M49" s="274"/>
    </row>
    <row r="50" spans="2:13" x14ac:dyDescent="0.25">
      <c r="B50" s="420" t="str">
        <f t="shared" si="15"/>
        <v>10G PON</v>
      </c>
      <c r="C50" s="247" t="str">
        <f t="shared" si="15"/>
        <v>ONUs</v>
      </c>
      <c r="D50" s="274">
        <f t="shared" ref="D50:M50" si="20">D89-D11</f>
        <v>210000</v>
      </c>
      <c r="E50" s="274">
        <f t="shared" si="20"/>
        <v>495000</v>
      </c>
      <c r="F50" s="274"/>
      <c r="G50" s="274"/>
      <c r="H50" s="274"/>
      <c r="I50" s="274"/>
      <c r="J50" s="274"/>
      <c r="K50" s="274"/>
      <c r="L50" s="274"/>
      <c r="M50" s="274"/>
    </row>
    <row r="51" spans="2:13" x14ac:dyDescent="0.25">
      <c r="B51" s="420" t="str">
        <f t="shared" si="15"/>
        <v>10G PON</v>
      </c>
      <c r="C51" s="231" t="str">
        <f t="shared" si="15"/>
        <v>OLTs</v>
      </c>
      <c r="D51" s="274">
        <f t="shared" ref="D51:M51" si="21">D90-D12</f>
        <v>21000</v>
      </c>
      <c r="E51" s="274">
        <f t="shared" si="21"/>
        <v>458367.38750000001</v>
      </c>
      <c r="F51" s="274"/>
      <c r="G51" s="274"/>
      <c r="H51" s="274"/>
      <c r="I51" s="274"/>
      <c r="J51" s="274"/>
      <c r="K51" s="274"/>
      <c r="L51" s="274"/>
      <c r="M51" s="274"/>
    </row>
    <row r="52" spans="2:13" x14ac:dyDescent="0.25">
      <c r="B52" s="420" t="str">
        <f t="shared" si="15"/>
        <v>NG-PON2</v>
      </c>
      <c r="C52" s="231" t="str">
        <f t="shared" si="15"/>
        <v>ONUs &amp; OLTs</v>
      </c>
      <c r="D52" s="274">
        <f t="shared" ref="D52:M52" si="22">D91-D13</f>
        <v>100</v>
      </c>
      <c r="E52" s="274">
        <f t="shared" si="22"/>
        <v>600</v>
      </c>
      <c r="F52" s="274"/>
      <c r="G52" s="274"/>
      <c r="H52" s="274"/>
      <c r="I52" s="274"/>
      <c r="J52" s="274"/>
      <c r="K52" s="274"/>
      <c r="L52" s="274"/>
      <c r="M52" s="274"/>
    </row>
    <row r="53" spans="2:13" x14ac:dyDescent="0.25">
      <c r="B53" s="420" t="str">
        <f t="shared" si="15"/>
        <v>Nx25G PON</v>
      </c>
      <c r="C53" s="444" t="str">
        <f t="shared" si="15"/>
        <v>ONUs &amp; OLTs</v>
      </c>
      <c r="D53" s="274">
        <f t="shared" ref="D53:M53" si="23">D92-D14</f>
        <v>0</v>
      </c>
      <c r="E53" s="274">
        <f t="shared" si="23"/>
        <v>0</v>
      </c>
      <c r="F53" s="274"/>
      <c r="G53" s="274"/>
      <c r="H53" s="274"/>
      <c r="I53" s="274"/>
      <c r="J53" s="274"/>
      <c r="K53" s="274"/>
      <c r="L53" s="274"/>
      <c r="M53" s="274"/>
    </row>
    <row r="54" spans="2:13" x14ac:dyDescent="0.25">
      <c r="B54" s="420" t="str">
        <f t="shared" si="15"/>
        <v>Point-to-point</v>
      </c>
      <c r="C54" s="247" t="str">
        <f t="shared" si="15"/>
        <v>All</v>
      </c>
      <c r="D54" s="274">
        <f t="shared" ref="D54:M54" si="24">D93-D15</f>
        <v>1052159.8111999999</v>
      </c>
      <c r="E54" s="274">
        <f t="shared" si="24"/>
        <v>780812.49999999988</v>
      </c>
      <c r="F54" s="274"/>
      <c r="G54" s="274"/>
      <c r="H54" s="274"/>
      <c r="I54" s="274"/>
      <c r="J54" s="274"/>
      <c r="K54" s="274"/>
      <c r="L54" s="274"/>
      <c r="M54" s="274"/>
    </row>
    <row r="55" spans="2:13" x14ac:dyDescent="0.25">
      <c r="B55" s="425" t="s">
        <v>9</v>
      </c>
      <c r="C55" s="230" t="s">
        <v>60</v>
      </c>
      <c r="D55" s="132">
        <f t="shared" ref="D55:M55" si="25">SUM(D47:D54)</f>
        <v>33297968.543307733</v>
      </c>
      <c r="E55" s="132">
        <f t="shared" si="25"/>
        <v>28593895.924461801</v>
      </c>
      <c r="F55" s="132"/>
      <c r="G55" s="132"/>
      <c r="H55" s="132"/>
      <c r="I55" s="132"/>
      <c r="J55" s="132"/>
      <c r="K55" s="132"/>
      <c r="L55" s="132"/>
      <c r="M55" s="132"/>
    </row>
    <row r="56" spans="2:13" x14ac:dyDescent="0.25">
      <c r="B56" s="4"/>
      <c r="C56" s="160"/>
      <c r="D56" s="8"/>
      <c r="E56" s="8">
        <f t="shared" ref="E56:M56" si="26">IF(D55=0,"",E55/D55-1)</f>
        <v>-0.14127206026781358</v>
      </c>
      <c r="F56" s="8"/>
      <c r="G56" s="8"/>
      <c r="H56" s="8"/>
      <c r="I56" s="8"/>
      <c r="J56" s="8"/>
      <c r="K56" s="8"/>
      <c r="L56" s="8"/>
      <c r="M56" s="8"/>
    </row>
    <row r="57" spans="2:13" x14ac:dyDescent="0.25">
      <c r="B57" s="160"/>
      <c r="C57" s="160"/>
      <c r="D57" s="160"/>
      <c r="E57" s="160"/>
      <c r="F57" s="160"/>
    </row>
    <row r="58" spans="2:13" ht="14.5" x14ac:dyDescent="0.35">
      <c r="B58" s="220" t="s">
        <v>53</v>
      </c>
      <c r="C58" s="273" t="str">
        <f>$C$45</f>
        <v>FTTX - Rest of World</v>
      </c>
      <c r="D58" s="572" t="s">
        <v>207</v>
      </c>
      <c r="E58" s="160"/>
      <c r="F58" s="160"/>
      <c r="L58" s="220" t="str">
        <f>B58</f>
        <v>ASP ($)</v>
      </c>
      <c r="M58" s="273" t="str">
        <f>C58</f>
        <v>FTTX - Rest of World</v>
      </c>
    </row>
    <row r="59" spans="2:13" x14ac:dyDescent="0.25">
      <c r="B59" s="122" t="s">
        <v>13</v>
      </c>
      <c r="C59" s="6" t="s">
        <v>73</v>
      </c>
      <c r="D59" s="119">
        <v>2016</v>
      </c>
      <c r="E59" s="119">
        <v>2017</v>
      </c>
      <c r="F59" s="119">
        <v>2018</v>
      </c>
      <c r="G59" s="119">
        <v>2019</v>
      </c>
      <c r="H59" s="119">
        <v>2020</v>
      </c>
      <c r="I59" s="119">
        <v>2021</v>
      </c>
      <c r="J59" s="119">
        <v>2022</v>
      </c>
      <c r="K59" s="119">
        <v>2023</v>
      </c>
      <c r="L59" s="119">
        <v>2024</v>
      </c>
      <c r="M59" s="119">
        <v>2025</v>
      </c>
    </row>
    <row r="60" spans="2:13" x14ac:dyDescent="0.25">
      <c r="B60" s="422" t="str">
        <f t="shared" ref="B60:C67" si="27">B8</f>
        <v>BPON</v>
      </c>
      <c r="C60" s="247" t="str">
        <f t="shared" si="27"/>
        <v>ONUs &amp; OLTs</v>
      </c>
      <c r="D60" s="23">
        <f t="shared" ref="D60:K60" si="28">IF(D47=0,"",(D73*10^6/D47))</f>
        <v>13.938037779994598</v>
      </c>
      <c r="E60" s="23">
        <f t="shared" si="28"/>
        <v>11.638688282873231</v>
      </c>
      <c r="F60" s="23"/>
      <c r="G60" s="23"/>
      <c r="H60" s="23"/>
      <c r="I60" s="23"/>
      <c r="J60" s="23"/>
      <c r="K60" s="23"/>
      <c r="L60" s="23"/>
      <c r="M60" s="23"/>
    </row>
    <row r="61" spans="2:13" x14ac:dyDescent="0.25">
      <c r="B61" s="420" t="str">
        <f t="shared" si="27"/>
        <v>GPON</v>
      </c>
      <c r="C61" s="247" t="str">
        <f t="shared" si="27"/>
        <v>ONUs &amp; OLTs</v>
      </c>
      <c r="D61" s="23">
        <f t="shared" ref="D61:K61" si="29">IF(D48=0,"",(D74*10^6/D48))</f>
        <v>11.189822587959863</v>
      </c>
      <c r="E61" s="23">
        <f t="shared" si="29"/>
        <v>10.707657942937981</v>
      </c>
      <c r="F61" s="23"/>
      <c r="G61" s="23"/>
      <c r="H61" s="23"/>
      <c r="I61" s="23"/>
      <c r="J61" s="23"/>
      <c r="K61" s="23"/>
      <c r="L61" s="23"/>
      <c r="M61" s="23"/>
    </row>
    <row r="62" spans="2:13" x14ac:dyDescent="0.25">
      <c r="B62" s="420" t="str">
        <f t="shared" si="27"/>
        <v>EPON</v>
      </c>
      <c r="C62" s="247" t="str">
        <f t="shared" si="27"/>
        <v>ONUs &amp; OLTs</v>
      </c>
      <c r="D62" s="23">
        <f t="shared" ref="D62:K62" si="30">IF(D49=0,"",(D75*10^6/D49))</f>
        <v>8.5248271910878586</v>
      </c>
      <c r="E62" s="23">
        <f t="shared" si="30"/>
        <v>6.6427438220557553</v>
      </c>
      <c r="F62" s="23"/>
      <c r="G62" s="23"/>
      <c r="H62" s="23"/>
      <c r="I62" s="23"/>
      <c r="J62" s="23"/>
      <c r="K62" s="23"/>
      <c r="L62" s="23"/>
      <c r="M62" s="23"/>
    </row>
    <row r="63" spans="2:13" x14ac:dyDescent="0.25">
      <c r="B63" s="420" t="str">
        <f t="shared" si="27"/>
        <v>10G PON</v>
      </c>
      <c r="C63" s="73" t="str">
        <f t="shared" si="27"/>
        <v>ONUs</v>
      </c>
      <c r="D63" s="23">
        <f t="shared" ref="D63:K63" si="31">IF(D50=0,"",(D76*10^6/D50))</f>
        <v>70.071428571428569</v>
      </c>
      <c r="E63" s="23">
        <f t="shared" si="31"/>
        <v>64.222222222222214</v>
      </c>
      <c r="F63" s="23"/>
      <c r="G63" s="23"/>
      <c r="H63" s="23"/>
      <c r="I63" s="23"/>
      <c r="J63" s="23"/>
      <c r="K63" s="23"/>
      <c r="L63" s="23"/>
      <c r="M63" s="23"/>
    </row>
    <row r="64" spans="2:13" x14ac:dyDescent="0.25">
      <c r="B64" s="420" t="str">
        <f t="shared" si="27"/>
        <v>10G PON</v>
      </c>
      <c r="C64" s="231" t="str">
        <f t="shared" si="27"/>
        <v>OLTs</v>
      </c>
      <c r="D64" s="23">
        <f t="shared" ref="D64:K64" si="32">IF(D51=0,"",(D77*10^6/D51))</f>
        <v>319.99999999999994</v>
      </c>
      <c r="E64" s="23">
        <f t="shared" si="32"/>
        <v>220.00000000000003</v>
      </c>
      <c r="F64" s="23"/>
      <c r="G64" s="23"/>
      <c r="H64" s="23"/>
      <c r="I64" s="23"/>
      <c r="J64" s="23"/>
      <c r="K64" s="23"/>
      <c r="L64" s="23"/>
      <c r="M64" s="23"/>
    </row>
    <row r="65" spans="2:13" x14ac:dyDescent="0.25">
      <c r="B65" s="420" t="str">
        <f t="shared" si="27"/>
        <v>NG-PON2</v>
      </c>
      <c r="C65" s="231" t="str">
        <f t="shared" si="27"/>
        <v>ONUs &amp; OLTs</v>
      </c>
      <c r="D65" s="23">
        <f t="shared" ref="D65:K65" si="33">IF(D52=0,"",(D78*10^6/D52))</f>
        <v>1037.5</v>
      </c>
      <c r="E65" s="23">
        <f t="shared" si="33"/>
        <v>733.33333333333337</v>
      </c>
      <c r="F65" s="23"/>
      <c r="G65" s="23"/>
      <c r="H65" s="23"/>
      <c r="I65" s="23"/>
      <c r="J65" s="23"/>
      <c r="K65" s="23"/>
      <c r="L65" s="23"/>
      <c r="M65" s="23"/>
    </row>
    <row r="66" spans="2:13" x14ac:dyDescent="0.25">
      <c r="B66" s="420" t="str">
        <f t="shared" si="27"/>
        <v>Nx25G PON</v>
      </c>
      <c r="C66" s="74" t="str">
        <f t="shared" si="27"/>
        <v>ONUs &amp; OLTs</v>
      </c>
      <c r="D66" s="23" t="str">
        <f t="shared" ref="D66:K66" si="34">IF(D53=0,"",(D79*10^6/D53))</f>
        <v/>
      </c>
      <c r="E66" s="23" t="str">
        <f t="shared" si="34"/>
        <v/>
      </c>
      <c r="F66" s="23"/>
      <c r="G66" s="23"/>
      <c r="H66" s="23"/>
      <c r="I66" s="23"/>
      <c r="J66" s="23"/>
      <c r="K66" s="23"/>
      <c r="L66" s="23"/>
      <c r="M66" s="23"/>
    </row>
    <row r="67" spans="2:13" x14ac:dyDescent="0.25">
      <c r="B67" s="420" t="str">
        <f t="shared" si="27"/>
        <v>Point-to-point</v>
      </c>
      <c r="C67" s="73" t="str">
        <f t="shared" si="27"/>
        <v>All</v>
      </c>
      <c r="D67" s="23">
        <f t="shared" ref="D67:K67" si="35">IF(D54=0,"",(D80*10^6/D54))</f>
        <v>27.494955579995068</v>
      </c>
      <c r="E67" s="23">
        <f t="shared" si="35"/>
        <v>24.808295525494277</v>
      </c>
      <c r="F67" s="23"/>
      <c r="G67" s="23"/>
      <c r="H67" s="23"/>
      <c r="I67" s="23"/>
      <c r="J67" s="23"/>
      <c r="K67" s="23"/>
      <c r="L67" s="23"/>
      <c r="M67" s="23"/>
    </row>
    <row r="68" spans="2:13" x14ac:dyDescent="0.25">
      <c r="B68" s="425" t="s">
        <v>9</v>
      </c>
      <c r="C68" s="230" t="s">
        <v>60</v>
      </c>
      <c r="D68" s="142">
        <f t="shared" ref="D68:K68" si="36">IF(D55=0,"",(D81*10^6/D55))</f>
        <v>11.605752822103353</v>
      </c>
      <c r="E68" s="142">
        <f t="shared" si="36"/>
        <v>14.45843962492652</v>
      </c>
      <c r="F68" s="142"/>
      <c r="G68" s="142"/>
      <c r="H68" s="142"/>
      <c r="I68" s="142"/>
      <c r="J68" s="142"/>
      <c r="K68" s="142"/>
      <c r="L68" s="142"/>
      <c r="M68" s="142"/>
    </row>
    <row r="69" spans="2:13" x14ac:dyDescent="0.25">
      <c r="B69" s="160"/>
      <c r="C69" s="160"/>
      <c r="D69" s="160"/>
      <c r="E69" s="160"/>
      <c r="F69" s="160"/>
    </row>
    <row r="70" spans="2:13" x14ac:dyDescent="0.25">
      <c r="B70" s="160"/>
      <c r="C70" s="160"/>
      <c r="D70" s="160"/>
      <c r="E70" s="160"/>
      <c r="F70" s="160"/>
    </row>
    <row r="71" spans="2:13" ht="14.5" x14ac:dyDescent="0.35">
      <c r="B71" s="220" t="s">
        <v>1</v>
      </c>
      <c r="C71" s="273" t="str">
        <f>$C$45</f>
        <v>FTTX - Rest of World</v>
      </c>
      <c r="D71" s="572" t="str">
        <f>D45</f>
        <v xml:space="preserve">This table is calculated as the difference between the Global and the China tables, above and below. </v>
      </c>
      <c r="E71" s="160"/>
      <c r="F71" s="160"/>
      <c r="L71" s="220" t="str">
        <f>B71</f>
        <v>Sales ($M)</v>
      </c>
      <c r="M71" s="273" t="str">
        <f>C71</f>
        <v>FTTX - Rest of World</v>
      </c>
    </row>
    <row r="72" spans="2:13" x14ac:dyDescent="0.25">
      <c r="B72" s="122" t="s">
        <v>13</v>
      </c>
      <c r="C72" s="119" t="s">
        <v>73</v>
      </c>
      <c r="D72" s="119">
        <v>2016</v>
      </c>
      <c r="E72" s="119">
        <v>2017</v>
      </c>
      <c r="F72" s="119">
        <v>2018</v>
      </c>
      <c r="G72" s="119">
        <v>2019</v>
      </c>
      <c r="H72" s="119">
        <v>2020</v>
      </c>
      <c r="I72" s="119">
        <v>2021</v>
      </c>
      <c r="J72" s="119">
        <v>2022</v>
      </c>
      <c r="K72" s="119">
        <v>2023</v>
      </c>
      <c r="L72" s="119">
        <v>2024</v>
      </c>
      <c r="M72" s="119">
        <v>2025</v>
      </c>
    </row>
    <row r="73" spans="2:13" x14ac:dyDescent="0.25">
      <c r="B73" s="422" t="str">
        <f t="shared" ref="B73:C80" si="37">B8</f>
        <v>BPON</v>
      </c>
      <c r="C73" s="247" t="str">
        <f t="shared" si="37"/>
        <v>ONUs &amp; OLTs</v>
      </c>
      <c r="D73" s="48">
        <f t="shared" ref="D73" si="38">D112-D34</f>
        <v>2.4919103650602081</v>
      </c>
      <c r="E73" s="48">
        <f t="shared" ref="E73:M73" si="39">E112-E34</f>
        <v>1.0221918515045774</v>
      </c>
      <c r="F73" s="48"/>
      <c r="G73" s="48"/>
      <c r="H73" s="48"/>
      <c r="I73" s="48"/>
      <c r="J73" s="48"/>
      <c r="K73" s="48"/>
      <c r="L73" s="48"/>
      <c r="M73" s="48"/>
    </row>
    <row r="74" spans="2:13" x14ac:dyDescent="0.25">
      <c r="B74" s="420" t="str">
        <f t="shared" si="37"/>
        <v>GPON</v>
      </c>
      <c r="C74" s="247" t="str">
        <f t="shared" si="37"/>
        <v>ONUs &amp; OLTs</v>
      </c>
      <c r="D74" s="48">
        <f t="shared" ref="D74:M74" si="40">D113-D35</f>
        <v>260.7148997664882</v>
      </c>
      <c r="E74" s="48">
        <f t="shared" si="40"/>
        <v>216.32997208512859</v>
      </c>
      <c r="F74" s="48"/>
      <c r="G74" s="48"/>
      <c r="H74" s="48"/>
      <c r="I74" s="48"/>
      <c r="J74" s="48"/>
      <c r="K74" s="48"/>
      <c r="L74" s="48"/>
      <c r="M74" s="48"/>
    </row>
    <row r="75" spans="2:13" x14ac:dyDescent="0.25">
      <c r="B75" s="420" t="str">
        <f t="shared" si="37"/>
        <v>EPON</v>
      </c>
      <c r="C75" s="247" t="str">
        <f t="shared" si="37"/>
        <v>ONUs &amp; OLTs</v>
      </c>
      <c r="D75" s="48">
        <f t="shared" ref="D75:M75" si="41">D114-D36</f>
        <v>72.773344988254053</v>
      </c>
      <c r="E75" s="48">
        <f t="shared" si="41"/>
        <v>43.629501428630199</v>
      </c>
      <c r="F75" s="48"/>
      <c r="G75" s="48"/>
      <c r="H75" s="48"/>
      <c r="I75" s="48"/>
      <c r="J75" s="48"/>
      <c r="K75" s="48"/>
      <c r="L75" s="48"/>
      <c r="M75" s="48"/>
    </row>
    <row r="76" spans="2:13" x14ac:dyDescent="0.25">
      <c r="B76" s="420" t="str">
        <f t="shared" si="37"/>
        <v>10G PON</v>
      </c>
      <c r="C76" s="73" t="str">
        <f t="shared" si="37"/>
        <v>ONUs</v>
      </c>
      <c r="D76" s="48">
        <f t="shared" ref="D76:M76" si="42">D115-D37</f>
        <v>14.715</v>
      </c>
      <c r="E76" s="48">
        <f t="shared" si="42"/>
        <v>31.789999999999996</v>
      </c>
      <c r="F76" s="48"/>
      <c r="G76" s="48"/>
      <c r="H76" s="48"/>
      <c r="I76" s="48"/>
      <c r="J76" s="48"/>
      <c r="K76" s="48"/>
      <c r="L76" s="48"/>
      <c r="M76" s="48"/>
    </row>
    <row r="77" spans="2:13" x14ac:dyDescent="0.25">
      <c r="B77" s="420" t="str">
        <f t="shared" si="37"/>
        <v>10G PON</v>
      </c>
      <c r="C77" s="231" t="str">
        <f t="shared" si="37"/>
        <v>OLTs</v>
      </c>
      <c r="D77" s="48">
        <f t="shared" ref="D77:M77" si="43">D116-D38</f>
        <v>6.7199999999999989</v>
      </c>
      <c r="E77" s="48">
        <f t="shared" si="43"/>
        <v>100.84082525000001</v>
      </c>
      <c r="F77" s="48"/>
      <c r="G77" s="48"/>
      <c r="H77" s="48"/>
      <c r="I77" s="48"/>
      <c r="J77" s="48"/>
      <c r="K77" s="48"/>
      <c r="L77" s="48"/>
      <c r="M77" s="48"/>
    </row>
    <row r="78" spans="2:13" x14ac:dyDescent="0.25">
      <c r="B78" s="420" t="str">
        <f t="shared" si="37"/>
        <v>NG-PON2</v>
      </c>
      <c r="C78" s="231" t="str">
        <f t="shared" si="37"/>
        <v>ONUs &amp; OLTs</v>
      </c>
      <c r="D78" s="48">
        <f t="shared" ref="D78:M78" si="44">D117-D39</f>
        <v>0.10375</v>
      </c>
      <c r="E78" s="48">
        <f t="shared" si="44"/>
        <v>0.44</v>
      </c>
      <c r="F78" s="48"/>
      <c r="G78" s="48"/>
      <c r="H78" s="48"/>
      <c r="I78" s="48"/>
      <c r="J78" s="48"/>
      <c r="K78" s="48"/>
      <c r="L78" s="48"/>
      <c r="M78" s="48"/>
    </row>
    <row r="79" spans="2:13" x14ac:dyDescent="0.25">
      <c r="B79" s="420" t="str">
        <f t="shared" si="37"/>
        <v>Nx25G PON</v>
      </c>
      <c r="C79" s="74" t="str">
        <f t="shared" si="37"/>
        <v>ONUs &amp; OLTs</v>
      </c>
      <c r="D79" s="48">
        <f t="shared" ref="D79:M79" si="45">D118-D40</f>
        <v>0</v>
      </c>
      <c r="E79" s="48">
        <f t="shared" si="45"/>
        <v>0</v>
      </c>
      <c r="F79" s="48"/>
      <c r="G79" s="48"/>
      <c r="H79" s="48"/>
      <c r="I79" s="48"/>
      <c r="J79" s="48"/>
      <c r="K79" s="48"/>
      <c r="L79" s="48"/>
      <c r="M79" s="48"/>
    </row>
    <row r="80" spans="2:13" x14ac:dyDescent="0.25">
      <c r="B80" s="420" t="str">
        <f t="shared" si="37"/>
        <v>Point-to-point</v>
      </c>
      <c r="C80" s="73" t="str">
        <f t="shared" si="37"/>
        <v>All</v>
      </c>
      <c r="D80" s="48">
        <f t="shared" ref="D80:M80" si="46">D119-D41</f>
        <v>28.929087271999993</v>
      </c>
      <c r="E80" s="48">
        <f t="shared" si="46"/>
        <v>19.370627249999995</v>
      </c>
      <c r="F80" s="48"/>
      <c r="G80" s="48"/>
      <c r="H80" s="48"/>
      <c r="I80" s="48"/>
      <c r="J80" s="48"/>
      <c r="K80" s="48"/>
      <c r="L80" s="48"/>
      <c r="M80" s="48"/>
    </row>
    <row r="81" spans="2:14" x14ac:dyDescent="0.25">
      <c r="B81" s="425" t="s">
        <v>9</v>
      </c>
      <c r="C81" s="230" t="s">
        <v>60</v>
      </c>
      <c r="D81" s="234">
        <f t="shared" ref="D81:M81" si="47">SUM(D73:D80)</f>
        <v>386.44799239180242</v>
      </c>
      <c r="E81" s="234">
        <f t="shared" si="47"/>
        <v>413.42311786526341</v>
      </c>
      <c r="F81" s="234"/>
      <c r="G81" s="234"/>
      <c r="H81" s="234"/>
      <c r="I81" s="234"/>
      <c r="J81" s="234"/>
      <c r="K81" s="234"/>
      <c r="L81" s="234"/>
      <c r="M81" s="234"/>
    </row>
    <row r="83" spans="2:14" x14ac:dyDescent="0.25">
      <c r="B83" s="445"/>
      <c r="C83" s="445"/>
      <c r="D83" s="445"/>
      <c r="E83" s="445"/>
      <c r="F83" s="445"/>
      <c r="G83" s="445"/>
      <c r="H83" s="445"/>
      <c r="I83" s="445"/>
      <c r="J83" s="445"/>
      <c r="K83" s="445"/>
      <c r="L83" s="445"/>
      <c r="M83" s="445"/>
    </row>
    <row r="84" spans="2:14" ht="15.5" x14ac:dyDescent="0.35">
      <c r="B84" s="220" t="s">
        <v>0</v>
      </c>
      <c r="C84" s="273" t="s">
        <v>247</v>
      </c>
      <c r="D84" s="435" t="s">
        <v>398</v>
      </c>
      <c r="E84" s="160"/>
      <c r="F84" s="160"/>
      <c r="L84" s="220" t="str">
        <f>B84</f>
        <v>Units</v>
      </c>
      <c r="M84" s="273" t="str">
        <f>C84</f>
        <v>FTTX - Global</v>
      </c>
      <c r="N84" s="44"/>
    </row>
    <row r="85" spans="2:14" x14ac:dyDescent="0.25">
      <c r="B85" s="122" t="s">
        <v>13</v>
      </c>
      <c r="C85" s="41" t="s">
        <v>73</v>
      </c>
      <c r="D85" s="119">
        <v>2016</v>
      </c>
      <c r="E85" s="119">
        <v>2017</v>
      </c>
      <c r="F85" s="119">
        <v>2018</v>
      </c>
      <c r="G85" s="119">
        <v>2019</v>
      </c>
      <c r="H85" s="119">
        <v>2020</v>
      </c>
      <c r="I85" s="119">
        <v>2021</v>
      </c>
      <c r="J85" s="119">
        <v>2022</v>
      </c>
      <c r="K85" s="119">
        <v>2023</v>
      </c>
      <c r="L85" s="119">
        <v>2024</v>
      </c>
      <c r="M85" s="119">
        <v>2025</v>
      </c>
      <c r="N85" s="44"/>
    </row>
    <row r="86" spans="2:14" x14ac:dyDescent="0.25">
      <c r="B86" s="422" t="str">
        <f t="shared" ref="B86:C93" si="48">B8</f>
        <v>BPON</v>
      </c>
      <c r="C86" s="247" t="str">
        <f t="shared" si="48"/>
        <v>ONUs &amp; OLTs</v>
      </c>
      <c r="D86" s="729">
        <v>178784.87663714553</v>
      </c>
      <c r="E86" s="729">
        <v>87827.066647086962</v>
      </c>
      <c r="F86" s="729"/>
      <c r="G86" s="729"/>
      <c r="H86" s="729"/>
      <c r="I86" s="729"/>
      <c r="J86" s="729"/>
      <c r="K86" s="729"/>
      <c r="L86" s="729"/>
      <c r="M86" s="729"/>
      <c r="N86" s="44"/>
    </row>
    <row r="87" spans="2:14" x14ac:dyDescent="0.25">
      <c r="B87" s="420" t="str">
        <f t="shared" si="48"/>
        <v>GPON</v>
      </c>
      <c r="C87" s="247" t="str">
        <f t="shared" si="48"/>
        <v>ONUs &amp; OLTs</v>
      </c>
      <c r="D87" s="714">
        <v>86293659.464705884</v>
      </c>
      <c r="E87" s="714">
        <v>65171919.326176472</v>
      </c>
      <c r="F87" s="714"/>
      <c r="G87" s="714"/>
      <c r="H87" s="714"/>
      <c r="I87" s="714"/>
      <c r="J87" s="714"/>
      <c r="K87" s="714"/>
      <c r="L87" s="714"/>
      <c r="M87" s="714"/>
      <c r="N87" s="44"/>
    </row>
    <row r="88" spans="2:14" x14ac:dyDescent="0.25">
      <c r="B88" s="420" t="str">
        <f t="shared" si="48"/>
        <v>EPON</v>
      </c>
      <c r="C88" s="247" t="str">
        <f t="shared" si="48"/>
        <v>ONUs &amp; OLTs</v>
      </c>
      <c r="D88" s="714">
        <v>15521156</v>
      </c>
      <c r="E88" s="714">
        <v>10946656.631999999</v>
      </c>
      <c r="F88" s="714"/>
      <c r="G88" s="714"/>
      <c r="H88" s="714"/>
      <c r="I88" s="714"/>
      <c r="J88" s="714"/>
      <c r="K88" s="714"/>
      <c r="L88" s="714"/>
      <c r="M88" s="714"/>
      <c r="N88" s="44"/>
    </row>
    <row r="89" spans="2:14" x14ac:dyDescent="0.25">
      <c r="B89" s="420" t="str">
        <f t="shared" si="48"/>
        <v>10G PON</v>
      </c>
      <c r="C89" s="73" t="str">
        <f t="shared" si="48"/>
        <v>ONUs</v>
      </c>
      <c r="D89" s="714">
        <v>350000</v>
      </c>
      <c r="E89" s="714">
        <v>900000</v>
      </c>
      <c r="F89" s="714"/>
      <c r="G89" s="714"/>
      <c r="H89" s="714"/>
      <c r="I89" s="714"/>
      <c r="J89" s="714"/>
      <c r="K89" s="714"/>
      <c r="L89" s="714"/>
      <c r="M89" s="714"/>
      <c r="N89" s="44"/>
    </row>
    <row r="90" spans="2:14" x14ac:dyDescent="0.25">
      <c r="B90" s="420" t="str">
        <f t="shared" si="48"/>
        <v>10G PON</v>
      </c>
      <c r="C90" s="231" t="str">
        <f t="shared" si="48"/>
        <v>OLTs</v>
      </c>
      <c r="D90" s="714">
        <v>35000</v>
      </c>
      <c r="E90" s="714">
        <v>833395.25</v>
      </c>
      <c r="F90" s="714"/>
      <c r="G90" s="714"/>
      <c r="H90" s="714"/>
      <c r="I90" s="714"/>
      <c r="J90" s="714"/>
      <c r="K90" s="714"/>
      <c r="L90" s="714"/>
      <c r="M90" s="714"/>
      <c r="N90" s="44"/>
    </row>
    <row r="91" spans="2:14" x14ac:dyDescent="0.25">
      <c r="B91" s="420" t="str">
        <f t="shared" si="48"/>
        <v>NG-PON2</v>
      </c>
      <c r="C91" s="231" t="str">
        <f t="shared" si="48"/>
        <v>ONUs &amp; OLTs</v>
      </c>
      <c r="D91" s="714">
        <v>100</v>
      </c>
      <c r="E91" s="714">
        <v>600</v>
      </c>
      <c r="F91" s="714"/>
      <c r="G91" s="714"/>
      <c r="H91" s="714"/>
      <c r="I91" s="714"/>
      <c r="J91" s="714"/>
      <c r="K91" s="714"/>
      <c r="L91" s="714"/>
      <c r="M91" s="714"/>
      <c r="N91" s="44"/>
    </row>
    <row r="92" spans="2:14" x14ac:dyDescent="0.25">
      <c r="B92" s="420" t="str">
        <f t="shared" si="48"/>
        <v>Nx25G PON</v>
      </c>
      <c r="C92" s="74" t="str">
        <f t="shared" si="48"/>
        <v>ONUs &amp; OLTs</v>
      </c>
      <c r="D92" s="714">
        <v>0</v>
      </c>
      <c r="E92" s="714">
        <v>0</v>
      </c>
      <c r="F92" s="714"/>
      <c r="G92" s="714"/>
      <c r="H92" s="714"/>
      <c r="I92" s="714"/>
      <c r="J92" s="714"/>
      <c r="K92" s="714"/>
      <c r="L92" s="714"/>
      <c r="M92" s="714"/>
      <c r="N92" s="44"/>
    </row>
    <row r="93" spans="2:14" x14ac:dyDescent="0.25">
      <c r="B93" s="420" t="str">
        <f t="shared" si="48"/>
        <v>Point-to-point</v>
      </c>
      <c r="C93" s="73" t="str">
        <f t="shared" si="48"/>
        <v>All</v>
      </c>
      <c r="D93" s="714">
        <v>1547293.8399999999</v>
      </c>
      <c r="E93" s="714">
        <v>1201250</v>
      </c>
      <c r="F93" s="714"/>
      <c r="G93" s="714"/>
      <c r="H93" s="714"/>
      <c r="I93" s="714"/>
      <c r="J93" s="714"/>
      <c r="K93" s="714"/>
      <c r="L93" s="714"/>
      <c r="M93" s="714"/>
      <c r="N93" s="44"/>
    </row>
    <row r="94" spans="2:14" x14ac:dyDescent="0.25">
      <c r="B94" s="425" t="s">
        <v>9</v>
      </c>
      <c r="C94" s="230" t="s">
        <v>60</v>
      </c>
      <c r="D94" s="132">
        <f t="shared" ref="D94:G94" si="49">SUM(D86:D93)</f>
        <v>103925994.18134303</v>
      </c>
      <c r="E94" s="132">
        <f t="shared" si="49"/>
        <v>79141648.274823561</v>
      </c>
      <c r="F94" s="132"/>
      <c r="G94" s="132"/>
      <c r="H94" s="132"/>
      <c r="I94" s="132"/>
      <c r="J94" s="132"/>
      <c r="K94" s="132"/>
      <c r="L94" s="132"/>
      <c r="M94" s="132"/>
      <c r="N94" s="44"/>
    </row>
    <row r="95" spans="2:14" x14ac:dyDescent="0.25">
      <c r="B95" s="4"/>
      <c r="C95" s="160"/>
      <c r="D95" s="8"/>
      <c r="E95" s="8">
        <f t="shared" ref="E95:M95" si="50">IF(D94=0,"",E94/D94-1)</f>
        <v>-0.23848071987911568</v>
      </c>
      <c r="F95" s="8"/>
      <c r="G95" s="8"/>
      <c r="H95" s="8"/>
      <c r="I95" s="8"/>
      <c r="J95" s="8"/>
      <c r="K95" s="8"/>
      <c r="L95" s="8"/>
      <c r="M95" s="8"/>
      <c r="N95" s="44"/>
    </row>
    <row r="96" spans="2:14" x14ac:dyDescent="0.25">
      <c r="B96" s="160"/>
      <c r="C96" s="160"/>
      <c r="D96" s="160"/>
      <c r="E96" s="160"/>
      <c r="F96" s="160"/>
      <c r="N96" s="44"/>
    </row>
    <row r="97" spans="2:17" ht="14.5" x14ac:dyDescent="0.35">
      <c r="B97" s="220" t="s">
        <v>53</v>
      </c>
      <c r="C97" s="273" t="str">
        <f>$C$84</f>
        <v>FTTX - Global</v>
      </c>
      <c r="D97" s="572" t="s">
        <v>207</v>
      </c>
      <c r="E97" s="160"/>
      <c r="F97" s="160"/>
      <c r="L97" s="220" t="str">
        <f>B97</f>
        <v>ASP ($)</v>
      </c>
      <c r="M97" s="273" t="str">
        <f>C97</f>
        <v>FTTX - Global</v>
      </c>
    </row>
    <row r="98" spans="2:17" x14ac:dyDescent="0.25">
      <c r="B98" s="122" t="s">
        <v>13</v>
      </c>
      <c r="C98" s="6" t="s">
        <v>73</v>
      </c>
      <c r="D98" s="119">
        <v>2016</v>
      </c>
      <c r="E98" s="119">
        <v>2017</v>
      </c>
      <c r="F98" s="119">
        <v>2018</v>
      </c>
      <c r="G98" s="119">
        <v>2019</v>
      </c>
      <c r="H98" s="119">
        <v>2020</v>
      </c>
      <c r="I98" s="119">
        <v>2021</v>
      </c>
      <c r="J98" s="119">
        <v>2022</v>
      </c>
      <c r="K98" s="119">
        <v>2023</v>
      </c>
      <c r="L98" s="119">
        <v>2024</v>
      </c>
      <c r="M98" s="119">
        <v>2025</v>
      </c>
    </row>
    <row r="99" spans="2:17" x14ac:dyDescent="0.25">
      <c r="B99" s="422" t="str">
        <f t="shared" ref="B99:C106" si="51">B8</f>
        <v>BPON</v>
      </c>
      <c r="C99" s="247" t="str">
        <f t="shared" si="51"/>
        <v>ONUs &amp; OLTs</v>
      </c>
      <c r="D99" s="23">
        <f t="shared" ref="D99:L99" si="52">IF(D86=0,"",(D112*10^6/D86))</f>
        <v>13.938037779994598</v>
      </c>
      <c r="E99" s="23">
        <f t="shared" si="52"/>
        <v>11.638688282873231</v>
      </c>
      <c r="F99" s="23"/>
      <c r="G99" s="23"/>
      <c r="H99" s="23"/>
      <c r="I99" s="23"/>
      <c r="J99" s="23"/>
      <c r="K99" s="23"/>
      <c r="L99" s="23"/>
      <c r="M99" s="23"/>
    </row>
    <row r="100" spans="2:17" x14ac:dyDescent="0.25">
      <c r="B100" s="420" t="str">
        <f t="shared" si="51"/>
        <v>GPON</v>
      </c>
      <c r="C100" s="247" t="str">
        <f t="shared" si="51"/>
        <v>ONUs &amp; OLTs</v>
      </c>
      <c r="D100" s="23">
        <f t="shared" ref="D100:K100" si="53">IF(D87=0,"",(D113*10^6/D87))</f>
        <v>11.18982258795986</v>
      </c>
      <c r="E100" s="23">
        <f t="shared" si="53"/>
        <v>10.707657942937981</v>
      </c>
      <c r="F100" s="23"/>
      <c r="G100" s="23"/>
      <c r="H100" s="23"/>
      <c r="I100" s="23"/>
      <c r="J100" s="23"/>
      <c r="K100" s="23"/>
      <c r="L100" s="23"/>
      <c r="M100" s="23"/>
    </row>
    <row r="101" spans="2:17" x14ac:dyDescent="0.25">
      <c r="B101" s="420" t="str">
        <f t="shared" si="51"/>
        <v>EPON</v>
      </c>
      <c r="C101" s="247" t="str">
        <f t="shared" si="51"/>
        <v>ONUs &amp; OLTs</v>
      </c>
      <c r="D101" s="23">
        <f t="shared" ref="D101:K101" si="54">IF(D88=0,"",(D114*10^6/D88))</f>
        <v>8.5248271910878586</v>
      </c>
      <c r="E101" s="23">
        <f t="shared" si="54"/>
        <v>6.6427438220557553</v>
      </c>
      <c r="F101" s="23"/>
      <c r="G101" s="23"/>
      <c r="H101" s="23"/>
      <c r="I101" s="23"/>
      <c r="J101" s="23"/>
      <c r="K101" s="23"/>
      <c r="L101" s="23"/>
      <c r="M101" s="23"/>
    </row>
    <row r="102" spans="2:17" x14ac:dyDescent="0.25">
      <c r="B102" s="420" t="str">
        <f t="shared" si="51"/>
        <v>10G PON</v>
      </c>
      <c r="C102" s="73" t="str">
        <f t="shared" si="51"/>
        <v>ONUs</v>
      </c>
      <c r="D102" s="23">
        <f t="shared" ref="D102:K102" si="55">IF(D89=0,"",(D115*10^6/D89))</f>
        <v>70.071428571428569</v>
      </c>
      <c r="E102" s="23">
        <f t="shared" si="55"/>
        <v>64.222222222222229</v>
      </c>
      <c r="F102" s="23"/>
      <c r="G102" s="23"/>
      <c r="H102" s="23"/>
      <c r="I102" s="23"/>
      <c r="J102" s="23"/>
      <c r="K102" s="23"/>
      <c r="L102" s="23"/>
      <c r="M102" s="23"/>
    </row>
    <row r="103" spans="2:17" x14ac:dyDescent="0.25">
      <c r="B103" s="420" t="str">
        <f t="shared" si="51"/>
        <v>10G PON</v>
      </c>
      <c r="C103" s="231" t="str">
        <f t="shared" si="51"/>
        <v>OLTs</v>
      </c>
      <c r="D103" s="23">
        <f t="shared" ref="D103:K103" si="56">IF(D90=0,"",(D116*10^6/D90))</f>
        <v>320</v>
      </c>
      <c r="E103" s="23">
        <f t="shared" si="56"/>
        <v>220</v>
      </c>
      <c r="F103" s="23"/>
      <c r="G103" s="23"/>
      <c r="H103" s="23"/>
      <c r="I103" s="23"/>
      <c r="J103" s="23"/>
      <c r="K103" s="23"/>
      <c r="L103" s="23"/>
      <c r="M103" s="23"/>
    </row>
    <row r="104" spans="2:17" x14ac:dyDescent="0.25">
      <c r="B104" s="420" t="str">
        <f t="shared" si="51"/>
        <v>NG-PON2</v>
      </c>
      <c r="C104" s="231" t="str">
        <f t="shared" si="51"/>
        <v>ONUs &amp; OLTs</v>
      </c>
      <c r="D104" s="23">
        <f t="shared" ref="D104:K104" si="57">IF(D91=0,"",(D117*10^6/D91))</f>
        <v>1037.5</v>
      </c>
      <c r="E104" s="23">
        <f t="shared" si="57"/>
        <v>733.33333333333337</v>
      </c>
      <c r="F104" s="23"/>
      <c r="G104" s="23"/>
      <c r="H104" s="23"/>
      <c r="I104" s="23"/>
      <c r="J104" s="23"/>
      <c r="K104" s="23"/>
      <c r="L104" s="23"/>
      <c r="M104" s="23"/>
    </row>
    <row r="105" spans="2:17" x14ac:dyDescent="0.25">
      <c r="B105" s="420" t="str">
        <f t="shared" si="51"/>
        <v>Nx25G PON</v>
      </c>
      <c r="C105" s="74" t="str">
        <f t="shared" si="51"/>
        <v>ONUs &amp; OLTs</v>
      </c>
      <c r="D105" s="23" t="str">
        <f t="shared" ref="D105:K105" si="58">IF(D92=0,"",(D118*10^6/D92))</f>
        <v/>
      </c>
      <c r="E105" s="23" t="str">
        <f t="shared" si="58"/>
        <v/>
      </c>
      <c r="F105" s="23"/>
      <c r="G105" s="23"/>
      <c r="H105" s="23"/>
      <c r="I105" s="23"/>
      <c r="J105" s="23"/>
      <c r="K105" s="23"/>
      <c r="L105" s="23"/>
      <c r="M105" s="23"/>
    </row>
    <row r="106" spans="2:17" x14ac:dyDescent="0.25">
      <c r="B106" s="420" t="str">
        <f t="shared" si="51"/>
        <v>Point-to-point</v>
      </c>
      <c r="C106" s="73" t="str">
        <f t="shared" si="51"/>
        <v>All</v>
      </c>
      <c r="D106" s="23">
        <f t="shared" ref="D106:K106" si="59">IF(D93=0,"",(D119*10^6/D93))</f>
        <v>27.494955579995072</v>
      </c>
      <c r="E106" s="23">
        <f t="shared" si="59"/>
        <v>24.808295525494273</v>
      </c>
      <c r="F106" s="23"/>
      <c r="G106" s="23"/>
      <c r="H106" s="23"/>
      <c r="I106" s="23"/>
      <c r="J106" s="23"/>
      <c r="K106" s="23"/>
      <c r="L106" s="23"/>
      <c r="M106" s="23"/>
    </row>
    <row r="107" spans="2:17" x14ac:dyDescent="0.25">
      <c r="B107" s="425" t="s">
        <v>9</v>
      </c>
      <c r="C107" s="230" t="s">
        <v>60</v>
      </c>
      <c r="D107" s="142">
        <f t="shared" ref="D107:K107" si="60">IF(D94=0,"",(D120*10^6/D94))</f>
        <v>11.342584284447259</v>
      </c>
      <c r="E107" s="142">
        <f t="shared" si="60"/>
        <v>13.178453948464471</v>
      </c>
      <c r="F107" s="142"/>
      <c r="G107" s="142"/>
      <c r="H107" s="142"/>
      <c r="I107" s="142"/>
      <c r="J107" s="142"/>
      <c r="K107" s="142"/>
      <c r="L107" s="142"/>
      <c r="M107" s="142"/>
    </row>
    <row r="108" spans="2:17" x14ac:dyDescent="0.25">
      <c r="B108" s="160"/>
      <c r="C108" s="160"/>
      <c r="D108" s="160"/>
      <c r="E108" s="160"/>
      <c r="F108" s="160"/>
    </row>
    <row r="109" spans="2:17" x14ac:dyDescent="0.25">
      <c r="B109" s="160"/>
      <c r="C109" s="160"/>
      <c r="D109" s="160"/>
      <c r="E109" s="160"/>
      <c r="F109" s="160"/>
    </row>
    <row r="110" spans="2:17" ht="14.5" x14ac:dyDescent="0.35">
      <c r="B110" s="220" t="s">
        <v>1</v>
      </c>
      <c r="C110" s="273" t="str">
        <f>$C$84</f>
        <v>FTTX - Global</v>
      </c>
      <c r="D110" s="572" t="str">
        <f>D84</f>
        <v>From the FTTx Forecast model_master_2020_v1 spreadsheet, 'Forecast detail' tab.</v>
      </c>
      <c r="E110" s="160"/>
      <c r="F110" s="160"/>
      <c r="L110" s="220" t="str">
        <f>B110</f>
        <v>Sales ($M)</v>
      </c>
      <c r="M110" s="273" t="str">
        <f>C110</f>
        <v>FTTX - Global</v>
      </c>
    </row>
    <row r="111" spans="2:17" x14ac:dyDescent="0.25">
      <c r="B111" s="122" t="s">
        <v>13</v>
      </c>
      <c r="C111" s="119" t="s">
        <v>73</v>
      </c>
      <c r="D111" s="119">
        <v>2016</v>
      </c>
      <c r="E111" s="119">
        <v>2017</v>
      </c>
      <c r="F111" s="119">
        <v>2018</v>
      </c>
      <c r="G111" s="119">
        <v>2019</v>
      </c>
      <c r="H111" s="119">
        <v>2020</v>
      </c>
      <c r="I111" s="119">
        <v>2021</v>
      </c>
      <c r="J111" s="119">
        <v>2022</v>
      </c>
      <c r="K111" s="119">
        <v>2023</v>
      </c>
      <c r="L111" s="119">
        <v>2024</v>
      </c>
      <c r="M111" s="119">
        <v>2025</v>
      </c>
      <c r="N111" s="160"/>
      <c r="O111" s="160"/>
      <c r="P111" s="160"/>
      <c r="Q111" s="160"/>
    </row>
    <row r="112" spans="2:17" x14ac:dyDescent="0.25">
      <c r="B112" s="422" t="str">
        <f t="shared" ref="B112:C119" si="61">B8</f>
        <v>BPON</v>
      </c>
      <c r="C112" s="247" t="str">
        <f t="shared" si="61"/>
        <v>ONUs &amp; OLTs</v>
      </c>
      <c r="D112" s="713">
        <v>2.4919103650602081</v>
      </c>
      <c r="E112" s="713">
        <v>1.0221918515045774</v>
      </c>
      <c r="F112" s="713"/>
      <c r="G112" s="713"/>
      <c r="H112" s="713"/>
      <c r="I112" s="713"/>
      <c r="J112" s="713"/>
      <c r="K112" s="713"/>
      <c r="L112" s="713"/>
      <c r="M112" s="713"/>
      <c r="N112" s="160"/>
      <c r="O112" s="160"/>
      <c r="P112" s="160"/>
      <c r="Q112" s="160"/>
    </row>
    <row r="113" spans="2:17" x14ac:dyDescent="0.25">
      <c r="B113" s="420" t="str">
        <f t="shared" si="61"/>
        <v>GPON</v>
      </c>
      <c r="C113" s="247" t="str">
        <f t="shared" si="61"/>
        <v>ONUs &amp; OLTs</v>
      </c>
      <c r="D113" s="713">
        <v>965.61073987588202</v>
      </c>
      <c r="E113" s="713">
        <v>697.83861962944684</v>
      </c>
      <c r="F113" s="713"/>
      <c r="G113" s="713"/>
      <c r="H113" s="713"/>
      <c r="I113" s="713"/>
      <c r="J113" s="713"/>
      <c r="K113" s="713"/>
      <c r="L113" s="713"/>
      <c r="M113" s="713"/>
      <c r="N113" s="160"/>
      <c r="O113" s="160"/>
      <c r="P113" s="160"/>
      <c r="Q113" s="160"/>
    </row>
    <row r="114" spans="2:17" x14ac:dyDescent="0.25">
      <c r="B114" s="420" t="str">
        <f t="shared" si="61"/>
        <v>EPON</v>
      </c>
      <c r="C114" s="247" t="str">
        <f t="shared" si="61"/>
        <v>ONUs &amp; OLTs</v>
      </c>
      <c r="D114" s="713">
        <v>132.31517270591647</v>
      </c>
      <c r="E114" s="713">
        <v>72.715835714383658</v>
      </c>
      <c r="F114" s="713"/>
      <c r="G114" s="713"/>
      <c r="H114" s="713"/>
      <c r="I114" s="713"/>
      <c r="J114" s="713"/>
      <c r="K114" s="713"/>
      <c r="L114" s="713"/>
      <c r="M114" s="713"/>
      <c r="N114" s="160"/>
      <c r="O114" s="160"/>
      <c r="P114" s="160"/>
      <c r="Q114" s="160"/>
    </row>
    <row r="115" spans="2:17" x14ac:dyDescent="0.25">
      <c r="B115" s="420" t="str">
        <f t="shared" si="61"/>
        <v>10G PON</v>
      </c>
      <c r="C115" s="73" t="str">
        <f t="shared" si="61"/>
        <v>ONUs</v>
      </c>
      <c r="D115" s="713">
        <v>24.524999999999999</v>
      </c>
      <c r="E115" s="713">
        <v>57.8</v>
      </c>
      <c r="F115" s="713"/>
      <c r="G115" s="713"/>
      <c r="H115" s="713"/>
      <c r="I115" s="713"/>
      <c r="J115" s="713"/>
      <c r="K115" s="713"/>
      <c r="L115" s="713"/>
      <c r="M115" s="713"/>
      <c r="N115" s="160"/>
      <c r="O115" s="160"/>
      <c r="P115" s="160"/>
      <c r="Q115" s="160"/>
    </row>
    <row r="116" spans="2:17" x14ac:dyDescent="0.25">
      <c r="B116" s="420" t="str">
        <f t="shared" si="61"/>
        <v>10G PON</v>
      </c>
      <c r="C116" s="231" t="str">
        <f t="shared" si="61"/>
        <v>OLTs</v>
      </c>
      <c r="D116" s="713">
        <v>11.2</v>
      </c>
      <c r="E116" s="713">
        <v>183.34695500000001</v>
      </c>
      <c r="F116" s="713"/>
      <c r="G116" s="713"/>
      <c r="H116" s="713"/>
      <c r="I116" s="713"/>
      <c r="J116" s="713"/>
      <c r="K116" s="713"/>
      <c r="L116" s="713"/>
      <c r="M116" s="713"/>
      <c r="N116" s="160"/>
      <c r="O116" s="160"/>
      <c r="P116" s="160"/>
      <c r="Q116" s="160"/>
    </row>
    <row r="117" spans="2:17" x14ac:dyDescent="0.25">
      <c r="B117" s="420" t="str">
        <f t="shared" si="61"/>
        <v>NG-PON2</v>
      </c>
      <c r="C117" s="231" t="str">
        <f t="shared" si="61"/>
        <v>ONUs &amp; OLTs</v>
      </c>
      <c r="D117" s="713">
        <v>0.10375</v>
      </c>
      <c r="E117" s="713">
        <v>0.44</v>
      </c>
      <c r="F117" s="713"/>
      <c r="G117" s="713"/>
      <c r="H117" s="713"/>
      <c r="I117" s="713"/>
      <c r="J117" s="713"/>
      <c r="K117" s="713"/>
      <c r="L117" s="713"/>
      <c r="M117" s="713"/>
      <c r="N117" s="160"/>
      <c r="O117" s="160"/>
      <c r="P117" s="160"/>
      <c r="Q117" s="160"/>
    </row>
    <row r="118" spans="2:17" x14ac:dyDescent="0.25">
      <c r="B118" s="420" t="str">
        <f t="shared" si="61"/>
        <v>Nx25G PON</v>
      </c>
      <c r="C118" s="74" t="str">
        <f t="shared" si="61"/>
        <v>ONUs &amp; OLTs</v>
      </c>
      <c r="D118" s="713">
        <v>0</v>
      </c>
      <c r="E118" s="713">
        <v>0</v>
      </c>
      <c r="F118" s="713"/>
      <c r="G118" s="713"/>
      <c r="H118" s="713"/>
      <c r="I118" s="713"/>
      <c r="J118" s="713"/>
      <c r="K118" s="713"/>
      <c r="L118" s="713"/>
      <c r="M118" s="713"/>
      <c r="N118" s="160"/>
      <c r="O118" s="160"/>
      <c r="P118" s="160"/>
      <c r="Q118" s="160"/>
    </row>
    <row r="119" spans="2:17" x14ac:dyDescent="0.25">
      <c r="B119" s="420" t="str">
        <f t="shared" si="61"/>
        <v>Point-to-point</v>
      </c>
      <c r="C119" s="73" t="str">
        <f t="shared" si="61"/>
        <v>All</v>
      </c>
      <c r="D119" s="713">
        <v>42.542775399999996</v>
      </c>
      <c r="E119" s="713">
        <v>29.800964999999998</v>
      </c>
      <c r="F119" s="713"/>
      <c r="G119" s="713"/>
      <c r="H119" s="713"/>
      <c r="I119" s="713"/>
      <c r="J119" s="713"/>
      <c r="K119" s="713"/>
      <c r="L119" s="713"/>
      <c r="M119" s="713"/>
      <c r="N119" s="160"/>
      <c r="O119" s="160"/>
      <c r="P119" s="160"/>
      <c r="Q119" s="160"/>
    </row>
    <row r="120" spans="2:17" x14ac:dyDescent="0.25">
      <c r="B120" s="425" t="s">
        <v>9</v>
      </c>
      <c r="C120" s="230" t="s">
        <v>60</v>
      </c>
      <c r="D120" s="234">
        <f>SUM(D112:D119)</f>
        <v>1178.7893483468588</v>
      </c>
      <c r="E120" s="234">
        <f t="shared" ref="E120:H120" si="62">SUM(E112:E119)</f>
        <v>1042.9645671953349</v>
      </c>
      <c r="F120" s="234"/>
      <c r="G120" s="234"/>
      <c r="H120" s="234"/>
      <c r="I120" s="234"/>
      <c r="J120" s="234"/>
      <c r="K120" s="234"/>
      <c r="L120" s="234"/>
      <c r="M120" s="234"/>
      <c r="N120" s="184"/>
      <c r="O120" s="184"/>
    </row>
    <row r="121" spans="2:17" x14ac:dyDescent="0.25">
      <c r="C121" s="160"/>
      <c r="D121" s="160"/>
      <c r="E121" s="160"/>
      <c r="F121" s="160"/>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A128"/>
  <sheetViews>
    <sheetView showGridLines="0" zoomScale="70" zoomScaleNormal="70" zoomScalePageLayoutView="70" workbookViewId="0">
      <selection activeCell="G115" sqref="G115:N125"/>
    </sheetView>
  </sheetViews>
  <sheetFormatPr defaultColWidth="9.1796875" defaultRowHeight="12.5" x14ac:dyDescent="0.25"/>
  <cols>
    <col min="1" max="1" width="4.453125" style="56" customWidth="1"/>
    <col min="2" max="2" width="13.1796875" style="144" customWidth="1"/>
    <col min="3" max="3" width="13.36328125" style="144" customWidth="1"/>
    <col min="4" max="4" width="22.6328125" style="160" customWidth="1"/>
    <col min="5" max="7" width="11.36328125" style="144" customWidth="1"/>
    <col min="8" max="10" width="11.36328125" style="160" customWidth="1"/>
    <col min="11" max="11" width="11.36328125" style="144" customWidth="1"/>
    <col min="12" max="12" width="11.36328125" style="160" customWidth="1"/>
    <col min="13" max="13" width="13" style="160" customWidth="1"/>
    <col min="14" max="14" width="11.36328125" style="160" customWidth="1"/>
    <col min="15" max="25" width="8.36328125" style="144" customWidth="1"/>
    <col min="26" max="26" width="9.1796875" style="144"/>
    <col min="27" max="27" width="9.1796875" style="160"/>
    <col min="28" max="16384" width="9.1796875" style="144"/>
  </cols>
  <sheetData>
    <row r="1" spans="1:27" s="160" customFormat="1" x14ac:dyDescent="0.25">
      <c r="A1" s="56"/>
    </row>
    <row r="2" spans="1:27" s="160" customFormat="1" ht="18" x14ac:dyDescent="0.4">
      <c r="A2" s="56"/>
      <c r="B2" s="76" t="str">
        <f>Introduction!B2</f>
        <v>LightCounting Optical Components Market Forecast for China</v>
      </c>
    </row>
    <row r="3" spans="1:27" ht="15.5" x14ac:dyDescent="0.35">
      <c r="B3" s="215" t="str">
        <f>Introduction!B3</f>
        <v>January 25, 2021 - sample only - for illustrative purposes</v>
      </c>
      <c r="C3" s="325"/>
      <c r="D3" s="325"/>
    </row>
    <row r="4" spans="1:27" ht="15.5" x14ac:dyDescent="0.35">
      <c r="B4" s="217" t="s">
        <v>211</v>
      </c>
      <c r="E4" s="160"/>
    </row>
    <row r="6" spans="1:27" s="160" customFormat="1" x14ac:dyDescent="0.25">
      <c r="A6" s="9"/>
      <c r="B6" s="9"/>
      <c r="C6" s="9"/>
      <c r="D6" s="9"/>
      <c r="E6" s="144"/>
      <c r="F6" s="9"/>
      <c r="G6" s="9"/>
      <c r="H6" s="9"/>
      <c r="I6" s="9"/>
      <c r="J6" s="9"/>
      <c r="K6" s="9"/>
      <c r="L6" s="9"/>
      <c r="M6" s="9"/>
      <c r="N6" s="9"/>
      <c r="P6" s="9"/>
    </row>
    <row r="7" spans="1:27" s="160" customFormat="1" ht="15.5" x14ac:dyDescent="0.35">
      <c r="A7" s="56"/>
      <c r="B7" s="221" t="s">
        <v>0</v>
      </c>
      <c r="C7" s="449" t="s">
        <v>260</v>
      </c>
      <c r="D7" s="449"/>
      <c r="E7" s="144"/>
      <c r="F7" s="15"/>
      <c r="G7" s="15"/>
      <c r="H7" s="15"/>
      <c r="I7" s="15"/>
      <c r="K7" s="686" t="str">
        <f>B7</f>
        <v>Units</v>
      </c>
      <c r="M7" s="687"/>
      <c r="N7" s="688" t="str">
        <f>C7</f>
        <v>AOCs/EOMs - China only</v>
      </c>
      <c r="P7" s="221" t="s">
        <v>263</v>
      </c>
      <c r="Q7" s="144"/>
      <c r="R7" s="371"/>
    </row>
    <row r="8" spans="1:27" x14ac:dyDescent="0.25">
      <c r="A8" s="107"/>
      <c r="B8" s="208" t="s">
        <v>54</v>
      </c>
      <c r="C8" s="208" t="s">
        <v>10</v>
      </c>
      <c r="D8" s="208"/>
      <c r="E8" s="143">
        <v>2016</v>
      </c>
      <c r="F8" s="57">
        <v>2017</v>
      </c>
      <c r="G8" s="143">
        <v>2018</v>
      </c>
      <c r="H8" s="143">
        <v>2019</v>
      </c>
      <c r="I8" s="143">
        <v>2020</v>
      </c>
      <c r="J8" s="143">
        <v>2021</v>
      </c>
      <c r="K8" s="143">
        <v>2022</v>
      </c>
      <c r="L8" s="143">
        <v>2023</v>
      </c>
      <c r="M8" s="143">
        <v>2024</v>
      </c>
      <c r="N8" s="143">
        <v>2025</v>
      </c>
      <c r="O8" s="160"/>
      <c r="P8" s="208" t="s">
        <v>54</v>
      </c>
      <c r="Q8" s="208" t="s">
        <v>10</v>
      </c>
      <c r="R8" s="143">
        <v>2016</v>
      </c>
      <c r="S8" s="57">
        <v>2017</v>
      </c>
      <c r="T8" s="143">
        <v>2018</v>
      </c>
      <c r="U8" s="143">
        <v>2019</v>
      </c>
      <c r="V8" s="143">
        <v>2020</v>
      </c>
      <c r="W8" s="143">
        <v>2021</v>
      </c>
      <c r="X8" s="143">
        <v>2022</v>
      </c>
      <c r="Y8" s="143">
        <v>2023</v>
      </c>
      <c r="Z8" s="143">
        <v>2024</v>
      </c>
      <c r="AA8" s="143">
        <v>2025</v>
      </c>
    </row>
    <row r="9" spans="1:27" ht="14.5" customHeight="1" x14ac:dyDescent="0.25">
      <c r="A9" s="108"/>
      <c r="B9" s="430" t="s">
        <v>498</v>
      </c>
      <c r="C9" s="450" t="s">
        <v>20</v>
      </c>
      <c r="D9" s="450" t="s">
        <v>20</v>
      </c>
      <c r="E9" s="736">
        <v>7950</v>
      </c>
      <c r="F9" s="736">
        <v>23618.2</v>
      </c>
      <c r="G9" s="736"/>
      <c r="H9" s="736"/>
      <c r="I9" s="736"/>
      <c r="J9" s="736"/>
      <c r="K9" s="736"/>
      <c r="L9" s="736"/>
      <c r="M9" s="736"/>
      <c r="N9" s="736"/>
      <c r="O9" s="160"/>
      <c r="P9" s="477" t="str">
        <f>B9</f>
        <v>EOM</v>
      </c>
      <c r="Q9" s="466" t="str">
        <f>C9</f>
        <v>All</v>
      </c>
      <c r="R9" s="742">
        <v>0.15</v>
      </c>
      <c r="S9" s="742">
        <f>R9+0.05</f>
        <v>0.2</v>
      </c>
      <c r="T9" s="742"/>
      <c r="U9" s="742"/>
      <c r="V9" s="742"/>
      <c r="W9" s="742"/>
      <c r="X9" s="742"/>
      <c r="Y9" s="742"/>
      <c r="Z9" s="742"/>
      <c r="AA9" s="742"/>
    </row>
    <row r="10" spans="1:27" s="160" customFormat="1" ht="14.5" customHeight="1" x14ac:dyDescent="0.25">
      <c r="A10" s="108"/>
      <c r="B10" s="829" t="s">
        <v>87</v>
      </c>
      <c r="C10" s="730" t="s">
        <v>479</v>
      </c>
      <c r="D10" s="450" t="s">
        <v>507</v>
      </c>
      <c r="E10" s="735">
        <v>661671.20000000007</v>
      </c>
      <c r="F10" s="735">
        <v>1615852.5</v>
      </c>
      <c r="G10" s="735"/>
      <c r="H10" s="735"/>
      <c r="I10" s="735"/>
      <c r="J10" s="735"/>
      <c r="K10" s="735"/>
      <c r="L10" s="735"/>
      <c r="M10" s="735"/>
      <c r="N10" s="735"/>
      <c r="P10" s="477" t="s">
        <v>500</v>
      </c>
      <c r="Q10" s="728" t="str">
        <f>C10</f>
        <v>10G</v>
      </c>
      <c r="R10" s="743">
        <f>E10/E92</f>
        <v>0.4</v>
      </c>
      <c r="S10" s="743">
        <f>F10/F92</f>
        <v>0.5</v>
      </c>
      <c r="T10" s="743"/>
      <c r="U10" s="743"/>
      <c r="V10" s="743"/>
      <c r="W10" s="743"/>
      <c r="X10" s="743"/>
      <c r="Y10" s="743"/>
      <c r="Z10" s="743"/>
      <c r="AA10" s="743"/>
    </row>
    <row r="11" spans="1:27" s="160" customFormat="1" ht="14.5" customHeight="1" x14ac:dyDescent="0.25">
      <c r="A11" s="108"/>
      <c r="B11" s="830"/>
      <c r="C11" s="730" t="s">
        <v>484</v>
      </c>
      <c r="D11" s="450" t="s">
        <v>507</v>
      </c>
      <c r="E11" s="735">
        <v>4000</v>
      </c>
      <c r="F11" s="735">
        <v>85326</v>
      </c>
      <c r="G11" s="735"/>
      <c r="H11" s="735"/>
      <c r="I11" s="735"/>
      <c r="J11" s="735"/>
      <c r="K11" s="735"/>
      <c r="L11" s="735"/>
      <c r="M11" s="735"/>
      <c r="N11" s="735"/>
      <c r="P11" s="477" t="str">
        <f t="shared" ref="P11:P16" si="0">P10</f>
        <v>AOCs</v>
      </c>
      <c r="Q11" s="728" t="str">
        <f>C11</f>
        <v>25G</v>
      </c>
      <c r="R11" s="743">
        <f>E11/E93</f>
        <v>0.4</v>
      </c>
      <c r="S11" s="743">
        <f>F11/F93</f>
        <v>0.5</v>
      </c>
      <c r="T11" s="743"/>
      <c r="U11" s="743"/>
      <c r="V11" s="743"/>
      <c r="W11" s="743"/>
      <c r="X11" s="743"/>
      <c r="Y11" s="743"/>
      <c r="Z11" s="743"/>
      <c r="AA11" s="743"/>
    </row>
    <row r="12" spans="1:27" s="160" customFormat="1" ht="14.5" customHeight="1" x14ac:dyDescent="0.25">
      <c r="A12" s="108"/>
      <c r="B12" s="830"/>
      <c r="C12" s="730" t="s">
        <v>503</v>
      </c>
      <c r="D12" s="450" t="s">
        <v>507</v>
      </c>
      <c r="E12" s="735">
        <v>61023.039999999994</v>
      </c>
      <c r="F12" s="735">
        <v>43727.039999999994</v>
      </c>
      <c r="G12" s="735"/>
      <c r="H12" s="735"/>
      <c r="I12" s="735"/>
      <c r="J12" s="735"/>
      <c r="K12" s="735"/>
      <c r="L12" s="735"/>
      <c r="M12" s="735"/>
      <c r="N12" s="735"/>
      <c r="P12" s="477" t="str">
        <f t="shared" si="0"/>
        <v>AOCs</v>
      </c>
      <c r="Q12" s="728" t="str">
        <f>C12</f>
        <v>40G</v>
      </c>
      <c r="R12" s="743">
        <f>E12/E94</f>
        <v>0.15999999999999998</v>
      </c>
      <c r="S12" s="743">
        <f>F12/F94</f>
        <v>0.17999999999999997</v>
      </c>
      <c r="T12" s="743"/>
      <c r="U12" s="743"/>
      <c r="V12" s="743"/>
      <c r="W12" s="743"/>
      <c r="X12" s="743"/>
      <c r="Y12" s="743"/>
      <c r="Z12" s="743"/>
      <c r="AA12" s="743"/>
    </row>
    <row r="13" spans="1:27" s="160" customFormat="1" ht="14.5" customHeight="1" x14ac:dyDescent="0.25">
      <c r="A13" s="108"/>
      <c r="B13" s="830"/>
      <c r="C13" s="730" t="s">
        <v>430</v>
      </c>
      <c r="D13" s="450" t="s">
        <v>507</v>
      </c>
      <c r="E13" s="735">
        <v>22399.999999999996</v>
      </c>
      <c r="F13" s="735">
        <v>36037.619999999995</v>
      </c>
      <c r="G13" s="735"/>
      <c r="H13" s="735"/>
      <c r="I13" s="735"/>
      <c r="J13" s="735"/>
      <c r="K13" s="735"/>
      <c r="L13" s="735"/>
      <c r="M13" s="735"/>
      <c r="N13" s="735"/>
      <c r="P13" s="477" t="str">
        <f t="shared" si="0"/>
        <v>AOCs</v>
      </c>
      <c r="Q13" s="728" t="str">
        <f>C13</f>
        <v>100G</v>
      </c>
      <c r="R13" s="743">
        <f>E13/E95</f>
        <v>0.15999999999999998</v>
      </c>
      <c r="S13" s="743">
        <f>F13/F95</f>
        <v>0.17999999999999997</v>
      </c>
      <c r="T13" s="743"/>
      <c r="U13" s="743"/>
      <c r="V13" s="743"/>
      <c r="W13" s="743"/>
      <c r="X13" s="743"/>
      <c r="Y13" s="743"/>
      <c r="Z13" s="743"/>
      <c r="AA13" s="743"/>
    </row>
    <row r="14" spans="1:27" s="160" customFormat="1" ht="14.5" customHeight="1" x14ac:dyDescent="0.25">
      <c r="A14" s="108"/>
      <c r="B14" s="830"/>
      <c r="C14" s="730" t="s">
        <v>431</v>
      </c>
      <c r="D14" s="450" t="s">
        <v>507</v>
      </c>
      <c r="E14" s="735">
        <v>0</v>
      </c>
      <c r="F14" s="735">
        <v>0</v>
      </c>
      <c r="G14" s="735"/>
      <c r="H14" s="735"/>
      <c r="I14" s="735"/>
      <c r="J14" s="735"/>
      <c r="K14" s="735"/>
      <c r="L14" s="735"/>
      <c r="M14" s="735"/>
      <c r="N14" s="735"/>
      <c r="P14" s="477" t="str">
        <f t="shared" si="0"/>
        <v>AOCs</v>
      </c>
      <c r="Q14" s="728" t="str">
        <f>C14</f>
        <v>200G</v>
      </c>
      <c r="R14" s="743"/>
      <c r="S14" s="743"/>
      <c r="T14" s="743"/>
      <c r="U14" s="743"/>
      <c r="V14" s="743"/>
      <c r="W14" s="743"/>
      <c r="X14" s="743"/>
      <c r="Y14" s="743"/>
      <c r="Z14" s="743"/>
      <c r="AA14" s="743"/>
    </row>
    <row r="15" spans="1:27" s="160" customFormat="1" ht="14.5" customHeight="1" x14ac:dyDescent="0.25">
      <c r="A15" s="108"/>
      <c r="B15" s="830"/>
      <c r="C15" s="730" t="s">
        <v>508</v>
      </c>
      <c r="D15" s="450" t="s">
        <v>509</v>
      </c>
      <c r="E15" s="735">
        <v>0</v>
      </c>
      <c r="F15" s="735">
        <v>0</v>
      </c>
      <c r="G15" s="735"/>
      <c r="H15" s="735"/>
      <c r="I15" s="735"/>
      <c r="J15" s="735"/>
      <c r="K15" s="735"/>
      <c r="L15" s="735"/>
      <c r="M15" s="735"/>
      <c r="N15" s="735"/>
      <c r="P15" s="477" t="str">
        <f t="shared" si="0"/>
        <v>AOCs</v>
      </c>
      <c r="Q15" s="728" t="str">
        <f>C15</f>
        <v xml:space="preserve">≥400G </v>
      </c>
      <c r="R15" s="743"/>
      <c r="S15" s="743"/>
      <c r="T15" s="743"/>
      <c r="U15" s="743"/>
      <c r="V15" s="743"/>
      <c r="W15" s="743"/>
      <c r="X15" s="743"/>
      <c r="Y15" s="743"/>
      <c r="Z15" s="743"/>
      <c r="AA15" s="743"/>
    </row>
    <row r="16" spans="1:27" s="160" customFormat="1" x14ac:dyDescent="0.25">
      <c r="A16" s="108"/>
      <c r="B16" s="830"/>
      <c r="C16" s="730" t="s">
        <v>510</v>
      </c>
      <c r="D16" s="450" t="s">
        <v>511</v>
      </c>
      <c r="E16" s="735">
        <v>53090.297142857104</v>
      </c>
      <c r="F16" s="735">
        <v>50465.159999999683</v>
      </c>
      <c r="G16" s="735"/>
      <c r="H16" s="735"/>
      <c r="I16" s="735"/>
      <c r="J16" s="735"/>
      <c r="K16" s="735"/>
      <c r="L16" s="735"/>
      <c r="M16" s="735"/>
      <c r="N16" s="735"/>
      <c r="P16" s="734" t="str">
        <f t="shared" si="0"/>
        <v>AOCs</v>
      </c>
      <c r="Q16" s="732" t="str">
        <f>C16</f>
        <v>All Other</v>
      </c>
      <c r="R16" s="744">
        <f>E16/E98</f>
        <v>0.15999999999999986</v>
      </c>
      <c r="S16" s="744">
        <f>F16/F98</f>
        <v>0.17999999999999888</v>
      </c>
      <c r="T16" s="744"/>
      <c r="U16" s="744"/>
      <c r="V16" s="744"/>
      <c r="W16" s="744"/>
      <c r="X16" s="744"/>
      <c r="Y16" s="744"/>
      <c r="Z16" s="744"/>
      <c r="AA16" s="744"/>
    </row>
    <row r="17" spans="1:27" ht="12.5" customHeight="1" x14ac:dyDescent="0.25">
      <c r="A17" s="108"/>
      <c r="B17" s="831"/>
      <c r="C17" s="731" t="s">
        <v>499</v>
      </c>
      <c r="D17" s="434" t="s">
        <v>20</v>
      </c>
      <c r="E17" s="66">
        <f>SUM(E10:E16)</f>
        <v>802184.53714285721</v>
      </c>
      <c r="F17" s="66">
        <f t="shared" ref="F17:N17" si="1">SUM(F10:F16)</f>
        <v>1831408.3199999998</v>
      </c>
      <c r="G17" s="66"/>
      <c r="H17" s="66"/>
      <c r="I17" s="66"/>
      <c r="J17" s="66"/>
      <c r="K17" s="66"/>
      <c r="L17" s="66"/>
      <c r="M17" s="66"/>
      <c r="N17" s="66"/>
      <c r="O17" s="160"/>
      <c r="P17" s="108"/>
      <c r="Q17" s="108"/>
      <c r="R17" s="108"/>
      <c r="S17" s="108"/>
      <c r="T17" s="108"/>
      <c r="U17" s="108"/>
      <c r="V17" s="108"/>
      <c r="W17" s="108"/>
      <c r="X17" s="108"/>
      <c r="Y17" s="108"/>
      <c r="Z17" s="108"/>
      <c r="AA17" s="108"/>
    </row>
    <row r="18" spans="1:27" s="160" customFormat="1" x14ac:dyDescent="0.25">
      <c r="A18" s="108"/>
      <c r="B18" s="248" t="s">
        <v>132</v>
      </c>
      <c r="C18" s="434"/>
      <c r="D18" s="434"/>
      <c r="E18" s="127">
        <f t="shared" ref="E18:N18" si="2">SUM(E9:E16)</f>
        <v>810134.53714285721</v>
      </c>
      <c r="F18" s="127">
        <f t="shared" si="2"/>
        <v>1855026.5199999996</v>
      </c>
      <c r="G18" s="127"/>
      <c r="H18" s="127"/>
      <c r="I18" s="127"/>
      <c r="J18" s="127"/>
      <c r="K18" s="127"/>
      <c r="L18" s="127"/>
      <c r="M18" s="127"/>
      <c r="N18" s="127"/>
    </row>
    <row r="19" spans="1:27" x14ac:dyDescent="0.25">
      <c r="B19" s="56"/>
      <c r="C19" s="15"/>
      <c r="D19" s="15"/>
      <c r="E19" s="8"/>
      <c r="F19" s="8">
        <f t="shared" ref="F19:K19" si="3">IF(E17=0,"",F17/E17-1)</f>
        <v>1.2830262055697705</v>
      </c>
      <c r="G19" s="8"/>
      <c r="H19" s="8"/>
      <c r="I19" s="8"/>
      <c r="J19" s="8"/>
      <c r="K19" s="8"/>
      <c r="L19" s="8"/>
      <c r="M19" s="8"/>
      <c r="N19" s="8"/>
      <c r="O19" s="160"/>
    </row>
    <row r="20" spans="1:27" ht="13" x14ac:dyDescent="0.3">
      <c r="A20" s="114"/>
      <c r="B20" s="219" t="s">
        <v>53</v>
      </c>
      <c r="C20" s="273" t="str">
        <f>$C$7</f>
        <v>AOCs/EOMs - China only</v>
      </c>
      <c r="D20" s="273"/>
      <c r="E20" s="254"/>
      <c r="F20" s="254"/>
      <c r="G20" s="254"/>
      <c r="H20" s="254"/>
      <c r="I20" s="254"/>
      <c r="K20" s="686" t="str">
        <f>B20</f>
        <v>ASP ($)</v>
      </c>
      <c r="M20" s="687"/>
      <c r="N20" s="688" t="str">
        <f>C20</f>
        <v>AOCs/EOMs - China only</v>
      </c>
      <c r="O20" s="160"/>
    </row>
    <row r="21" spans="1:27" x14ac:dyDescent="0.25">
      <c r="A21" s="107"/>
      <c r="B21" s="209" t="s">
        <v>54</v>
      </c>
      <c r="C21" s="208" t="s">
        <v>10</v>
      </c>
      <c r="D21" s="208"/>
      <c r="E21" s="143">
        <v>2016</v>
      </c>
      <c r="F21" s="57">
        <v>2017</v>
      </c>
      <c r="G21" s="143">
        <v>2018</v>
      </c>
      <c r="H21" s="143">
        <v>2019</v>
      </c>
      <c r="I21" s="143">
        <v>2020</v>
      </c>
      <c r="J21" s="143">
        <v>2021</v>
      </c>
      <c r="K21" s="143">
        <v>2022</v>
      </c>
      <c r="L21" s="143">
        <v>2023</v>
      </c>
      <c r="M21" s="143">
        <v>2024</v>
      </c>
      <c r="N21" s="143">
        <v>2025</v>
      </c>
      <c r="O21" s="160"/>
    </row>
    <row r="22" spans="1:27" ht="15" customHeight="1" x14ac:dyDescent="0.25">
      <c r="A22" s="106"/>
      <c r="B22" s="430" t="str">
        <f t="shared" ref="B22:D29" si="4">B9</f>
        <v>EOM</v>
      </c>
      <c r="C22" s="450" t="str">
        <f t="shared" si="4"/>
        <v>All</v>
      </c>
      <c r="D22" s="450" t="str">
        <f t="shared" si="4"/>
        <v>All</v>
      </c>
      <c r="E22" s="737">
        <v>458.28301165637117</v>
      </c>
      <c r="F22" s="737">
        <v>419</v>
      </c>
      <c r="G22" s="737"/>
      <c r="H22" s="737"/>
      <c r="I22" s="737"/>
      <c r="J22" s="737"/>
      <c r="K22" s="737"/>
      <c r="L22" s="737"/>
      <c r="M22" s="737"/>
      <c r="N22" s="737"/>
      <c r="O22" s="160"/>
    </row>
    <row r="23" spans="1:27" ht="14" customHeight="1" x14ac:dyDescent="0.25">
      <c r="A23" s="106"/>
      <c r="B23" s="832" t="str">
        <f t="shared" si="4"/>
        <v>Active Optical Cables (AOCs)</v>
      </c>
      <c r="C23" s="500" t="str">
        <f t="shared" si="4"/>
        <v>10G</v>
      </c>
      <c r="D23" s="500" t="str">
        <f t="shared" si="4"/>
        <v>SFP, QSFP</v>
      </c>
      <c r="E23" s="543">
        <v>24.310908090186217</v>
      </c>
      <c r="F23" s="543">
        <v>18.729353700291334</v>
      </c>
      <c r="G23" s="543"/>
      <c r="H23" s="543"/>
      <c r="I23" s="543"/>
      <c r="J23" s="543"/>
      <c r="K23" s="543"/>
      <c r="L23" s="543"/>
      <c r="M23" s="543"/>
      <c r="N23" s="543"/>
      <c r="O23" s="160"/>
    </row>
    <row r="24" spans="1:27" s="160" customFormat="1" ht="14" customHeight="1" x14ac:dyDescent="0.25">
      <c r="A24" s="106"/>
      <c r="B24" s="832"/>
      <c r="C24" s="500" t="str">
        <f t="shared" si="4"/>
        <v>25G</v>
      </c>
      <c r="D24" s="500" t="str">
        <f t="shared" si="4"/>
        <v>SFP, QSFP</v>
      </c>
      <c r="E24" s="543">
        <v>110</v>
      </c>
      <c r="F24" s="543">
        <v>77.02469352835007</v>
      </c>
      <c r="G24" s="543"/>
      <c r="H24" s="543"/>
      <c r="I24" s="543"/>
      <c r="J24" s="543"/>
      <c r="K24" s="543"/>
      <c r="L24" s="543"/>
      <c r="M24" s="543"/>
      <c r="N24" s="543"/>
    </row>
    <row r="25" spans="1:27" s="160" customFormat="1" ht="14" customHeight="1" x14ac:dyDescent="0.25">
      <c r="A25" s="106"/>
      <c r="B25" s="832"/>
      <c r="C25" s="500" t="str">
        <f t="shared" si="4"/>
        <v>40G</v>
      </c>
      <c r="D25" s="500" t="str">
        <f t="shared" si="4"/>
        <v>SFP, QSFP</v>
      </c>
      <c r="E25" s="543">
        <v>108.30666895603284</v>
      </c>
      <c r="F25" s="543">
        <v>107.39647961535924</v>
      </c>
      <c r="G25" s="543"/>
      <c r="H25" s="543"/>
      <c r="I25" s="543"/>
      <c r="J25" s="543"/>
      <c r="K25" s="543"/>
      <c r="L25" s="543"/>
      <c r="M25" s="543"/>
      <c r="N25" s="543"/>
    </row>
    <row r="26" spans="1:27" s="160" customFormat="1" ht="14" customHeight="1" x14ac:dyDescent="0.25">
      <c r="A26" s="106"/>
      <c r="B26" s="832"/>
      <c r="C26" s="500" t="str">
        <f t="shared" si="4"/>
        <v>100G</v>
      </c>
      <c r="D26" s="500" t="str">
        <f t="shared" si="4"/>
        <v>SFP, QSFP</v>
      </c>
      <c r="E26" s="543">
        <v>0</v>
      </c>
      <c r="F26" s="543">
        <v>0</v>
      </c>
      <c r="G26" s="543"/>
      <c r="H26" s="543"/>
      <c r="I26" s="543"/>
      <c r="J26" s="543"/>
      <c r="K26" s="543"/>
      <c r="L26" s="543"/>
      <c r="M26" s="543"/>
      <c r="N26" s="543"/>
    </row>
    <row r="27" spans="1:27" s="160" customFormat="1" ht="14" customHeight="1" x14ac:dyDescent="0.25">
      <c r="A27" s="106"/>
      <c r="B27" s="832"/>
      <c r="C27" s="500" t="str">
        <f t="shared" si="4"/>
        <v>200G</v>
      </c>
      <c r="D27" s="500" t="str">
        <f t="shared" si="4"/>
        <v>SFP, QSFP</v>
      </c>
      <c r="E27" s="543"/>
      <c r="F27" s="543"/>
      <c r="G27" s="543"/>
      <c r="H27" s="543"/>
      <c r="I27" s="543"/>
      <c r="J27" s="543"/>
      <c r="K27" s="543"/>
      <c r="L27" s="543"/>
      <c r="M27" s="543"/>
      <c r="N27" s="543"/>
    </row>
    <row r="28" spans="1:27" s="160" customFormat="1" ht="14" customHeight="1" x14ac:dyDescent="0.25">
      <c r="A28" s="106"/>
      <c r="B28" s="832"/>
      <c r="C28" s="500" t="str">
        <f t="shared" si="4"/>
        <v xml:space="preserve">≥400G </v>
      </c>
      <c r="D28" s="500" t="str">
        <f t="shared" si="4"/>
        <v>QSFP-DD, OSFP</v>
      </c>
      <c r="E28" s="543"/>
      <c r="F28" s="543"/>
      <c r="G28" s="543"/>
      <c r="H28" s="543"/>
      <c r="I28" s="543"/>
      <c r="J28" s="543"/>
      <c r="K28" s="543"/>
      <c r="L28" s="543"/>
      <c r="M28" s="543"/>
      <c r="N28" s="543"/>
    </row>
    <row r="29" spans="1:27" s="160" customFormat="1" ht="13.5" customHeight="1" x14ac:dyDescent="0.25">
      <c r="A29" s="106"/>
      <c r="B29" s="832"/>
      <c r="C29" s="500" t="str">
        <f t="shared" si="4"/>
        <v>All Other</v>
      </c>
      <c r="D29" s="500" t="str">
        <f t="shared" si="4"/>
        <v>Mini-SAS HD, CXP, QSFP</v>
      </c>
      <c r="E29" s="543">
        <v>445.04157236627304</v>
      </c>
      <c r="F29" s="543">
        <v>401.41200780969223</v>
      </c>
      <c r="G29" s="543"/>
      <c r="H29" s="543"/>
      <c r="I29" s="543"/>
      <c r="J29" s="543"/>
      <c r="K29" s="543"/>
      <c r="L29" s="543"/>
      <c r="M29" s="543"/>
      <c r="N29" s="543"/>
      <c r="O29" s="579"/>
    </row>
    <row r="30" spans="1:27" x14ac:dyDescent="0.25">
      <c r="B30" s="15"/>
      <c r="C30" s="71"/>
      <c r="D30" s="71"/>
      <c r="E30" s="15"/>
      <c r="F30" s="15"/>
      <c r="G30" s="15"/>
      <c r="H30" s="15"/>
      <c r="I30" s="15"/>
      <c r="L30" s="15"/>
      <c r="M30" s="15"/>
      <c r="N30" s="15"/>
      <c r="P30" s="160"/>
      <c r="Q30" s="160"/>
      <c r="R30" s="160"/>
      <c r="S30" s="160"/>
      <c r="T30" s="160"/>
      <c r="U30" s="160"/>
      <c r="V30" s="160"/>
      <c r="W30" s="160"/>
      <c r="X30" s="160"/>
      <c r="Y30" s="160"/>
      <c r="Z30" s="160"/>
    </row>
    <row r="31" spans="1:27" ht="12" customHeight="1" x14ac:dyDescent="0.3">
      <c r="A31" s="115"/>
      <c r="B31" s="219" t="s">
        <v>1</v>
      </c>
      <c r="C31" s="273" t="str">
        <f>$C$7</f>
        <v>AOCs/EOMs - China only</v>
      </c>
      <c r="D31" s="273"/>
      <c r="E31" s="160"/>
      <c r="F31" s="160"/>
      <c r="G31" s="160"/>
      <c r="K31" s="686" t="str">
        <f>B31</f>
        <v>Sales ($M)</v>
      </c>
      <c r="M31" s="687"/>
      <c r="N31" s="688" t="str">
        <f>C31</f>
        <v>AOCs/EOMs - China only</v>
      </c>
      <c r="P31" s="160"/>
      <c r="Q31" s="160"/>
      <c r="R31" s="160"/>
      <c r="S31" s="160"/>
      <c r="T31" s="160"/>
      <c r="U31" s="160"/>
      <c r="V31" s="160"/>
      <c r="W31" s="160"/>
      <c r="X31" s="160"/>
      <c r="Y31" s="160"/>
      <c r="Z31" s="160"/>
    </row>
    <row r="32" spans="1:27" x14ac:dyDescent="0.25">
      <c r="A32" s="107"/>
      <c r="B32" s="209" t="s">
        <v>54</v>
      </c>
      <c r="C32" s="208" t="s">
        <v>10</v>
      </c>
      <c r="D32" s="208"/>
      <c r="E32" s="143">
        <v>2016</v>
      </c>
      <c r="F32" s="57">
        <v>2017</v>
      </c>
      <c r="G32" s="143">
        <v>2018</v>
      </c>
      <c r="H32" s="143">
        <v>2019</v>
      </c>
      <c r="I32" s="143">
        <v>2020</v>
      </c>
      <c r="J32" s="143">
        <v>2021</v>
      </c>
      <c r="K32" s="143">
        <v>2022</v>
      </c>
      <c r="L32" s="143">
        <v>2023</v>
      </c>
      <c r="M32" s="143">
        <v>2024</v>
      </c>
      <c r="N32" s="143">
        <v>2025</v>
      </c>
      <c r="P32" s="160"/>
      <c r="Q32" s="160"/>
      <c r="R32" s="160"/>
      <c r="S32" s="160"/>
      <c r="T32" s="160"/>
      <c r="U32" s="160"/>
      <c r="V32" s="160"/>
      <c r="W32" s="160"/>
      <c r="X32" s="160"/>
      <c r="Y32" s="160"/>
      <c r="Z32" s="160"/>
    </row>
    <row r="33" spans="1:26" ht="16" customHeight="1" x14ac:dyDescent="0.25">
      <c r="A33" s="106"/>
      <c r="B33" s="430" t="str">
        <f t="shared" ref="B33:D34" si="5">B22</f>
        <v>EOM</v>
      </c>
      <c r="C33" s="450" t="str">
        <f t="shared" si="5"/>
        <v>All</v>
      </c>
      <c r="D33" s="450" t="str">
        <f t="shared" si="5"/>
        <v>All</v>
      </c>
      <c r="E33" s="48">
        <f t="shared" ref="E33:N33" si="6">E22*E9/10^6</f>
        <v>3.6433499426681508</v>
      </c>
      <c r="F33" s="48">
        <f t="shared" si="6"/>
        <v>9.8960258000000003</v>
      </c>
      <c r="G33" s="48"/>
      <c r="H33" s="48"/>
      <c r="I33" s="48"/>
      <c r="J33" s="48"/>
      <c r="K33" s="48"/>
      <c r="L33" s="48"/>
      <c r="M33" s="48"/>
      <c r="N33" s="48"/>
      <c r="P33" s="160"/>
      <c r="Q33" s="160"/>
      <c r="R33" s="160"/>
      <c r="S33" s="160"/>
      <c r="T33" s="160"/>
      <c r="U33" s="160"/>
      <c r="V33" s="160"/>
      <c r="W33" s="160"/>
      <c r="X33" s="160"/>
      <c r="Y33" s="160"/>
      <c r="Z33" s="160"/>
    </row>
    <row r="34" spans="1:26" ht="12.75" customHeight="1" x14ac:dyDescent="0.25">
      <c r="A34" s="106"/>
      <c r="B34" s="833" t="str">
        <f t="shared" si="5"/>
        <v>Active Optical Cables (AOCs)</v>
      </c>
      <c r="C34" s="500" t="str">
        <f t="shared" si="5"/>
        <v>10G</v>
      </c>
      <c r="D34" s="500" t="str">
        <f t="shared" si="5"/>
        <v>SFP, QSFP</v>
      </c>
      <c r="E34" s="48">
        <f t="shared" ref="E34:N40" si="7">E23*E10/10^6</f>
        <v>16.085827729123224</v>
      </c>
      <c r="F34" s="48">
        <f t="shared" si="7"/>
        <v>30.263873000000004</v>
      </c>
      <c r="G34" s="48"/>
      <c r="H34" s="48"/>
      <c r="I34" s="48"/>
      <c r="J34" s="48"/>
      <c r="K34" s="48"/>
      <c r="L34" s="48"/>
      <c r="M34" s="48"/>
      <c r="N34" s="48"/>
      <c r="P34" s="160"/>
      <c r="Q34" s="160"/>
      <c r="R34" s="160"/>
      <c r="S34" s="160"/>
      <c r="T34" s="160"/>
      <c r="U34" s="160"/>
      <c r="V34" s="160"/>
      <c r="W34" s="160"/>
      <c r="X34" s="160"/>
      <c r="Y34" s="160"/>
      <c r="Z34" s="160"/>
    </row>
    <row r="35" spans="1:26" s="160" customFormat="1" ht="12.75" customHeight="1" x14ac:dyDescent="0.25">
      <c r="A35" s="106"/>
      <c r="B35" s="833"/>
      <c r="C35" s="500" t="str">
        <f t="shared" ref="C35:D40" si="8">C24</f>
        <v>25G</v>
      </c>
      <c r="D35" s="500" t="str">
        <f t="shared" si="8"/>
        <v>SFP, QSFP</v>
      </c>
      <c r="E35" s="48">
        <f t="shared" si="7"/>
        <v>0.44</v>
      </c>
      <c r="F35" s="48">
        <f t="shared" si="7"/>
        <v>6.5722089999999982</v>
      </c>
      <c r="G35" s="48"/>
      <c r="H35" s="48"/>
      <c r="I35" s="48"/>
      <c r="J35" s="48"/>
      <c r="K35" s="48"/>
      <c r="L35" s="48"/>
      <c r="M35" s="48"/>
      <c r="N35" s="48"/>
    </row>
    <row r="36" spans="1:26" s="160" customFormat="1" ht="12.75" customHeight="1" x14ac:dyDescent="0.25">
      <c r="A36" s="106"/>
      <c r="B36" s="833"/>
      <c r="C36" s="500" t="str">
        <f t="shared" si="8"/>
        <v>40G</v>
      </c>
      <c r="D36" s="500" t="str">
        <f t="shared" si="8"/>
        <v>SFP, QSFP</v>
      </c>
      <c r="E36" s="48">
        <f t="shared" si="7"/>
        <v>6.6092021919707493</v>
      </c>
      <c r="F36" s="48">
        <f t="shared" si="7"/>
        <v>4.6961301599999974</v>
      </c>
      <c r="G36" s="48"/>
      <c r="H36" s="48"/>
      <c r="I36" s="48"/>
      <c r="J36" s="48"/>
      <c r="K36" s="48"/>
      <c r="L36" s="48"/>
      <c r="M36" s="48"/>
      <c r="N36" s="48"/>
    </row>
    <row r="37" spans="1:26" s="160" customFormat="1" ht="12.75" customHeight="1" x14ac:dyDescent="0.25">
      <c r="A37" s="106"/>
      <c r="B37" s="833"/>
      <c r="C37" s="500" t="str">
        <f t="shared" si="8"/>
        <v>100G</v>
      </c>
      <c r="D37" s="500" t="str">
        <f t="shared" si="8"/>
        <v>SFP, QSFP</v>
      </c>
      <c r="E37" s="48">
        <f t="shared" si="7"/>
        <v>0</v>
      </c>
      <c r="F37" s="48">
        <f t="shared" si="7"/>
        <v>0</v>
      </c>
      <c r="G37" s="48"/>
      <c r="H37" s="48"/>
      <c r="I37" s="48"/>
      <c r="J37" s="48"/>
      <c r="K37" s="48"/>
      <c r="L37" s="48"/>
      <c r="M37" s="48"/>
      <c r="N37" s="48"/>
    </row>
    <row r="38" spans="1:26" s="160" customFormat="1" ht="12.75" customHeight="1" x14ac:dyDescent="0.25">
      <c r="A38" s="106"/>
      <c r="B38" s="833"/>
      <c r="C38" s="500" t="str">
        <f t="shared" si="8"/>
        <v>200G</v>
      </c>
      <c r="D38" s="500" t="str">
        <f t="shared" si="8"/>
        <v>SFP, QSFP</v>
      </c>
      <c r="E38" s="48">
        <f t="shared" si="7"/>
        <v>0</v>
      </c>
      <c r="F38" s="48">
        <f t="shared" si="7"/>
        <v>0</v>
      </c>
      <c r="G38" s="48"/>
      <c r="H38" s="48"/>
      <c r="I38" s="48"/>
      <c r="J38" s="48"/>
      <c r="K38" s="48"/>
      <c r="L38" s="48"/>
      <c r="M38" s="48"/>
      <c r="N38" s="48"/>
    </row>
    <row r="39" spans="1:26" s="160" customFormat="1" ht="12.75" customHeight="1" x14ac:dyDescent="0.25">
      <c r="A39" s="106"/>
      <c r="B39" s="833"/>
      <c r="C39" s="500" t="str">
        <f t="shared" si="8"/>
        <v xml:space="preserve">≥400G </v>
      </c>
      <c r="D39" s="500" t="str">
        <f t="shared" si="8"/>
        <v>QSFP-DD, OSFP</v>
      </c>
      <c r="E39" s="48">
        <f t="shared" si="7"/>
        <v>0</v>
      </c>
      <c r="F39" s="48">
        <f t="shared" si="7"/>
        <v>0</v>
      </c>
      <c r="G39" s="48"/>
      <c r="H39" s="48"/>
      <c r="I39" s="48"/>
      <c r="J39" s="48"/>
      <c r="K39" s="48"/>
      <c r="L39" s="48"/>
      <c r="M39" s="48"/>
      <c r="N39" s="48"/>
    </row>
    <row r="40" spans="1:26" s="160" customFormat="1" ht="12.75" customHeight="1" x14ac:dyDescent="0.25">
      <c r="A40" s="106"/>
      <c r="B40" s="833"/>
      <c r="C40" s="500" t="str">
        <f t="shared" si="8"/>
        <v>All Other</v>
      </c>
      <c r="D40" s="500" t="str">
        <f t="shared" si="8"/>
        <v>Mini-SAS HD, CXP, QSFP</v>
      </c>
      <c r="E40" s="48">
        <f t="shared" si="7"/>
        <v>23.627389317849779</v>
      </c>
      <c r="F40" s="48">
        <f t="shared" si="7"/>
        <v>20.257321200037239</v>
      </c>
      <c r="G40" s="48"/>
      <c r="H40" s="48"/>
      <c r="I40" s="48"/>
      <c r="J40" s="48"/>
      <c r="K40" s="48"/>
      <c r="L40" s="48"/>
      <c r="M40" s="48"/>
      <c r="N40" s="48"/>
    </row>
    <row r="41" spans="1:26" s="160" customFormat="1" ht="12.75" customHeight="1" x14ac:dyDescent="0.25">
      <c r="A41" s="106"/>
      <c r="B41" s="833"/>
      <c r="C41" s="500" t="str">
        <f t="shared" ref="C41:D41" si="9">C17</f>
        <v>Total AOCs</v>
      </c>
      <c r="D41" s="500" t="str">
        <f t="shared" si="9"/>
        <v>All</v>
      </c>
      <c r="E41" s="142">
        <f>SUM(E34:E40)</f>
        <v>46.76241923894375</v>
      </c>
      <c r="F41" s="142">
        <f t="shared" ref="F41" si="10">SUM(F34:F40)</f>
        <v>61.78953336003724</v>
      </c>
      <c r="G41" s="142"/>
      <c r="H41" s="142"/>
      <c r="I41" s="142"/>
      <c r="J41" s="142"/>
      <c r="K41" s="142"/>
      <c r="L41" s="142"/>
      <c r="M41" s="142"/>
      <c r="N41" s="142"/>
    </row>
    <row r="42" spans="1:26" x14ac:dyDescent="0.25">
      <c r="B42" s="248" t="s">
        <v>132</v>
      </c>
      <c r="C42" s="244"/>
      <c r="D42" s="434"/>
      <c r="E42" s="249">
        <f>E41+E33</f>
        <v>50.405769181611902</v>
      </c>
      <c r="F42" s="249">
        <f t="shared" ref="F42:N42" si="11">F41+F33</f>
        <v>71.685559160037243</v>
      </c>
      <c r="G42" s="249"/>
      <c r="H42" s="249"/>
      <c r="I42" s="249"/>
      <c r="J42" s="249"/>
      <c r="K42" s="249"/>
      <c r="L42" s="249"/>
      <c r="M42" s="249"/>
      <c r="N42" s="249"/>
      <c r="P42" s="160"/>
      <c r="Q42" s="160"/>
      <c r="R42" s="160"/>
      <c r="S42" s="160"/>
      <c r="T42" s="160"/>
      <c r="U42" s="160"/>
      <c r="V42" s="160"/>
      <c r="W42" s="160"/>
      <c r="X42" s="160"/>
      <c r="Y42" s="160"/>
      <c r="Z42" s="160"/>
    </row>
    <row r="43" spans="1:26" x14ac:dyDescent="0.25">
      <c r="B43" s="113"/>
      <c r="C43" s="71"/>
      <c r="D43" s="71"/>
      <c r="E43" s="8"/>
      <c r="F43" s="8">
        <f t="shared" ref="F43:N43" si="12">IF(E42=0,"",F42/E42-1)</f>
        <v>0.4221697302496128</v>
      </c>
      <c r="G43" s="8">
        <f t="shared" si="12"/>
        <v>-1</v>
      </c>
      <c r="H43" s="8" t="str">
        <f t="shared" si="12"/>
        <v/>
      </c>
      <c r="I43" s="8" t="str">
        <f t="shared" si="12"/>
        <v/>
      </c>
      <c r="J43" s="8" t="str">
        <f t="shared" si="12"/>
        <v/>
      </c>
      <c r="K43" s="8" t="str">
        <f t="shared" si="12"/>
        <v/>
      </c>
      <c r="L43" s="30" t="str">
        <f t="shared" si="12"/>
        <v/>
      </c>
      <c r="M43" s="30" t="str">
        <f t="shared" si="12"/>
        <v/>
      </c>
      <c r="N43" s="30" t="str">
        <f t="shared" si="12"/>
        <v/>
      </c>
      <c r="P43" s="160"/>
      <c r="Q43" s="160"/>
      <c r="R43" s="160"/>
      <c r="S43" s="160"/>
      <c r="T43" s="160"/>
      <c r="U43" s="160"/>
      <c r="V43" s="160"/>
      <c r="W43" s="160"/>
      <c r="X43" s="160"/>
      <c r="Y43" s="160"/>
      <c r="Z43" s="160"/>
    </row>
    <row r="44" spans="1:26" x14ac:dyDescent="0.25">
      <c r="E44" s="160"/>
      <c r="F44" s="160"/>
      <c r="G44" s="160"/>
      <c r="K44" s="160"/>
      <c r="P44" s="160"/>
      <c r="Q44" s="160"/>
      <c r="R44" s="160"/>
      <c r="S44" s="160"/>
      <c r="T44" s="160"/>
      <c r="U44" s="160"/>
      <c r="V44" s="160"/>
      <c r="W44" s="160"/>
      <c r="X44" s="160"/>
      <c r="Y44" s="160"/>
      <c r="Z44" s="160"/>
    </row>
    <row r="45" spans="1:26" x14ac:dyDescent="0.25">
      <c r="B45" s="445"/>
      <c r="C45" s="445"/>
      <c r="D45" s="445"/>
      <c r="E45" s="445"/>
      <c r="F45" s="445"/>
      <c r="G45" s="445"/>
      <c r="H45" s="445"/>
      <c r="I45" s="445"/>
      <c r="J45" s="445"/>
      <c r="K45" s="445"/>
      <c r="L45" s="445"/>
      <c r="M45" s="445"/>
      <c r="N45" s="445"/>
      <c r="P45" s="160"/>
      <c r="Q45" s="160"/>
      <c r="R45" s="160"/>
      <c r="S45" s="160"/>
      <c r="T45" s="160"/>
      <c r="U45" s="160"/>
      <c r="V45" s="160"/>
      <c r="W45" s="160"/>
      <c r="X45" s="160"/>
      <c r="Y45" s="160"/>
      <c r="Z45" s="160"/>
    </row>
    <row r="46" spans="1:26" x14ac:dyDescent="0.25">
      <c r="B46"/>
      <c r="C46"/>
      <c r="E46"/>
      <c r="F46"/>
      <c r="G46"/>
      <c r="H46"/>
      <c r="I46"/>
      <c r="J46"/>
      <c r="K46"/>
      <c r="L46"/>
      <c r="P46" s="160"/>
      <c r="Q46" s="160"/>
      <c r="R46" s="160"/>
      <c r="S46" s="160"/>
      <c r="T46" s="160"/>
      <c r="U46" s="160"/>
      <c r="V46" s="160"/>
      <c r="W46" s="160"/>
      <c r="X46" s="160"/>
      <c r="Y46" s="160"/>
      <c r="Z46" s="160"/>
    </row>
    <row r="47" spans="1:26" x14ac:dyDescent="0.25">
      <c r="B47"/>
      <c r="C47"/>
      <c r="E47"/>
      <c r="F47"/>
      <c r="G47"/>
      <c r="H47"/>
      <c r="I47"/>
      <c r="J47"/>
      <c r="K47"/>
      <c r="L47"/>
      <c r="P47" s="160"/>
      <c r="Q47" s="160"/>
      <c r="R47" s="160"/>
      <c r="S47" s="160"/>
      <c r="T47" s="160"/>
      <c r="U47" s="160"/>
      <c r="V47" s="160"/>
      <c r="W47" s="160"/>
      <c r="X47" s="160"/>
      <c r="Y47" s="160"/>
      <c r="Z47" s="160"/>
    </row>
    <row r="48" spans="1:26" s="160" customFormat="1" ht="13" x14ac:dyDescent="0.3">
      <c r="A48" s="56"/>
      <c r="B48" s="221" t="s">
        <v>0</v>
      </c>
      <c r="C48" s="449" t="s">
        <v>261</v>
      </c>
      <c r="D48" s="449"/>
      <c r="F48" s="15"/>
      <c r="G48" s="15"/>
      <c r="H48" s="15"/>
      <c r="I48" s="15"/>
      <c r="K48" s="686" t="str">
        <f>B48</f>
        <v>Units</v>
      </c>
      <c r="M48" s="687"/>
      <c r="N48" s="688" t="str">
        <f>C48</f>
        <v>AOCs/EOMs - Rest of World</v>
      </c>
    </row>
    <row r="49" spans="1:15" s="160" customFormat="1" x14ac:dyDescent="0.25">
      <c r="A49" s="107"/>
      <c r="B49" s="208" t="s">
        <v>54</v>
      </c>
      <c r="C49" s="208" t="s">
        <v>10</v>
      </c>
      <c r="D49" s="208"/>
      <c r="E49" s="143">
        <v>2016</v>
      </c>
      <c r="F49" s="57">
        <v>2017</v>
      </c>
      <c r="G49" s="143">
        <v>2018</v>
      </c>
      <c r="H49" s="143">
        <v>2019</v>
      </c>
      <c r="I49" s="143">
        <v>2020</v>
      </c>
      <c r="J49" s="143">
        <v>2021</v>
      </c>
      <c r="K49" s="143">
        <v>2022</v>
      </c>
      <c r="L49" s="143">
        <v>2023</v>
      </c>
      <c r="M49" s="143">
        <v>2024</v>
      </c>
      <c r="N49" s="143">
        <v>2025</v>
      </c>
    </row>
    <row r="50" spans="1:15" s="160" customFormat="1" ht="14.5" customHeight="1" x14ac:dyDescent="0.25">
      <c r="A50" s="108"/>
      <c r="B50" s="733" t="str">
        <f t="shared" ref="B50:D59" si="13">B9</f>
        <v>EOM</v>
      </c>
      <c r="C50" s="450" t="str">
        <f t="shared" si="13"/>
        <v>All</v>
      </c>
      <c r="D50" s="450" t="str">
        <f t="shared" si="13"/>
        <v>All</v>
      </c>
      <c r="E50" s="738">
        <f>E91-E9</f>
        <v>45050</v>
      </c>
      <c r="F50" s="738">
        <f t="shared" ref="F50:N50" si="14">F91-F9</f>
        <v>94472.8</v>
      </c>
      <c r="G50" s="738"/>
      <c r="H50" s="738"/>
      <c r="I50" s="738"/>
      <c r="J50" s="738"/>
      <c r="K50" s="738"/>
      <c r="L50" s="738"/>
      <c r="M50" s="738"/>
      <c r="N50" s="738"/>
    </row>
    <row r="51" spans="1:15" s="160" customFormat="1" ht="14.5" customHeight="1" x14ac:dyDescent="0.25">
      <c r="A51" s="108"/>
      <c r="B51" s="829" t="str">
        <f t="shared" si="13"/>
        <v>Active Optical Cables (AOCs)</v>
      </c>
      <c r="C51" s="730" t="str">
        <f t="shared" si="13"/>
        <v>10G</v>
      </c>
      <c r="D51" s="450" t="str">
        <f t="shared" si="13"/>
        <v>SFP, QSFP</v>
      </c>
      <c r="E51" s="738">
        <f t="shared" ref="E51:N57" si="15">E92-E10</f>
        <v>992506.79999999993</v>
      </c>
      <c r="F51" s="738">
        <f t="shared" si="15"/>
        <v>1615852.5</v>
      </c>
      <c r="G51" s="738"/>
      <c r="H51" s="738"/>
      <c r="I51" s="738"/>
      <c r="J51" s="738"/>
      <c r="K51" s="738"/>
      <c r="L51" s="738"/>
      <c r="M51" s="738"/>
      <c r="N51" s="738"/>
    </row>
    <row r="52" spans="1:15" s="160" customFormat="1" ht="14.5" customHeight="1" x14ac:dyDescent="0.25">
      <c r="A52" s="108"/>
      <c r="B52" s="830"/>
      <c r="C52" s="730" t="str">
        <f t="shared" si="13"/>
        <v>25G</v>
      </c>
      <c r="D52" s="450" t="str">
        <f t="shared" si="13"/>
        <v>SFP, QSFP</v>
      </c>
      <c r="E52" s="738">
        <f t="shared" si="15"/>
        <v>6000</v>
      </c>
      <c r="F52" s="738">
        <f t="shared" si="15"/>
        <v>85326</v>
      </c>
      <c r="G52" s="738"/>
      <c r="H52" s="738"/>
      <c r="I52" s="738"/>
      <c r="J52" s="738"/>
      <c r="K52" s="738"/>
      <c r="L52" s="738"/>
      <c r="M52" s="738"/>
      <c r="N52" s="738"/>
    </row>
    <row r="53" spans="1:15" s="160" customFormat="1" ht="14.5" customHeight="1" x14ac:dyDescent="0.25">
      <c r="A53" s="108"/>
      <c r="B53" s="830"/>
      <c r="C53" s="730" t="str">
        <f t="shared" si="13"/>
        <v>40G</v>
      </c>
      <c r="D53" s="450" t="str">
        <f t="shared" si="13"/>
        <v>SFP, QSFP</v>
      </c>
      <c r="E53" s="738">
        <f t="shared" si="15"/>
        <v>320370.96000000002</v>
      </c>
      <c r="F53" s="738">
        <f t="shared" si="15"/>
        <v>199200.96000000002</v>
      </c>
      <c r="G53" s="738"/>
      <c r="H53" s="738"/>
      <c r="I53" s="738"/>
      <c r="J53" s="738"/>
      <c r="K53" s="738"/>
      <c r="L53" s="738"/>
      <c r="M53" s="738"/>
      <c r="N53" s="738"/>
    </row>
    <row r="54" spans="1:15" s="160" customFormat="1" ht="14.5" customHeight="1" x14ac:dyDescent="0.25">
      <c r="A54" s="108"/>
      <c r="B54" s="830"/>
      <c r="C54" s="730" t="str">
        <f t="shared" si="13"/>
        <v>100G</v>
      </c>
      <c r="D54" s="450" t="str">
        <f t="shared" si="13"/>
        <v>SFP, QSFP</v>
      </c>
      <c r="E54" s="738">
        <f t="shared" si="15"/>
        <v>117600</v>
      </c>
      <c r="F54" s="738">
        <f t="shared" si="15"/>
        <v>164171.38</v>
      </c>
      <c r="G54" s="738"/>
      <c r="H54" s="738"/>
      <c r="I54" s="738"/>
      <c r="J54" s="738"/>
      <c r="K54" s="738"/>
      <c r="L54" s="738"/>
      <c r="M54" s="738"/>
      <c r="N54" s="738"/>
    </row>
    <row r="55" spans="1:15" s="160" customFormat="1" ht="14.5" customHeight="1" x14ac:dyDescent="0.25">
      <c r="A55" s="108"/>
      <c r="B55" s="830"/>
      <c r="C55" s="730" t="str">
        <f t="shared" si="13"/>
        <v>200G</v>
      </c>
      <c r="D55" s="450" t="str">
        <f t="shared" si="13"/>
        <v>SFP, QSFP</v>
      </c>
      <c r="E55" s="738">
        <f t="shared" si="15"/>
        <v>0</v>
      </c>
      <c r="F55" s="738">
        <f t="shared" si="15"/>
        <v>0</v>
      </c>
      <c r="G55" s="738"/>
      <c r="H55" s="738"/>
      <c r="I55" s="738"/>
      <c r="J55" s="738"/>
      <c r="K55" s="738"/>
      <c r="L55" s="738"/>
      <c r="M55" s="738"/>
      <c r="N55" s="738"/>
    </row>
    <row r="56" spans="1:15" s="160" customFormat="1" ht="14.5" customHeight="1" x14ac:dyDescent="0.25">
      <c r="A56" s="108"/>
      <c r="B56" s="830"/>
      <c r="C56" s="730" t="str">
        <f t="shared" si="13"/>
        <v xml:space="preserve">≥400G </v>
      </c>
      <c r="D56" s="450" t="str">
        <f t="shared" si="13"/>
        <v>QSFP-DD, OSFP</v>
      </c>
      <c r="E56" s="738">
        <f t="shared" si="15"/>
        <v>0</v>
      </c>
      <c r="F56" s="738">
        <f t="shared" si="15"/>
        <v>0</v>
      </c>
      <c r="G56" s="738"/>
      <c r="H56" s="738"/>
      <c r="I56" s="738"/>
      <c r="J56" s="738"/>
      <c r="K56" s="738"/>
      <c r="L56" s="738"/>
      <c r="M56" s="738"/>
      <c r="N56" s="738"/>
    </row>
    <row r="57" spans="1:15" s="160" customFormat="1" ht="14.5" customHeight="1" x14ac:dyDescent="0.25">
      <c r="A57" s="108"/>
      <c r="B57" s="830"/>
      <c r="C57" s="730" t="str">
        <f t="shared" si="13"/>
        <v>All Other</v>
      </c>
      <c r="D57" s="450" t="str">
        <f t="shared" si="13"/>
        <v>Mini-SAS HD, CXP, QSFP</v>
      </c>
      <c r="E57" s="738">
        <f t="shared" si="15"/>
        <v>278724.06000000006</v>
      </c>
      <c r="F57" s="738">
        <f t="shared" si="15"/>
        <v>229896.84000000032</v>
      </c>
      <c r="G57" s="738"/>
      <c r="H57" s="738"/>
      <c r="I57" s="738"/>
      <c r="J57" s="738"/>
      <c r="K57" s="738"/>
      <c r="L57" s="738"/>
      <c r="M57" s="738"/>
      <c r="N57" s="738"/>
    </row>
    <row r="58" spans="1:15" s="160" customFormat="1" ht="12.5" customHeight="1" x14ac:dyDescent="0.25">
      <c r="A58" s="108"/>
      <c r="B58" s="831"/>
      <c r="C58" s="731" t="str">
        <f t="shared" si="13"/>
        <v>Total AOCs</v>
      </c>
      <c r="D58" s="434" t="str">
        <f t="shared" si="13"/>
        <v>All</v>
      </c>
      <c r="E58" s="739">
        <f>SUM(E51:E57)</f>
        <v>1715201.82</v>
      </c>
      <c r="F58" s="739">
        <f t="shared" ref="F58" si="16">SUM(F51:F57)</f>
        <v>2294447.6800000002</v>
      </c>
      <c r="G58" s="739"/>
      <c r="H58" s="739"/>
      <c r="I58" s="739"/>
      <c r="J58" s="739"/>
      <c r="K58" s="739"/>
      <c r="L58" s="739"/>
      <c r="M58" s="739"/>
      <c r="N58" s="739"/>
    </row>
    <row r="59" spans="1:15" s="160" customFormat="1" x14ac:dyDescent="0.25">
      <c r="A59" s="108"/>
      <c r="B59" s="248" t="str">
        <f t="shared" si="13"/>
        <v>Optical Interconnects segment total</v>
      </c>
      <c r="C59" s="434">
        <f t="shared" si="13"/>
        <v>0</v>
      </c>
      <c r="D59" s="434">
        <f t="shared" si="13"/>
        <v>0</v>
      </c>
      <c r="E59" s="740">
        <f t="shared" ref="E59:N59" si="17">SUM(E50:E57)</f>
        <v>1760251.82</v>
      </c>
      <c r="F59" s="740">
        <f t="shared" si="17"/>
        <v>2388920.4800000004</v>
      </c>
      <c r="G59" s="740"/>
      <c r="H59" s="740"/>
      <c r="I59" s="740"/>
      <c r="J59" s="740"/>
      <c r="K59" s="740"/>
      <c r="L59" s="740"/>
      <c r="M59" s="740"/>
      <c r="N59" s="740"/>
    </row>
    <row r="60" spans="1:15" s="160" customFormat="1" x14ac:dyDescent="0.25">
      <c r="A60" s="56"/>
      <c r="B60" s="56"/>
      <c r="C60" s="15"/>
      <c r="D60" s="15"/>
      <c r="E60" s="8"/>
      <c r="F60" s="8">
        <f t="shared" ref="F60" si="18">IF(E58=0,"",F58/E58-1)</f>
        <v>0.33771294622343628</v>
      </c>
      <c r="G60" s="8"/>
      <c r="H60" s="8"/>
      <c r="I60" s="8"/>
      <c r="J60" s="8"/>
      <c r="K60" s="8"/>
      <c r="L60" s="8"/>
      <c r="M60" s="8"/>
      <c r="N60" s="8"/>
      <c r="O60" s="44"/>
    </row>
    <row r="61" spans="1:15" s="160" customFormat="1" ht="13" x14ac:dyDescent="0.3">
      <c r="A61" s="114"/>
      <c r="B61" s="219" t="s">
        <v>53</v>
      </c>
      <c r="C61" s="273" t="str">
        <f>C48</f>
        <v>AOCs/EOMs - Rest of World</v>
      </c>
      <c r="D61" s="273"/>
      <c r="E61" s="254"/>
      <c r="F61" s="254"/>
      <c r="G61" s="254"/>
      <c r="H61" s="254"/>
      <c r="I61" s="254"/>
      <c r="K61" s="686" t="str">
        <f>B61</f>
        <v>ASP ($)</v>
      </c>
      <c r="M61" s="687"/>
      <c r="N61" s="688" t="str">
        <f>C61</f>
        <v>AOCs/EOMs - Rest of World</v>
      </c>
      <c r="O61" s="44"/>
    </row>
    <row r="62" spans="1:15" s="160" customFormat="1" x14ac:dyDescent="0.25">
      <c r="A62" s="107"/>
      <c r="B62" s="209" t="s">
        <v>54</v>
      </c>
      <c r="C62" s="208" t="s">
        <v>10</v>
      </c>
      <c r="D62" s="208"/>
      <c r="E62" s="143">
        <v>2016</v>
      </c>
      <c r="F62" s="57">
        <v>2017</v>
      </c>
      <c r="G62" s="143">
        <v>2018</v>
      </c>
      <c r="H62" s="143">
        <v>2019</v>
      </c>
      <c r="I62" s="143">
        <v>2020</v>
      </c>
      <c r="J62" s="143">
        <v>2021</v>
      </c>
      <c r="K62" s="143">
        <v>2022</v>
      </c>
      <c r="L62" s="143">
        <v>2023</v>
      </c>
      <c r="M62" s="143">
        <v>2024</v>
      </c>
      <c r="N62" s="143">
        <v>2025</v>
      </c>
    </row>
    <row r="63" spans="1:15" s="160" customFormat="1" ht="15" customHeight="1" x14ac:dyDescent="0.25">
      <c r="A63" s="106"/>
      <c r="B63" s="733" t="str">
        <f t="shared" ref="B63:D63" si="19">B50</f>
        <v>EOM</v>
      </c>
      <c r="C63" s="450" t="str">
        <f t="shared" si="19"/>
        <v>All</v>
      </c>
      <c r="D63" s="450" t="str">
        <f t="shared" si="19"/>
        <v>All</v>
      </c>
      <c r="E63" s="316">
        <f>E22</f>
        <v>458.28301165637117</v>
      </c>
      <c r="F63" s="316">
        <f t="shared" ref="F63:N63" si="20">F22</f>
        <v>419</v>
      </c>
      <c r="G63" s="316"/>
      <c r="H63" s="316"/>
      <c r="I63" s="316"/>
      <c r="J63" s="316"/>
      <c r="K63" s="316"/>
      <c r="L63" s="316"/>
      <c r="M63" s="316"/>
      <c r="N63" s="316"/>
    </row>
    <row r="64" spans="1:15" s="160" customFormat="1" ht="14" customHeight="1" x14ac:dyDescent="0.25">
      <c r="A64" s="106"/>
      <c r="B64" s="832" t="str">
        <f t="shared" ref="B64:D64" si="21">B51</f>
        <v>Active Optical Cables (AOCs)</v>
      </c>
      <c r="C64" s="500" t="str">
        <f t="shared" si="21"/>
        <v>10G</v>
      </c>
      <c r="D64" s="500" t="str">
        <f t="shared" si="21"/>
        <v>SFP, QSFP</v>
      </c>
      <c r="E64" s="316">
        <f t="shared" ref="E64:N70" si="22">E23</f>
        <v>24.310908090186217</v>
      </c>
      <c r="F64" s="316">
        <f t="shared" si="22"/>
        <v>18.729353700291334</v>
      </c>
      <c r="G64" s="316"/>
      <c r="H64" s="316"/>
      <c r="I64" s="316"/>
      <c r="J64" s="316"/>
      <c r="K64" s="316"/>
      <c r="L64" s="316"/>
      <c r="M64" s="316"/>
      <c r="N64" s="316"/>
    </row>
    <row r="65" spans="1:16" s="160" customFormat="1" ht="14" customHeight="1" x14ac:dyDescent="0.25">
      <c r="A65" s="106"/>
      <c r="B65" s="832"/>
      <c r="C65" s="500" t="str">
        <f t="shared" ref="C65:D65" si="23">C52</f>
        <v>25G</v>
      </c>
      <c r="D65" s="500" t="str">
        <f t="shared" si="23"/>
        <v>SFP, QSFP</v>
      </c>
      <c r="E65" s="316">
        <f t="shared" si="22"/>
        <v>110</v>
      </c>
      <c r="F65" s="316">
        <f t="shared" si="22"/>
        <v>77.02469352835007</v>
      </c>
      <c r="G65" s="316"/>
      <c r="H65" s="316"/>
      <c r="I65" s="316"/>
      <c r="J65" s="316"/>
      <c r="K65" s="316"/>
      <c r="L65" s="316"/>
      <c r="M65" s="316"/>
      <c r="N65" s="316"/>
      <c r="O65" s="579"/>
      <c r="P65" s="580"/>
    </row>
    <row r="66" spans="1:16" s="160" customFormat="1" ht="14" customHeight="1" x14ac:dyDescent="0.25">
      <c r="A66" s="106"/>
      <c r="B66" s="832"/>
      <c r="C66" s="500" t="str">
        <f t="shared" ref="C66:D66" si="24">C53</f>
        <v>40G</v>
      </c>
      <c r="D66" s="500" t="str">
        <f t="shared" si="24"/>
        <v>SFP, QSFP</v>
      </c>
      <c r="E66" s="316">
        <f t="shared" si="22"/>
        <v>108.30666895603284</v>
      </c>
      <c r="F66" s="316">
        <f t="shared" si="22"/>
        <v>107.39647961535924</v>
      </c>
      <c r="G66" s="316"/>
      <c r="H66" s="316"/>
      <c r="I66" s="316"/>
      <c r="J66" s="316"/>
      <c r="K66" s="316"/>
      <c r="L66" s="316"/>
      <c r="M66" s="316"/>
      <c r="N66" s="316"/>
      <c r="O66" s="579"/>
      <c r="P66" s="580"/>
    </row>
    <row r="67" spans="1:16" s="160" customFormat="1" ht="14" customHeight="1" x14ac:dyDescent="0.25">
      <c r="A67" s="106"/>
      <c r="B67" s="832"/>
      <c r="C67" s="500" t="str">
        <f t="shared" ref="C67:D67" si="25">C54</f>
        <v>100G</v>
      </c>
      <c r="D67" s="500" t="str">
        <f t="shared" si="25"/>
        <v>SFP, QSFP</v>
      </c>
      <c r="E67" s="316">
        <f t="shared" si="22"/>
        <v>0</v>
      </c>
      <c r="F67" s="316">
        <f t="shared" si="22"/>
        <v>0</v>
      </c>
      <c r="G67" s="316"/>
      <c r="H67" s="316"/>
      <c r="I67" s="316"/>
      <c r="J67" s="316"/>
      <c r="K67" s="316"/>
      <c r="L67" s="316"/>
      <c r="M67" s="316"/>
      <c r="N67" s="316"/>
      <c r="O67" s="579"/>
      <c r="P67" s="580"/>
    </row>
    <row r="68" spans="1:16" s="160" customFormat="1" ht="14" customHeight="1" x14ac:dyDescent="0.25">
      <c r="A68" s="106"/>
      <c r="B68" s="832"/>
      <c r="C68" s="500" t="str">
        <f t="shared" ref="C68:D68" si="26">C55</f>
        <v>200G</v>
      </c>
      <c r="D68" s="500" t="str">
        <f t="shared" si="26"/>
        <v>SFP, QSFP</v>
      </c>
      <c r="E68" s="316">
        <f t="shared" si="22"/>
        <v>0</v>
      </c>
      <c r="F68" s="316">
        <f t="shared" si="22"/>
        <v>0</v>
      </c>
      <c r="G68" s="316"/>
      <c r="H68" s="316"/>
      <c r="I68" s="316"/>
      <c r="J68" s="316"/>
      <c r="K68" s="316"/>
      <c r="L68" s="316"/>
      <c r="M68" s="316"/>
      <c r="N68" s="316"/>
      <c r="O68" s="579"/>
      <c r="P68" s="580"/>
    </row>
    <row r="69" spans="1:16" s="160" customFormat="1" ht="14" customHeight="1" x14ac:dyDescent="0.25">
      <c r="A69" s="106"/>
      <c r="B69" s="832"/>
      <c r="C69" s="500" t="str">
        <f t="shared" ref="C69:D69" si="27">C56</f>
        <v xml:space="preserve">≥400G </v>
      </c>
      <c r="D69" s="500" t="str">
        <f t="shared" si="27"/>
        <v>QSFP-DD, OSFP</v>
      </c>
      <c r="E69" s="316">
        <f t="shared" si="22"/>
        <v>0</v>
      </c>
      <c r="F69" s="316">
        <f t="shared" si="22"/>
        <v>0</v>
      </c>
      <c r="G69" s="316"/>
      <c r="H69" s="316"/>
      <c r="I69" s="316"/>
      <c r="J69" s="316"/>
      <c r="K69" s="316"/>
      <c r="L69" s="316"/>
      <c r="M69" s="316"/>
      <c r="N69" s="316"/>
      <c r="O69" s="579"/>
      <c r="P69" s="580"/>
    </row>
    <row r="70" spans="1:16" s="160" customFormat="1" ht="14" customHeight="1" x14ac:dyDescent="0.25">
      <c r="A70" s="106"/>
      <c r="B70" s="832"/>
      <c r="C70" s="500" t="str">
        <f t="shared" ref="C70:D70" si="28">C57</f>
        <v>All Other</v>
      </c>
      <c r="D70" s="500" t="str">
        <f t="shared" si="28"/>
        <v>Mini-SAS HD, CXP, QSFP</v>
      </c>
      <c r="E70" s="329">
        <f t="shared" si="22"/>
        <v>445.04157236627304</v>
      </c>
      <c r="F70" s="329">
        <f t="shared" si="22"/>
        <v>401.41200780969223</v>
      </c>
      <c r="G70" s="329"/>
      <c r="H70" s="329"/>
      <c r="I70" s="329"/>
      <c r="J70" s="329"/>
      <c r="K70" s="329"/>
      <c r="L70" s="329"/>
      <c r="M70" s="329"/>
      <c r="N70" s="329"/>
      <c r="O70" s="579"/>
      <c r="P70" s="580"/>
    </row>
    <row r="71" spans="1:16" s="160" customFormat="1" x14ac:dyDescent="0.25">
      <c r="A71" s="56"/>
      <c r="B71" s="15"/>
      <c r="C71" s="71"/>
      <c r="D71" s="71"/>
      <c r="E71" s="15"/>
      <c r="F71" s="15"/>
      <c r="G71" s="15"/>
      <c r="H71" s="15"/>
      <c r="I71" s="15"/>
      <c r="L71" s="15"/>
      <c r="M71" s="15"/>
      <c r="N71" s="15"/>
    </row>
    <row r="72" spans="1:16" s="160" customFormat="1" ht="12" customHeight="1" x14ac:dyDescent="0.3">
      <c r="A72" s="115"/>
      <c r="B72" s="219" t="s">
        <v>1</v>
      </c>
      <c r="C72" s="273" t="str">
        <f>C48</f>
        <v>AOCs/EOMs - Rest of World</v>
      </c>
      <c r="D72" s="273"/>
      <c r="K72" s="686" t="str">
        <f>B72</f>
        <v>Sales ($M)</v>
      </c>
      <c r="M72" s="687"/>
      <c r="N72" s="688" t="str">
        <f>C72</f>
        <v>AOCs/EOMs - Rest of World</v>
      </c>
    </row>
    <row r="73" spans="1:16" s="160" customFormat="1" x14ac:dyDescent="0.25">
      <c r="A73" s="107"/>
      <c r="B73" s="209" t="s">
        <v>54</v>
      </c>
      <c r="C73" s="208" t="s">
        <v>10</v>
      </c>
      <c r="D73" s="208"/>
      <c r="E73" s="143">
        <v>2016</v>
      </c>
      <c r="F73" s="57">
        <v>2017</v>
      </c>
      <c r="G73" s="143">
        <v>2018</v>
      </c>
      <c r="H73" s="143">
        <v>2019</v>
      </c>
      <c r="I73" s="143">
        <v>2020</v>
      </c>
      <c r="J73" s="143">
        <v>2021</v>
      </c>
      <c r="K73" s="143">
        <v>2022</v>
      </c>
      <c r="L73" s="143">
        <v>2023</v>
      </c>
      <c r="M73" s="143">
        <v>2024</v>
      </c>
      <c r="N73" s="143">
        <v>2025</v>
      </c>
    </row>
    <row r="74" spans="1:16" s="160" customFormat="1" ht="16" customHeight="1" x14ac:dyDescent="0.25">
      <c r="A74" s="106"/>
      <c r="B74" s="733" t="str">
        <f t="shared" ref="B74:D75" si="29">B63</f>
        <v>EOM</v>
      </c>
      <c r="C74" s="450" t="str">
        <f t="shared" si="29"/>
        <v>All</v>
      </c>
      <c r="D74" s="450" t="str">
        <f t="shared" si="29"/>
        <v>All</v>
      </c>
      <c r="E74" s="48">
        <f t="shared" ref="E74:N74" si="30">E63*E50/10^6</f>
        <v>20.645649675119522</v>
      </c>
      <c r="F74" s="48">
        <f t="shared" si="30"/>
        <v>39.584103200000001</v>
      </c>
      <c r="G74" s="48"/>
      <c r="H74" s="48"/>
      <c r="I74" s="48"/>
      <c r="J74" s="48"/>
      <c r="K74" s="48"/>
      <c r="L74" s="48"/>
      <c r="M74" s="48"/>
      <c r="N74" s="48"/>
    </row>
    <row r="75" spans="1:16" s="160" customFormat="1" ht="12.75" customHeight="1" x14ac:dyDescent="0.25">
      <c r="A75" s="106"/>
      <c r="B75" s="833" t="str">
        <f t="shared" si="29"/>
        <v>Active Optical Cables (AOCs)</v>
      </c>
      <c r="C75" s="500" t="str">
        <f t="shared" si="29"/>
        <v>10G</v>
      </c>
      <c r="D75" s="500" t="str">
        <f t="shared" si="29"/>
        <v>SFP, QSFP</v>
      </c>
      <c r="E75" s="48">
        <f t="shared" ref="E75:N75" si="31">E64*E51/10^6</f>
        <v>24.128741593684833</v>
      </c>
      <c r="F75" s="48">
        <f t="shared" si="31"/>
        <v>30.263873000000004</v>
      </c>
      <c r="G75" s="48"/>
      <c r="H75" s="48"/>
      <c r="I75" s="48"/>
      <c r="J75" s="48"/>
      <c r="K75" s="48"/>
      <c r="L75" s="48"/>
      <c r="M75" s="48"/>
      <c r="N75" s="48"/>
    </row>
    <row r="76" spans="1:16" s="160" customFormat="1" ht="12.75" customHeight="1" x14ac:dyDescent="0.25">
      <c r="A76" s="106"/>
      <c r="B76" s="833"/>
      <c r="C76" s="500" t="str">
        <f t="shared" ref="C76:D81" si="32">C65</f>
        <v>25G</v>
      </c>
      <c r="D76" s="500" t="str">
        <f t="shared" si="32"/>
        <v>SFP, QSFP</v>
      </c>
      <c r="E76" s="48">
        <f t="shared" ref="E76:N76" si="33">E65*E52/10^6</f>
        <v>0.66</v>
      </c>
      <c r="F76" s="48">
        <f t="shared" si="33"/>
        <v>6.5722089999999982</v>
      </c>
      <c r="G76" s="48"/>
      <c r="H76" s="48"/>
      <c r="I76" s="48"/>
      <c r="J76" s="48"/>
      <c r="K76" s="48"/>
      <c r="L76" s="48"/>
      <c r="M76" s="48"/>
      <c r="N76" s="48"/>
    </row>
    <row r="77" spans="1:16" s="160" customFormat="1" ht="12.75" customHeight="1" x14ac:dyDescent="0.25">
      <c r="A77" s="106"/>
      <c r="B77" s="833"/>
      <c r="C77" s="500" t="str">
        <f t="shared" si="32"/>
        <v>40G</v>
      </c>
      <c r="D77" s="500" t="str">
        <f t="shared" si="32"/>
        <v>SFP, QSFP</v>
      </c>
      <c r="E77" s="48">
        <f t="shared" ref="E77:N77" si="34">E66*E53/10^6</f>
        <v>34.698311507846441</v>
      </c>
      <c r="F77" s="48">
        <f t="shared" si="34"/>
        <v>21.393481839999993</v>
      </c>
      <c r="G77" s="48"/>
      <c r="H77" s="48"/>
      <c r="I77" s="48"/>
      <c r="J77" s="48"/>
      <c r="K77" s="48"/>
      <c r="L77" s="48"/>
      <c r="M77" s="48"/>
      <c r="N77" s="48"/>
    </row>
    <row r="78" spans="1:16" s="160" customFormat="1" ht="12.75" customHeight="1" x14ac:dyDescent="0.25">
      <c r="A78" s="106"/>
      <c r="B78" s="833"/>
      <c r="C78" s="500" t="str">
        <f t="shared" si="32"/>
        <v>100G</v>
      </c>
      <c r="D78" s="500" t="str">
        <f t="shared" si="32"/>
        <v>SFP, QSFP</v>
      </c>
      <c r="E78" s="48">
        <f t="shared" ref="E78:N78" si="35">E67*E54/10^6</f>
        <v>0</v>
      </c>
      <c r="F78" s="48">
        <f t="shared" si="35"/>
        <v>0</v>
      </c>
      <c r="G78" s="48"/>
      <c r="H78" s="48"/>
      <c r="I78" s="48"/>
      <c r="J78" s="48"/>
      <c r="K78" s="48"/>
      <c r="L78" s="48"/>
      <c r="M78" s="48"/>
      <c r="N78" s="48"/>
    </row>
    <row r="79" spans="1:16" s="160" customFormat="1" ht="12.75" customHeight="1" x14ac:dyDescent="0.25">
      <c r="A79" s="106"/>
      <c r="B79" s="833"/>
      <c r="C79" s="500" t="str">
        <f t="shared" si="32"/>
        <v>200G</v>
      </c>
      <c r="D79" s="500" t="str">
        <f t="shared" si="32"/>
        <v>SFP, QSFP</v>
      </c>
      <c r="E79" s="48">
        <f t="shared" ref="E79:N79" si="36">E68*E55/10^6</f>
        <v>0</v>
      </c>
      <c r="F79" s="48">
        <f t="shared" si="36"/>
        <v>0</v>
      </c>
      <c r="G79" s="48"/>
      <c r="H79" s="48"/>
      <c r="I79" s="48"/>
      <c r="J79" s="48"/>
      <c r="K79" s="48"/>
      <c r="L79" s="48"/>
      <c r="M79" s="48"/>
      <c r="N79" s="48"/>
    </row>
    <row r="80" spans="1:16" s="160" customFormat="1" ht="12.75" customHeight="1" x14ac:dyDescent="0.25">
      <c r="A80" s="106"/>
      <c r="B80" s="833"/>
      <c r="C80" s="500" t="str">
        <f t="shared" si="32"/>
        <v xml:space="preserve">≥400G </v>
      </c>
      <c r="D80" s="500" t="str">
        <f t="shared" si="32"/>
        <v>QSFP-DD, OSFP</v>
      </c>
      <c r="E80" s="48">
        <f t="shared" ref="E80:N80" si="37">E69*E56/10^6</f>
        <v>0</v>
      </c>
      <c r="F80" s="48">
        <f t="shared" si="37"/>
        <v>0</v>
      </c>
      <c r="G80" s="48"/>
      <c r="H80" s="48"/>
      <c r="I80" s="48"/>
      <c r="J80" s="48"/>
      <c r="K80" s="48"/>
      <c r="L80" s="48"/>
      <c r="M80" s="48"/>
      <c r="N80" s="48"/>
    </row>
    <row r="81" spans="1:14" s="160" customFormat="1" ht="12.75" customHeight="1" x14ac:dyDescent="0.25">
      <c r="A81" s="106"/>
      <c r="B81" s="833"/>
      <c r="C81" s="500" t="str">
        <f t="shared" si="32"/>
        <v>All Other</v>
      </c>
      <c r="D81" s="500" t="str">
        <f t="shared" si="32"/>
        <v>Mini-SAS HD, CXP, QSFP</v>
      </c>
      <c r="E81" s="48">
        <f t="shared" ref="E81:N81" si="38">E70*E57/10^6</f>
        <v>124.04379391871146</v>
      </c>
      <c r="F81" s="48">
        <f t="shared" si="38"/>
        <v>92.283352133503683</v>
      </c>
      <c r="G81" s="48"/>
      <c r="H81" s="48"/>
      <c r="I81" s="48"/>
      <c r="J81" s="48"/>
      <c r="K81" s="48"/>
      <c r="L81" s="48"/>
      <c r="M81" s="48"/>
      <c r="N81" s="48"/>
    </row>
    <row r="82" spans="1:14" s="160" customFormat="1" ht="12.75" customHeight="1" x14ac:dyDescent="0.25">
      <c r="A82" s="106"/>
      <c r="B82" s="833"/>
      <c r="C82" s="500" t="str">
        <f t="shared" ref="C82:D82" si="39">C58</f>
        <v>Total AOCs</v>
      </c>
      <c r="D82" s="500" t="str">
        <f t="shared" si="39"/>
        <v>All</v>
      </c>
      <c r="E82" s="142">
        <f>SUM(E75:E81)</f>
        <v>183.53084702024273</v>
      </c>
      <c r="F82" s="142">
        <f t="shared" ref="F82" si="40">SUM(F75:F81)</f>
        <v>150.51291597350368</v>
      </c>
      <c r="G82" s="142"/>
      <c r="H82" s="142"/>
      <c r="I82" s="142"/>
      <c r="J82" s="142"/>
      <c r="K82" s="142"/>
      <c r="L82" s="142"/>
      <c r="M82" s="142"/>
      <c r="N82" s="142"/>
    </row>
    <row r="83" spans="1:14" s="160" customFormat="1" x14ac:dyDescent="0.25">
      <c r="A83" s="56"/>
      <c r="B83" s="248" t="s">
        <v>132</v>
      </c>
      <c r="C83" s="434"/>
      <c r="D83" s="434"/>
      <c r="E83" s="249">
        <f>E82+E74</f>
        <v>204.17649669536226</v>
      </c>
      <c r="F83" s="249">
        <f t="shared" ref="F83" si="41">F82+F74</f>
        <v>190.09701917350367</v>
      </c>
      <c r="G83" s="249"/>
      <c r="H83" s="249"/>
      <c r="I83" s="249"/>
      <c r="J83" s="249"/>
      <c r="K83" s="249"/>
      <c r="L83" s="249"/>
      <c r="M83" s="249"/>
      <c r="N83" s="249"/>
    </row>
    <row r="84" spans="1:14" s="160" customFormat="1" x14ac:dyDescent="0.25">
      <c r="A84" s="56"/>
      <c r="B84" s="113"/>
      <c r="C84" s="71"/>
      <c r="D84" s="71"/>
      <c r="E84" s="8"/>
      <c r="F84" s="8">
        <f t="shared" ref="F84" si="42">IF(E83=0,"",F83/E83-1)</f>
        <v>-6.8957386132771248E-2</v>
      </c>
      <c r="G84" s="8"/>
      <c r="H84" s="8"/>
      <c r="I84" s="8"/>
      <c r="J84" s="8"/>
      <c r="K84" s="8"/>
      <c r="L84" s="30"/>
      <c r="M84" s="30"/>
      <c r="N84" s="30"/>
    </row>
    <row r="85" spans="1:14" s="160" customFormat="1" x14ac:dyDescent="0.25">
      <c r="A85" s="56"/>
    </row>
    <row r="86" spans="1:14" s="160" customFormat="1" x14ac:dyDescent="0.25">
      <c r="A86" s="56"/>
      <c r="B86" s="445"/>
      <c r="C86" s="445"/>
      <c r="D86" s="445"/>
      <c r="E86" s="445"/>
      <c r="F86" s="445"/>
      <c r="G86" s="445"/>
      <c r="H86" s="445"/>
      <c r="I86" s="445"/>
      <c r="J86" s="445"/>
      <c r="K86" s="445"/>
      <c r="L86" s="445"/>
      <c r="M86" s="445"/>
      <c r="N86" s="445"/>
    </row>
    <row r="87" spans="1:14" s="160" customFormat="1" x14ac:dyDescent="0.25">
      <c r="A87" s="56"/>
    </row>
    <row r="88" spans="1:14" s="160" customFormat="1" x14ac:dyDescent="0.25">
      <c r="A88" s="56"/>
    </row>
    <row r="89" spans="1:14" s="160" customFormat="1" ht="13" x14ac:dyDescent="0.3">
      <c r="A89" s="56"/>
      <c r="B89" s="221" t="s">
        <v>0</v>
      </c>
      <c r="C89" s="449" t="s">
        <v>262</v>
      </c>
      <c r="D89" s="449"/>
      <c r="F89" s="15"/>
      <c r="G89" s="15"/>
      <c r="H89" s="15"/>
      <c r="I89" s="15"/>
      <c r="K89" s="686" t="str">
        <f>B89</f>
        <v>Units</v>
      </c>
      <c r="M89" s="687"/>
      <c r="N89" s="688" t="str">
        <f>C89</f>
        <v>AOCs/EOMs - Global</v>
      </c>
    </row>
    <row r="90" spans="1:14" s="160" customFormat="1" x14ac:dyDescent="0.25">
      <c r="A90" s="107"/>
      <c r="B90" s="208" t="s">
        <v>54</v>
      </c>
      <c r="C90" s="208" t="s">
        <v>10</v>
      </c>
      <c r="D90" s="208"/>
      <c r="E90" s="143">
        <v>2016</v>
      </c>
      <c r="F90" s="57">
        <v>2017</v>
      </c>
      <c r="G90" s="143">
        <v>2018</v>
      </c>
      <c r="H90" s="143">
        <v>2019</v>
      </c>
      <c r="I90" s="143">
        <v>2020</v>
      </c>
      <c r="J90" s="143">
        <v>2021</v>
      </c>
      <c r="K90" s="143">
        <v>2022</v>
      </c>
      <c r="L90" s="143">
        <v>2023</v>
      </c>
      <c r="M90" s="143">
        <v>2024</v>
      </c>
      <c r="N90" s="143">
        <v>2025</v>
      </c>
    </row>
    <row r="91" spans="1:14" s="160" customFormat="1" ht="14.5" customHeight="1" x14ac:dyDescent="0.25">
      <c r="A91" s="108"/>
      <c r="B91" s="733" t="str">
        <f t="shared" ref="B91:D100" si="43">B9</f>
        <v>EOM</v>
      </c>
      <c r="C91" s="450" t="str">
        <f t="shared" si="43"/>
        <v>All</v>
      </c>
      <c r="D91" s="450" t="str">
        <f t="shared" si="43"/>
        <v>All</v>
      </c>
      <c r="E91" s="736">
        <v>53000</v>
      </c>
      <c r="F91" s="736">
        <v>118091</v>
      </c>
      <c r="G91" s="736"/>
      <c r="H91" s="736"/>
      <c r="I91" s="736"/>
      <c r="J91" s="736"/>
      <c r="K91" s="736"/>
      <c r="L91" s="736"/>
      <c r="M91" s="736"/>
      <c r="N91" s="736"/>
    </row>
    <row r="92" spans="1:14" s="160" customFormat="1" ht="14.5" customHeight="1" x14ac:dyDescent="0.25">
      <c r="A92" s="108"/>
      <c r="B92" s="829" t="str">
        <f t="shared" si="43"/>
        <v>Active Optical Cables (AOCs)</v>
      </c>
      <c r="C92" s="730" t="str">
        <f t="shared" si="43"/>
        <v>10G</v>
      </c>
      <c r="D92" s="450" t="str">
        <f t="shared" si="43"/>
        <v>SFP, QSFP</v>
      </c>
      <c r="E92" s="735">
        <v>1654178</v>
      </c>
      <c r="F92" s="735">
        <v>3231705</v>
      </c>
      <c r="G92" s="735"/>
      <c r="H92" s="735"/>
      <c r="I92" s="735"/>
      <c r="J92" s="735"/>
      <c r="K92" s="735"/>
      <c r="L92" s="735"/>
      <c r="M92" s="735"/>
      <c r="N92" s="735"/>
    </row>
    <row r="93" spans="1:14" s="160" customFormat="1" ht="14.5" customHeight="1" x14ac:dyDescent="0.25">
      <c r="A93" s="108"/>
      <c r="B93" s="830"/>
      <c r="C93" s="730" t="str">
        <f t="shared" si="43"/>
        <v>25G</v>
      </c>
      <c r="D93" s="450" t="str">
        <f t="shared" si="43"/>
        <v>SFP, QSFP</v>
      </c>
      <c r="E93" s="735">
        <v>10000</v>
      </c>
      <c r="F93" s="735">
        <v>170652</v>
      </c>
      <c r="G93" s="735"/>
      <c r="H93" s="735"/>
      <c r="I93" s="735"/>
      <c r="J93" s="735"/>
      <c r="K93" s="735"/>
      <c r="L93" s="735"/>
      <c r="M93" s="735"/>
      <c r="N93" s="735"/>
    </row>
    <row r="94" spans="1:14" s="160" customFormat="1" ht="14.5" customHeight="1" x14ac:dyDescent="0.25">
      <c r="A94" s="108"/>
      <c r="B94" s="830"/>
      <c r="C94" s="730" t="str">
        <f t="shared" si="43"/>
        <v>40G</v>
      </c>
      <c r="D94" s="450" t="str">
        <f t="shared" si="43"/>
        <v>SFP, QSFP</v>
      </c>
      <c r="E94" s="735">
        <v>381394</v>
      </c>
      <c r="F94" s="735">
        <v>242928</v>
      </c>
      <c r="G94" s="735"/>
      <c r="H94" s="735"/>
      <c r="I94" s="735"/>
      <c r="J94" s="735"/>
      <c r="K94" s="735"/>
      <c r="L94" s="735"/>
      <c r="M94" s="735"/>
      <c r="N94" s="735"/>
    </row>
    <row r="95" spans="1:14" s="160" customFormat="1" ht="14.5" customHeight="1" x14ac:dyDescent="0.25">
      <c r="A95" s="108"/>
      <c r="B95" s="830"/>
      <c r="C95" s="730" t="str">
        <f t="shared" si="43"/>
        <v>100G</v>
      </c>
      <c r="D95" s="450" t="str">
        <f t="shared" si="43"/>
        <v>SFP, QSFP</v>
      </c>
      <c r="E95" s="735">
        <v>140000</v>
      </c>
      <c r="F95" s="735">
        <v>200209</v>
      </c>
      <c r="G95" s="735"/>
      <c r="H95" s="735"/>
      <c r="I95" s="735"/>
      <c r="J95" s="735"/>
      <c r="K95" s="735"/>
      <c r="L95" s="735"/>
      <c r="M95" s="735"/>
      <c r="N95" s="735"/>
    </row>
    <row r="96" spans="1:14" s="160" customFormat="1" ht="14.5" customHeight="1" x14ac:dyDescent="0.25">
      <c r="A96" s="108"/>
      <c r="B96" s="830"/>
      <c r="C96" s="730" t="str">
        <f t="shared" si="43"/>
        <v>200G</v>
      </c>
      <c r="D96" s="450" t="str">
        <f t="shared" si="43"/>
        <v>SFP, QSFP</v>
      </c>
      <c r="E96" s="735">
        <v>0</v>
      </c>
      <c r="F96" s="735">
        <v>0</v>
      </c>
      <c r="G96" s="735"/>
      <c r="H96" s="735"/>
      <c r="I96" s="735"/>
      <c r="J96" s="735"/>
      <c r="K96" s="735"/>
      <c r="L96" s="735"/>
      <c r="M96" s="735"/>
      <c r="N96" s="735"/>
    </row>
    <row r="97" spans="1:16" s="160" customFormat="1" ht="14.5" customHeight="1" x14ac:dyDescent="0.25">
      <c r="A97" s="108"/>
      <c r="B97" s="830"/>
      <c r="C97" s="730" t="str">
        <f t="shared" si="43"/>
        <v xml:space="preserve">≥400G </v>
      </c>
      <c r="D97" s="450" t="str">
        <f t="shared" si="43"/>
        <v>QSFP-DD, OSFP</v>
      </c>
      <c r="E97" s="735">
        <v>0</v>
      </c>
      <c r="F97" s="735">
        <v>0</v>
      </c>
      <c r="G97" s="735"/>
      <c r="H97" s="735"/>
      <c r="I97" s="735"/>
      <c r="J97" s="735"/>
      <c r="K97" s="735"/>
      <c r="L97" s="735"/>
      <c r="M97" s="735"/>
      <c r="N97" s="735"/>
    </row>
    <row r="98" spans="1:16" s="160" customFormat="1" ht="14.5" customHeight="1" x14ac:dyDescent="0.25">
      <c r="A98" s="108"/>
      <c r="B98" s="830"/>
      <c r="C98" s="730" t="str">
        <f t="shared" si="43"/>
        <v>All Other</v>
      </c>
      <c r="D98" s="450" t="str">
        <f t="shared" si="43"/>
        <v>Mini-SAS HD, CXP, QSFP</v>
      </c>
      <c r="E98" s="735">
        <v>331814.35714285716</v>
      </c>
      <c r="F98" s="735">
        <v>280362</v>
      </c>
      <c r="G98" s="735"/>
      <c r="H98" s="735"/>
      <c r="I98" s="735"/>
      <c r="J98" s="735"/>
      <c r="K98" s="735"/>
      <c r="L98" s="735"/>
      <c r="M98" s="735"/>
      <c r="N98" s="735"/>
    </row>
    <row r="99" spans="1:16" s="160" customFormat="1" ht="12.5" customHeight="1" x14ac:dyDescent="0.25">
      <c r="A99" s="108"/>
      <c r="B99" s="831"/>
      <c r="C99" s="731" t="str">
        <f t="shared" si="43"/>
        <v>Total AOCs</v>
      </c>
      <c r="D99" s="434" t="str">
        <f t="shared" si="43"/>
        <v>All</v>
      </c>
      <c r="E99" s="66">
        <f>SUM(E92:E98)</f>
        <v>2517386.3571428573</v>
      </c>
      <c r="F99" s="66">
        <f t="shared" ref="F99" si="44">SUM(F92:F98)</f>
        <v>4125856</v>
      </c>
      <c r="G99" s="66"/>
      <c r="H99" s="66"/>
      <c r="I99" s="66"/>
      <c r="J99" s="66"/>
      <c r="K99" s="66"/>
      <c r="L99" s="66"/>
      <c r="M99" s="66"/>
      <c r="N99" s="66"/>
    </row>
    <row r="100" spans="1:16" s="160" customFormat="1" x14ac:dyDescent="0.25">
      <c r="A100" s="108"/>
      <c r="B100" s="248" t="str">
        <f t="shared" si="43"/>
        <v>Optical Interconnects segment total</v>
      </c>
      <c r="C100" s="434">
        <f t="shared" si="43"/>
        <v>0</v>
      </c>
      <c r="D100" s="434">
        <f t="shared" si="43"/>
        <v>0</v>
      </c>
      <c r="E100" s="127">
        <f t="shared" ref="E100:N100" si="45">SUM(E91:E98)</f>
        <v>2570386.3571428573</v>
      </c>
      <c r="F100" s="127">
        <f t="shared" si="45"/>
        <v>4243947</v>
      </c>
      <c r="G100" s="127"/>
      <c r="H100" s="127"/>
      <c r="I100" s="127"/>
      <c r="J100" s="127"/>
      <c r="K100" s="127"/>
      <c r="L100" s="127"/>
      <c r="M100" s="127"/>
      <c r="N100" s="127"/>
    </row>
    <row r="101" spans="1:16" s="160" customFormat="1" x14ac:dyDescent="0.25">
      <c r="A101" s="56"/>
      <c r="B101" s="56"/>
      <c r="C101" s="15"/>
      <c r="D101" s="15"/>
      <c r="E101" s="8"/>
      <c r="F101" s="8">
        <f t="shared" ref="F101" si="46">IF(E99=0,"",F99/E99-1)</f>
        <v>0.6389442916830208</v>
      </c>
      <c r="G101" s="8"/>
      <c r="H101" s="8"/>
      <c r="I101" s="8"/>
      <c r="J101" s="8"/>
      <c r="K101" s="8"/>
      <c r="L101" s="8"/>
      <c r="M101" s="8"/>
      <c r="N101" s="8"/>
      <c r="O101" s="44"/>
    </row>
    <row r="102" spans="1:16" s="160" customFormat="1" ht="13" x14ac:dyDescent="0.3">
      <c r="A102" s="114"/>
      <c r="B102" s="219" t="s">
        <v>53</v>
      </c>
      <c r="C102" s="273" t="str">
        <f>C89</f>
        <v>AOCs/EOMs - Global</v>
      </c>
      <c r="D102" s="273"/>
      <c r="E102" s="254"/>
      <c r="F102" s="254"/>
      <c r="G102" s="254"/>
      <c r="H102" s="254"/>
      <c r="I102" s="254"/>
      <c r="K102" s="686" t="str">
        <f>B102</f>
        <v>ASP ($)</v>
      </c>
      <c r="M102" s="687"/>
      <c r="N102" s="688" t="str">
        <f>C102</f>
        <v>AOCs/EOMs - Global</v>
      </c>
      <c r="O102" s="44"/>
    </row>
    <row r="103" spans="1:16" s="160" customFormat="1" x14ac:dyDescent="0.25">
      <c r="A103" s="107"/>
      <c r="B103" s="209" t="s">
        <v>54</v>
      </c>
      <c r="C103" s="208" t="s">
        <v>10</v>
      </c>
      <c r="D103" s="208"/>
      <c r="E103" s="143">
        <v>2016</v>
      </c>
      <c r="F103" s="57">
        <v>2017</v>
      </c>
      <c r="G103" s="143">
        <v>2018</v>
      </c>
      <c r="H103" s="143">
        <v>2019</v>
      </c>
      <c r="I103" s="143">
        <v>2020</v>
      </c>
      <c r="J103" s="143">
        <v>2021</v>
      </c>
      <c r="K103" s="143">
        <v>2022</v>
      </c>
      <c r="L103" s="143">
        <v>2023</v>
      </c>
      <c r="M103" s="143">
        <v>2024</v>
      </c>
      <c r="N103" s="143">
        <v>2025</v>
      </c>
    </row>
    <row r="104" spans="1:16" s="160" customFormat="1" ht="15" customHeight="1" x14ac:dyDescent="0.25">
      <c r="A104" s="106"/>
      <c r="B104" s="733" t="str">
        <f t="shared" ref="B104:D104" si="47">B91</f>
        <v>EOM</v>
      </c>
      <c r="C104" s="450" t="str">
        <f t="shared" si="47"/>
        <v>All</v>
      </c>
      <c r="D104" s="450" t="str">
        <f t="shared" si="47"/>
        <v>All</v>
      </c>
      <c r="E104" s="737">
        <v>458.28301165637112</v>
      </c>
      <c r="F104" s="737">
        <v>419</v>
      </c>
      <c r="G104" s="737"/>
      <c r="H104" s="737"/>
      <c r="I104" s="737"/>
      <c r="J104" s="737"/>
      <c r="K104" s="737"/>
      <c r="L104" s="737"/>
      <c r="M104" s="737"/>
      <c r="N104" s="737"/>
    </row>
    <row r="105" spans="1:16" s="160" customFormat="1" ht="14" customHeight="1" x14ac:dyDescent="0.25">
      <c r="A105" s="106"/>
      <c r="B105" s="832" t="str">
        <f t="shared" ref="B105:D105" si="48">B92</f>
        <v>Active Optical Cables (AOCs)</v>
      </c>
      <c r="C105" s="500" t="str">
        <f t="shared" si="48"/>
        <v>10G</v>
      </c>
      <c r="D105" s="500" t="str">
        <f t="shared" si="48"/>
        <v>SFP, QSFP</v>
      </c>
      <c r="E105" s="543">
        <v>24.310908090186217</v>
      </c>
      <c r="F105" s="543">
        <v>18.729353700291334</v>
      </c>
      <c r="G105" s="543"/>
      <c r="H105" s="543"/>
      <c r="I105" s="543"/>
      <c r="J105" s="543"/>
      <c r="K105" s="543"/>
      <c r="L105" s="543"/>
      <c r="M105" s="543"/>
      <c r="N105" s="543"/>
    </row>
    <row r="106" spans="1:16" s="160" customFormat="1" ht="14" customHeight="1" x14ac:dyDescent="0.25">
      <c r="A106" s="106"/>
      <c r="B106" s="832"/>
      <c r="C106" s="500" t="str">
        <f t="shared" ref="C106:D106" si="49">C93</f>
        <v>25G</v>
      </c>
      <c r="D106" s="500" t="str">
        <f t="shared" si="49"/>
        <v>SFP, QSFP</v>
      </c>
      <c r="E106" s="543">
        <v>110</v>
      </c>
      <c r="F106" s="543">
        <v>77.02469352835007</v>
      </c>
      <c r="G106" s="543"/>
      <c r="H106" s="543"/>
      <c r="I106" s="543"/>
      <c r="J106" s="543"/>
      <c r="K106" s="543"/>
      <c r="L106" s="543"/>
      <c r="M106" s="543"/>
      <c r="N106" s="543"/>
      <c r="O106" s="579"/>
      <c r="P106" s="580"/>
    </row>
    <row r="107" spans="1:16" s="160" customFormat="1" ht="14" customHeight="1" x14ac:dyDescent="0.25">
      <c r="A107" s="106"/>
      <c r="B107" s="832"/>
      <c r="C107" s="500" t="str">
        <f t="shared" ref="C107:D107" si="50">C94</f>
        <v>40G</v>
      </c>
      <c r="D107" s="500" t="str">
        <f t="shared" si="50"/>
        <v>SFP, QSFP</v>
      </c>
      <c r="E107" s="543">
        <v>108.30666895603285</v>
      </c>
      <c r="F107" s="543">
        <v>107.39647961535925</v>
      </c>
      <c r="G107" s="543"/>
      <c r="H107" s="543"/>
      <c r="I107" s="543"/>
      <c r="J107" s="543"/>
      <c r="K107" s="543"/>
      <c r="L107" s="543"/>
      <c r="M107" s="543"/>
      <c r="N107" s="543"/>
      <c r="O107" s="579"/>
      <c r="P107" s="580"/>
    </row>
    <row r="108" spans="1:16" s="160" customFormat="1" ht="14" customHeight="1" x14ac:dyDescent="0.25">
      <c r="A108" s="106"/>
      <c r="B108" s="832"/>
      <c r="C108" s="500" t="str">
        <f t="shared" ref="C108:D108" si="51">C95</f>
        <v>100G</v>
      </c>
      <c r="D108" s="500" t="str">
        <f t="shared" si="51"/>
        <v>SFP, QSFP</v>
      </c>
      <c r="E108" s="543">
        <v>480</v>
      </c>
      <c r="F108" s="543">
        <v>273.36357506405807</v>
      </c>
      <c r="G108" s="543"/>
      <c r="H108" s="543"/>
      <c r="I108" s="543"/>
      <c r="J108" s="543"/>
      <c r="K108" s="543"/>
      <c r="L108" s="543"/>
      <c r="M108" s="543"/>
      <c r="N108" s="543"/>
      <c r="O108" s="579"/>
      <c r="P108" s="580"/>
    </row>
    <row r="109" spans="1:16" s="160" customFormat="1" ht="14" customHeight="1" x14ac:dyDescent="0.25">
      <c r="A109" s="106"/>
      <c r="B109" s="832"/>
      <c r="C109" s="500" t="str">
        <f t="shared" ref="C109:D109" si="52">C96</f>
        <v>200G</v>
      </c>
      <c r="D109" s="500" t="str">
        <f t="shared" si="52"/>
        <v>SFP, QSFP</v>
      </c>
      <c r="E109" s="543" t="s">
        <v>506</v>
      </c>
      <c r="F109" s="543" t="s">
        <v>506</v>
      </c>
      <c r="G109" s="543"/>
      <c r="H109" s="543"/>
      <c r="I109" s="543"/>
      <c r="J109" s="543"/>
      <c r="K109" s="543"/>
      <c r="L109" s="543"/>
      <c r="M109" s="543"/>
      <c r="N109" s="543"/>
      <c r="O109" s="579"/>
      <c r="P109" s="580"/>
    </row>
    <row r="110" spans="1:16" s="160" customFormat="1" ht="14" customHeight="1" x14ac:dyDescent="0.25">
      <c r="A110" s="106"/>
      <c r="B110" s="832"/>
      <c r="C110" s="500" t="str">
        <f t="shared" ref="C110:D110" si="53">C97</f>
        <v xml:space="preserve">≥400G </v>
      </c>
      <c r="D110" s="500" t="str">
        <f t="shared" si="53"/>
        <v>QSFP-DD, OSFP</v>
      </c>
      <c r="E110" s="543" t="s">
        <v>506</v>
      </c>
      <c r="F110" s="543" t="s">
        <v>506</v>
      </c>
      <c r="G110" s="543"/>
      <c r="H110" s="543"/>
      <c r="I110" s="543"/>
      <c r="J110" s="543"/>
      <c r="K110" s="543"/>
      <c r="L110" s="543"/>
      <c r="M110" s="543"/>
      <c r="N110" s="543"/>
      <c r="O110" s="579"/>
      <c r="P110" s="580"/>
    </row>
    <row r="111" spans="1:16" s="160" customFormat="1" ht="14" customHeight="1" x14ac:dyDescent="0.25">
      <c r="A111" s="106"/>
      <c r="B111" s="832"/>
      <c r="C111" s="500" t="str">
        <f t="shared" ref="C111:D111" si="54">C98</f>
        <v>All Other</v>
      </c>
      <c r="D111" s="500" t="str">
        <f t="shared" si="54"/>
        <v>Mini-SAS HD, CXP, QSFP</v>
      </c>
      <c r="E111" s="543">
        <v>242.51869005751203</v>
      </c>
      <c r="F111" s="543">
        <v>206.20064535686083</v>
      </c>
      <c r="G111" s="543"/>
      <c r="H111" s="543"/>
      <c r="I111" s="543"/>
      <c r="J111" s="543"/>
      <c r="K111" s="543"/>
      <c r="L111" s="543"/>
      <c r="M111" s="543"/>
      <c r="N111" s="543"/>
      <c r="O111" s="579"/>
      <c r="P111" s="580"/>
    </row>
    <row r="112" spans="1:16" s="160" customFormat="1" x14ac:dyDescent="0.25">
      <c r="A112" s="56"/>
      <c r="B112" s="15"/>
      <c r="C112" s="71"/>
      <c r="D112" s="71"/>
      <c r="E112" s="15"/>
      <c r="F112" s="15"/>
      <c r="G112" s="15"/>
      <c r="H112" s="15"/>
      <c r="I112" s="15"/>
      <c r="L112" s="15"/>
      <c r="M112" s="15"/>
      <c r="N112" s="15"/>
    </row>
    <row r="113" spans="1:14" s="160" customFormat="1" ht="12" customHeight="1" x14ac:dyDescent="0.3">
      <c r="A113" s="115"/>
      <c r="B113" s="219" t="s">
        <v>1</v>
      </c>
      <c r="C113" s="273" t="str">
        <f>C89</f>
        <v>AOCs/EOMs - Global</v>
      </c>
      <c r="D113" s="273"/>
      <c r="K113" s="686" t="str">
        <f>B113</f>
        <v>Sales ($M)</v>
      </c>
      <c r="M113" s="687"/>
      <c r="N113" s="688" t="str">
        <f>C113</f>
        <v>AOCs/EOMs - Global</v>
      </c>
    </row>
    <row r="114" spans="1:14" s="160" customFormat="1" x14ac:dyDescent="0.25">
      <c r="A114" s="107"/>
      <c r="B114" s="209" t="s">
        <v>54</v>
      </c>
      <c r="C114" s="208" t="s">
        <v>10</v>
      </c>
      <c r="D114" s="208"/>
      <c r="E114" s="143">
        <v>2016</v>
      </c>
      <c r="F114" s="57">
        <v>2017</v>
      </c>
      <c r="G114" s="143">
        <v>2018</v>
      </c>
      <c r="H114" s="143">
        <v>2019</v>
      </c>
      <c r="I114" s="143">
        <v>2020</v>
      </c>
      <c r="J114" s="143">
        <v>2021</v>
      </c>
      <c r="K114" s="143">
        <v>2022</v>
      </c>
      <c r="L114" s="143">
        <v>2023</v>
      </c>
      <c r="M114" s="143">
        <v>2024</v>
      </c>
      <c r="N114" s="143">
        <v>2025</v>
      </c>
    </row>
    <row r="115" spans="1:14" s="160" customFormat="1" ht="16" customHeight="1" x14ac:dyDescent="0.25">
      <c r="A115" s="106"/>
      <c r="B115" s="733" t="str">
        <f t="shared" ref="B115:D116" si="55">B104</f>
        <v>EOM</v>
      </c>
      <c r="C115" s="450" t="str">
        <f t="shared" si="55"/>
        <v>All</v>
      </c>
      <c r="D115" s="450" t="str">
        <f t="shared" si="55"/>
        <v>All</v>
      </c>
      <c r="E115" s="48">
        <f t="shared" ref="E115:N115" si="56">E104*E91/10^6</f>
        <v>24.28899961778767</v>
      </c>
      <c r="F115" s="48">
        <f t="shared" si="56"/>
        <v>49.480128999999998</v>
      </c>
      <c r="G115" s="48"/>
      <c r="H115" s="48"/>
      <c r="I115" s="48"/>
      <c r="J115" s="48"/>
      <c r="K115" s="48"/>
      <c r="L115" s="48"/>
      <c r="M115" s="48"/>
      <c r="N115" s="48"/>
    </row>
    <row r="116" spans="1:14" s="160" customFormat="1" ht="12.75" customHeight="1" x14ac:dyDescent="0.25">
      <c r="A116" s="106"/>
      <c r="B116" s="833" t="str">
        <f t="shared" si="55"/>
        <v>Active Optical Cables (AOCs)</v>
      </c>
      <c r="C116" s="500" t="str">
        <f t="shared" si="55"/>
        <v>10G</v>
      </c>
      <c r="D116" s="500" t="str">
        <f t="shared" si="55"/>
        <v>SFP, QSFP</v>
      </c>
      <c r="E116" s="48">
        <f t="shared" ref="E116:N116" si="57">E105*E92/10^6</f>
        <v>40.21456932280806</v>
      </c>
      <c r="F116" s="48">
        <f t="shared" si="57"/>
        <v>60.527746000000008</v>
      </c>
      <c r="G116" s="48"/>
      <c r="H116" s="48"/>
      <c r="I116" s="48"/>
      <c r="J116" s="48"/>
      <c r="K116" s="48"/>
      <c r="L116" s="48"/>
      <c r="M116" s="48"/>
      <c r="N116" s="48"/>
    </row>
    <row r="117" spans="1:14" s="160" customFormat="1" ht="12.75" customHeight="1" x14ac:dyDescent="0.25">
      <c r="A117" s="106"/>
      <c r="B117" s="833"/>
      <c r="C117" s="500" t="str">
        <f t="shared" ref="C117:D122" si="58">C106</f>
        <v>25G</v>
      </c>
      <c r="D117" s="500" t="str">
        <f t="shared" si="58"/>
        <v>SFP, QSFP</v>
      </c>
      <c r="E117" s="48">
        <f t="shared" ref="E117:N117" si="59">E106*E93/10^6</f>
        <v>1.1000000000000001</v>
      </c>
      <c r="F117" s="48">
        <f t="shared" si="59"/>
        <v>13.144417999999996</v>
      </c>
      <c r="G117" s="48"/>
      <c r="H117" s="48"/>
      <c r="I117" s="48"/>
      <c r="J117" s="48"/>
      <c r="K117" s="48"/>
      <c r="L117" s="48"/>
      <c r="M117" s="48"/>
      <c r="N117" s="48"/>
    </row>
    <row r="118" spans="1:14" s="160" customFormat="1" ht="12.75" customHeight="1" x14ac:dyDescent="0.25">
      <c r="A118" s="106"/>
      <c r="B118" s="833"/>
      <c r="C118" s="500" t="str">
        <f t="shared" si="58"/>
        <v>40G</v>
      </c>
      <c r="D118" s="500" t="str">
        <f t="shared" si="58"/>
        <v>SFP, QSFP</v>
      </c>
      <c r="E118" s="48">
        <f t="shared" ref="E118:N118" si="60">E107*E94/10^6</f>
        <v>41.307513699817193</v>
      </c>
      <c r="F118" s="48">
        <f t="shared" si="60"/>
        <v>26.089611999999992</v>
      </c>
      <c r="G118" s="48"/>
      <c r="H118" s="48"/>
      <c r="I118" s="48"/>
      <c r="J118" s="48"/>
      <c r="K118" s="48"/>
      <c r="L118" s="48"/>
      <c r="M118" s="48"/>
      <c r="N118" s="48"/>
    </row>
    <row r="119" spans="1:14" s="160" customFormat="1" ht="12.75" customHeight="1" x14ac:dyDescent="0.25">
      <c r="A119" s="106"/>
      <c r="B119" s="833"/>
      <c r="C119" s="500" t="str">
        <f t="shared" si="58"/>
        <v>100G</v>
      </c>
      <c r="D119" s="500" t="str">
        <f t="shared" si="58"/>
        <v>SFP, QSFP</v>
      </c>
      <c r="E119" s="48">
        <f t="shared" ref="E119:N119" si="61">E108*E95/10^6</f>
        <v>67.2</v>
      </c>
      <c r="F119" s="48">
        <f t="shared" si="61"/>
        <v>54.729847999999997</v>
      </c>
      <c r="G119" s="48"/>
      <c r="H119" s="48"/>
      <c r="I119" s="48"/>
      <c r="J119" s="48"/>
      <c r="K119" s="48"/>
      <c r="L119" s="48"/>
      <c r="M119" s="48"/>
      <c r="N119" s="48"/>
    </row>
    <row r="120" spans="1:14" s="160" customFormat="1" ht="12.75" customHeight="1" x14ac:dyDescent="0.25">
      <c r="A120" s="106"/>
      <c r="B120" s="833"/>
      <c r="C120" s="500" t="str">
        <f t="shared" si="58"/>
        <v>200G</v>
      </c>
      <c r="D120" s="500" t="str">
        <f t="shared" si="58"/>
        <v>SFP, QSFP</v>
      </c>
      <c r="E120" s="48"/>
      <c r="F120" s="48"/>
      <c r="G120" s="48"/>
      <c r="H120" s="48"/>
      <c r="I120" s="48"/>
      <c r="J120" s="48"/>
      <c r="K120" s="48"/>
      <c r="L120" s="48"/>
      <c r="M120" s="48"/>
      <c r="N120" s="48"/>
    </row>
    <row r="121" spans="1:14" s="160" customFormat="1" ht="12.75" customHeight="1" x14ac:dyDescent="0.25">
      <c r="A121" s="106"/>
      <c r="B121" s="833"/>
      <c r="C121" s="500" t="str">
        <f t="shared" si="58"/>
        <v xml:space="preserve">≥400G </v>
      </c>
      <c r="D121" s="500" t="str">
        <f t="shared" si="58"/>
        <v>QSFP-DD, OSFP</v>
      </c>
      <c r="E121" s="48"/>
      <c r="F121" s="48"/>
      <c r="G121" s="48"/>
      <c r="H121" s="48"/>
      <c r="I121" s="48"/>
      <c r="J121" s="48"/>
      <c r="K121" s="48"/>
      <c r="L121" s="48"/>
      <c r="M121" s="48"/>
      <c r="N121" s="48"/>
    </row>
    <row r="122" spans="1:14" s="160" customFormat="1" ht="12.75" customHeight="1" x14ac:dyDescent="0.25">
      <c r="A122" s="106"/>
      <c r="B122" s="833"/>
      <c r="C122" s="500" t="str">
        <f t="shared" si="58"/>
        <v>All Other</v>
      </c>
      <c r="D122" s="500" t="str">
        <f t="shared" si="58"/>
        <v>Mini-SAS HD, CXP, QSFP</v>
      </c>
      <c r="E122" s="48">
        <f t="shared" ref="E122:N122" si="62">E111*E98/10^6</f>
        <v>80.471183236561174</v>
      </c>
      <c r="F122" s="48">
        <f t="shared" si="62"/>
        <v>57.810825333540215</v>
      </c>
      <c r="G122" s="48"/>
      <c r="H122" s="48"/>
      <c r="I122" s="48"/>
      <c r="J122" s="48"/>
      <c r="K122" s="48"/>
      <c r="L122" s="48"/>
      <c r="M122" s="48"/>
      <c r="N122" s="48"/>
    </row>
    <row r="123" spans="1:14" s="160" customFormat="1" ht="12.75" customHeight="1" x14ac:dyDescent="0.25">
      <c r="A123" s="106"/>
      <c r="B123" s="833"/>
      <c r="C123" s="500" t="str">
        <f t="shared" ref="C123:D123" si="63">C99</f>
        <v>Total AOCs</v>
      </c>
      <c r="D123" s="500" t="str">
        <f t="shared" si="63"/>
        <v>All</v>
      </c>
      <c r="E123" s="142">
        <f>SUM(E116:E122)</f>
        <v>230.2932662591864</v>
      </c>
      <c r="F123" s="142">
        <f t="shared" ref="F123" si="64">SUM(F116:F122)</f>
        <v>212.30244933354021</v>
      </c>
      <c r="G123" s="142"/>
      <c r="H123" s="142"/>
      <c r="I123" s="142"/>
      <c r="J123" s="142"/>
      <c r="K123" s="142"/>
      <c r="L123" s="142"/>
      <c r="M123" s="142"/>
      <c r="N123" s="142"/>
    </row>
    <row r="124" spans="1:14" s="160" customFormat="1" x14ac:dyDescent="0.25">
      <c r="A124" s="56"/>
      <c r="B124" s="248" t="s">
        <v>132</v>
      </c>
      <c r="C124" s="434"/>
      <c r="D124" s="434"/>
      <c r="E124" s="249">
        <f>E123+E115</f>
        <v>254.58226587697408</v>
      </c>
      <c r="F124" s="249">
        <f t="shared" ref="F124" si="65">F123+F115</f>
        <v>261.78257833354019</v>
      </c>
      <c r="G124" s="249"/>
      <c r="H124" s="249"/>
      <c r="I124" s="249"/>
      <c r="J124" s="249"/>
      <c r="K124" s="249"/>
      <c r="L124" s="249"/>
      <c r="M124" s="249"/>
      <c r="N124" s="249"/>
    </row>
    <row r="125" spans="1:14" s="160" customFormat="1" x14ac:dyDescent="0.25">
      <c r="A125" s="56"/>
      <c r="B125" s="113"/>
      <c r="C125" s="71"/>
      <c r="D125" s="71"/>
      <c r="E125" s="8"/>
      <c r="F125" s="8">
        <f t="shared" ref="F125" si="66">IF(E124=0,"",F124/E124-1)</f>
        <v>2.8282851642327911E-2</v>
      </c>
      <c r="G125" s="8"/>
      <c r="H125" s="8"/>
      <c r="I125" s="8"/>
      <c r="J125" s="8"/>
      <c r="K125" s="8"/>
      <c r="L125" s="30"/>
      <c r="M125" s="30"/>
      <c r="N125" s="30"/>
    </row>
    <row r="126" spans="1:14" x14ac:dyDescent="0.25">
      <c r="B126"/>
      <c r="C126"/>
      <c r="E126"/>
      <c r="F126"/>
      <c r="G126"/>
      <c r="H126"/>
      <c r="I126"/>
      <c r="J126"/>
      <c r="K126"/>
      <c r="L126"/>
    </row>
    <row r="127" spans="1:14" x14ac:dyDescent="0.25">
      <c r="B127"/>
      <c r="C127"/>
      <c r="E127"/>
      <c r="F127"/>
      <c r="G127"/>
      <c r="H127"/>
      <c r="I127"/>
      <c r="J127"/>
      <c r="K127"/>
      <c r="L127"/>
    </row>
    <row r="128" spans="1:14" x14ac:dyDescent="0.25">
      <c r="B128" s="113"/>
      <c r="C128" s="71"/>
      <c r="D128" s="71"/>
      <c r="E128" s="71"/>
      <c r="F128" s="8" t="str">
        <f t="shared" ref="F128:N128" si="67">IF(E127=0,"",F127/E127-1)</f>
        <v/>
      </c>
      <c r="G128" s="8" t="str">
        <f t="shared" si="67"/>
        <v/>
      </c>
      <c r="H128" s="8" t="str">
        <f t="shared" si="67"/>
        <v/>
      </c>
      <c r="I128" s="8" t="str">
        <f t="shared" si="67"/>
        <v/>
      </c>
      <c r="J128" s="8" t="str">
        <f t="shared" si="67"/>
        <v/>
      </c>
      <c r="K128" s="8" t="str">
        <f t="shared" si="67"/>
        <v/>
      </c>
      <c r="L128" s="346" t="str">
        <f t="shared" si="67"/>
        <v/>
      </c>
      <c r="M128" s="346" t="str">
        <f t="shared" si="67"/>
        <v/>
      </c>
      <c r="N128" s="346" t="str">
        <f t="shared" si="67"/>
        <v/>
      </c>
    </row>
  </sheetData>
  <mergeCells count="9">
    <mergeCell ref="B92:B99"/>
    <mergeCell ref="B105:B111"/>
    <mergeCell ref="B116:B123"/>
    <mergeCell ref="B34:B41"/>
    <mergeCell ref="B10:B17"/>
    <mergeCell ref="B23:B29"/>
    <mergeCell ref="B51:B58"/>
    <mergeCell ref="B64:B70"/>
    <mergeCell ref="B75:B8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AM143"/>
  <sheetViews>
    <sheetView zoomScale="80" zoomScaleNormal="80" zoomScalePageLayoutView="70" workbookViewId="0">
      <selection activeCell="E127" sqref="E127:N143"/>
    </sheetView>
  </sheetViews>
  <sheetFormatPr defaultColWidth="8.81640625" defaultRowHeight="12.5" x14ac:dyDescent="0.25"/>
  <cols>
    <col min="1" max="1" width="4.453125" customWidth="1"/>
    <col min="2" max="2" width="37.6328125" customWidth="1"/>
    <col min="3" max="10" width="11.1796875" customWidth="1"/>
    <col min="11" max="13" width="11.1796875" style="160" customWidth="1"/>
  </cols>
  <sheetData>
    <row r="1" spans="2:39" s="160" customFormat="1" x14ac:dyDescent="0.25"/>
    <row r="2" spans="2:39" s="160" customFormat="1" ht="18" x14ac:dyDescent="0.4">
      <c r="B2" s="76" t="str">
        <f>Introduction!B2</f>
        <v>LightCounting Optical Components Market Forecast for China</v>
      </c>
      <c r="AE2" s="9"/>
      <c r="AF2" s="9"/>
      <c r="AG2" s="9"/>
      <c r="AH2" s="9"/>
      <c r="AL2" s="276"/>
      <c r="AM2" s="276"/>
    </row>
    <row r="3" spans="2:39" s="160" customFormat="1" ht="15.5" x14ac:dyDescent="0.35">
      <c r="B3" s="214" t="str">
        <f>Introduction!$B$3</f>
        <v>January 25, 2021 - sample only - for illustrative purposes</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52"/>
      <c r="AF3" s="152"/>
      <c r="AG3" s="152"/>
      <c r="AH3" s="152"/>
      <c r="AL3" s="276"/>
      <c r="AM3" s="276"/>
    </row>
    <row r="4" spans="2:39" s="160" customFormat="1" ht="15.5" x14ac:dyDescent="0.35">
      <c r="B4" s="217" t="s">
        <v>320</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52"/>
      <c r="AF4" s="152"/>
      <c r="AG4" s="152"/>
      <c r="AH4" s="152"/>
      <c r="AL4" s="276"/>
      <c r="AM4" s="276"/>
    </row>
    <row r="5" spans="2:39" s="160" customFormat="1" x14ac:dyDescent="0.25"/>
    <row r="9" spans="2:39" x14ac:dyDescent="0.25">
      <c r="G9" t="s">
        <v>410</v>
      </c>
    </row>
    <row r="10" spans="2:39" x14ac:dyDescent="0.25">
      <c r="C10" s="359">
        <v>2010</v>
      </c>
      <c r="D10" s="359">
        <v>2011</v>
      </c>
      <c r="E10" s="359">
        <v>2012</v>
      </c>
      <c r="F10" s="359">
        <v>2013</v>
      </c>
      <c r="G10" s="359">
        <v>2014</v>
      </c>
      <c r="H10" s="359">
        <v>2015</v>
      </c>
      <c r="I10" s="359">
        <v>2016</v>
      </c>
      <c r="J10" s="359">
        <v>2017</v>
      </c>
      <c r="K10" s="359">
        <v>2018</v>
      </c>
      <c r="L10" s="359">
        <v>2019</v>
      </c>
      <c r="M10" s="751" t="s">
        <v>504</v>
      </c>
      <c r="N10" s="9" t="s">
        <v>2</v>
      </c>
    </row>
    <row r="11" spans="2:39" ht="13" x14ac:dyDescent="0.3">
      <c r="B11" s="472" t="s">
        <v>192</v>
      </c>
      <c r="C11" s="584"/>
      <c r="D11" s="584"/>
      <c r="E11" s="584"/>
      <c r="F11" s="584"/>
      <c r="G11" s="584"/>
      <c r="H11" s="584"/>
      <c r="I11" s="584"/>
      <c r="J11" s="584"/>
      <c r="K11" s="584"/>
      <c r="L11" s="584"/>
      <c r="M11" s="584"/>
      <c r="N11" s="585"/>
    </row>
    <row r="12" spans="2:39" x14ac:dyDescent="0.25">
      <c r="B12" s="473" t="s">
        <v>388</v>
      </c>
      <c r="C12" s="584">
        <v>0.51828937243374351</v>
      </c>
      <c r="D12" s="584">
        <v>1.0991779361694289</v>
      </c>
      <c r="E12" s="584"/>
      <c r="F12" s="584"/>
      <c r="G12" s="584"/>
      <c r="H12" s="584"/>
      <c r="I12" s="584"/>
      <c r="J12" s="584"/>
      <c r="K12" s="584"/>
      <c r="L12" s="584"/>
      <c r="M12" s="584"/>
      <c r="N12" s="585">
        <f>(L12/C12)^(1/9)-1</f>
        <v>-1</v>
      </c>
      <c r="O12" s="59"/>
    </row>
    <row r="13" spans="2:39" x14ac:dyDescent="0.25">
      <c r="B13" s="473" t="s">
        <v>390</v>
      </c>
      <c r="C13" s="584">
        <v>5.2889999999999997</v>
      </c>
      <c r="D13" s="584">
        <v>5.8540000000000001</v>
      </c>
      <c r="E13" s="584"/>
      <c r="F13" s="584"/>
      <c r="G13" s="584"/>
      <c r="H13" s="584"/>
      <c r="I13" s="584"/>
      <c r="J13" s="584"/>
      <c r="K13" s="584"/>
      <c r="L13" s="584"/>
      <c r="M13" s="584"/>
      <c r="N13" s="585">
        <f>(L13/C13)^(1/9)-1</f>
        <v>-1</v>
      </c>
      <c r="O13" s="59"/>
    </row>
    <row r="14" spans="2:39" x14ac:dyDescent="0.25">
      <c r="C14" s="44"/>
      <c r="D14" s="44"/>
      <c r="E14" s="44"/>
      <c r="F14" s="44"/>
      <c r="G14" s="511"/>
      <c r="H14" s="511"/>
      <c r="I14" s="511"/>
      <c r="J14" s="511"/>
      <c r="K14" s="511"/>
      <c r="L14" s="511"/>
      <c r="M14" s="511"/>
      <c r="N14" s="585"/>
    </row>
    <row r="15" spans="2:39" ht="13" x14ac:dyDescent="0.3">
      <c r="B15" s="472" t="s">
        <v>182</v>
      </c>
      <c r="C15" s="584"/>
      <c r="D15" s="584"/>
      <c r="E15" s="584"/>
      <c r="F15" s="584"/>
      <c r="G15" s="584"/>
      <c r="H15" s="584"/>
      <c r="I15" s="584"/>
      <c r="J15" s="584"/>
      <c r="K15" s="584"/>
      <c r="L15" s="584"/>
      <c r="M15" s="584"/>
      <c r="N15" s="585"/>
    </row>
    <row r="16" spans="2:39" x14ac:dyDescent="0.25">
      <c r="B16" s="473" t="s">
        <v>388</v>
      </c>
      <c r="C16" s="584">
        <v>5.2990042134652136</v>
      </c>
      <c r="D16" s="584">
        <v>9.3760972004434713</v>
      </c>
      <c r="E16" s="584"/>
      <c r="F16" s="584"/>
      <c r="G16" s="584"/>
      <c r="H16" s="584"/>
      <c r="I16" s="584"/>
      <c r="J16" s="584"/>
      <c r="K16" s="584"/>
      <c r="L16" s="584"/>
      <c r="M16" s="584"/>
      <c r="N16" s="585">
        <f>(L16/C16)^(1/9)-1</f>
        <v>-1</v>
      </c>
    </row>
    <row r="17" spans="2:14" x14ac:dyDescent="0.25">
      <c r="B17" s="473" t="s">
        <v>390</v>
      </c>
      <c r="C17" s="584">
        <v>65.5</v>
      </c>
      <c r="D17" s="584">
        <v>89.692999999999998</v>
      </c>
      <c r="E17" s="584"/>
      <c r="F17" s="584"/>
      <c r="G17" s="584"/>
      <c r="H17" s="584"/>
      <c r="I17" s="584"/>
      <c r="J17" s="584"/>
      <c r="K17" s="584"/>
      <c r="L17" s="584"/>
      <c r="M17" s="584"/>
      <c r="N17" s="585">
        <f>(L17/C17)^(1/9)-1</f>
        <v>-1</v>
      </c>
    </row>
    <row r="18" spans="2:14" x14ac:dyDescent="0.25">
      <c r="B18" s="474"/>
      <c r="C18" s="160"/>
      <c r="D18" s="160"/>
      <c r="E18" s="160"/>
      <c r="F18" s="160"/>
      <c r="G18" s="160"/>
      <c r="H18" s="160"/>
      <c r="I18" s="160"/>
      <c r="J18" s="160"/>
      <c r="N18" s="160"/>
    </row>
    <row r="19" spans="2:14" s="160" customFormat="1" ht="13" x14ac:dyDescent="0.3">
      <c r="B19" s="475" t="s">
        <v>227</v>
      </c>
    </row>
    <row r="20" spans="2:14" s="160" customFormat="1" x14ac:dyDescent="0.25">
      <c r="B20" s="473" t="s">
        <v>388</v>
      </c>
      <c r="C20" s="396">
        <f>C16/C95*1000</f>
        <v>1.1620623275143012</v>
      </c>
      <c r="D20" s="396">
        <f t="shared" ref="D20:L20" si="0">D16/D95*1000</f>
        <v>1.8899611369569584</v>
      </c>
      <c r="E20" s="396"/>
      <c r="F20" s="396"/>
      <c r="G20" s="396"/>
      <c r="H20" s="396"/>
      <c r="I20" s="396"/>
      <c r="J20" s="396"/>
      <c r="K20" s="396"/>
      <c r="L20" s="396"/>
      <c r="M20" s="396"/>
    </row>
    <row r="21" spans="2:14" s="160" customFormat="1" x14ac:dyDescent="0.25">
      <c r="B21" s="473" t="s">
        <v>390</v>
      </c>
      <c r="C21" s="396" t="e">
        <f>C17*1000/C99</f>
        <v>#DIV/0!</v>
      </c>
      <c r="D21" s="396" t="e">
        <f t="shared" ref="D21:L21" si="1">D17*1000/D99</f>
        <v>#DIV/0!</v>
      </c>
      <c r="E21" s="396"/>
      <c r="F21" s="396"/>
      <c r="G21" s="396"/>
      <c r="H21" s="396"/>
      <c r="I21" s="396"/>
      <c r="J21" s="396"/>
      <c r="K21" s="396"/>
      <c r="L21" s="396"/>
      <c r="M21" s="396"/>
    </row>
    <row r="22" spans="2:14" s="160" customFormat="1" x14ac:dyDescent="0.25">
      <c r="B22" s="474"/>
    </row>
    <row r="23" spans="2:14" s="160" customFormat="1" ht="13" x14ac:dyDescent="0.3">
      <c r="B23" s="476" t="s">
        <v>228</v>
      </c>
    </row>
    <row r="24" spans="2:14" s="160" customFormat="1" x14ac:dyDescent="0.25">
      <c r="B24" s="473" t="s">
        <v>388</v>
      </c>
      <c r="C24" s="67">
        <f>C12*C142</f>
        <v>1.0827246846061056</v>
      </c>
      <c r="D24" s="67">
        <f t="shared" ref="D24:I24" si="2">D12*D142</f>
        <v>2.1462883829214388</v>
      </c>
      <c r="E24" s="67"/>
      <c r="F24" s="67"/>
      <c r="G24" s="67"/>
      <c r="H24" s="67"/>
      <c r="I24" s="67"/>
      <c r="J24" s="67"/>
      <c r="K24" s="67"/>
      <c r="L24" s="67"/>
      <c r="M24" s="67"/>
    </row>
    <row r="25" spans="2:14" s="160" customFormat="1" x14ac:dyDescent="0.25">
      <c r="B25" s="473" t="s">
        <v>390</v>
      </c>
      <c r="C25" s="67" t="e">
        <f>C13*C143</f>
        <v>#DIV/0!</v>
      </c>
      <c r="D25" s="67" t="e">
        <f t="shared" ref="D25:I25" si="3">D13*D143</f>
        <v>#DIV/0!</v>
      </c>
      <c r="E25" s="67"/>
      <c r="F25" s="67"/>
      <c r="G25" s="67"/>
      <c r="H25" s="67"/>
      <c r="I25" s="67"/>
      <c r="J25" s="67"/>
      <c r="K25" s="67"/>
      <c r="L25" s="67"/>
      <c r="M25" s="67"/>
    </row>
    <row r="26" spans="2:14" s="160" customFormat="1" x14ac:dyDescent="0.25"/>
    <row r="27" spans="2:14" s="160" customFormat="1" x14ac:dyDescent="0.25"/>
    <row r="28" spans="2:14" s="160" customFormat="1" x14ac:dyDescent="0.25">
      <c r="J28" s="160" t="s">
        <v>411</v>
      </c>
    </row>
    <row r="29" spans="2:14" s="160" customFormat="1" x14ac:dyDescent="0.25">
      <c r="J29" s="262" t="s">
        <v>388</v>
      </c>
      <c r="K29" s="59" t="e">
        <f t="shared" ref="K29:M30" si="4">K12/J12-1</f>
        <v>#DIV/0!</v>
      </c>
      <c r="L29" s="59" t="e">
        <f t="shared" si="4"/>
        <v>#DIV/0!</v>
      </c>
      <c r="M29" s="59" t="e">
        <f t="shared" si="4"/>
        <v>#DIV/0!</v>
      </c>
    </row>
    <row r="30" spans="2:14" s="160" customFormat="1" x14ac:dyDescent="0.25">
      <c r="J30" s="262" t="s">
        <v>390</v>
      </c>
      <c r="K30" s="59" t="e">
        <f t="shared" si="4"/>
        <v>#DIV/0!</v>
      </c>
      <c r="L30" s="59" t="e">
        <f t="shared" si="4"/>
        <v>#DIV/0!</v>
      </c>
      <c r="M30" s="59" t="e">
        <f t="shared" si="4"/>
        <v>#DIV/0!</v>
      </c>
    </row>
    <row r="31" spans="2:14" s="160" customFormat="1" x14ac:dyDescent="0.25"/>
    <row r="32" spans="2:14" s="160" customFormat="1" x14ac:dyDescent="0.25"/>
    <row r="33" spans="2:14" s="160" customFormat="1" x14ac:dyDescent="0.25"/>
    <row r="34" spans="2:14" s="160" customFormat="1" x14ac:dyDescent="0.25"/>
    <row r="35" spans="2:14" s="160" customFormat="1" x14ac:dyDescent="0.25"/>
    <row r="36" spans="2:14" s="160" customFormat="1" x14ac:dyDescent="0.25"/>
    <row r="37" spans="2:14" s="160" customFormat="1" x14ac:dyDescent="0.25"/>
    <row r="38" spans="2:14" s="160" customFormat="1" x14ac:dyDescent="0.25"/>
    <row r="39" spans="2:14" s="160" customFormat="1" x14ac:dyDescent="0.25"/>
    <row r="40" spans="2:14" ht="13" x14ac:dyDescent="0.3">
      <c r="B40" s="358" t="s">
        <v>375</v>
      </c>
      <c r="C40" s="359">
        <v>2010</v>
      </c>
      <c r="D40" s="359">
        <v>2011</v>
      </c>
      <c r="E40" s="359">
        <v>2012</v>
      </c>
      <c r="F40" s="359">
        <v>2013</v>
      </c>
      <c r="G40" s="359">
        <v>2014</v>
      </c>
      <c r="H40" s="359">
        <v>2015</v>
      </c>
      <c r="I40" s="359">
        <v>2016</v>
      </c>
      <c r="J40" s="359">
        <v>2017</v>
      </c>
      <c r="K40" s="359">
        <v>2018</v>
      </c>
      <c r="L40" s="359">
        <v>2019</v>
      </c>
      <c r="M40" s="751" t="str">
        <f>$M$10</f>
        <v>2020E</v>
      </c>
      <c r="N40" s="160"/>
    </row>
    <row r="41" spans="2:14" x14ac:dyDescent="0.25">
      <c r="B41" s="473" t="s">
        <v>388</v>
      </c>
      <c r="C41" s="59">
        <f t="shared" ref="C41:L41" si="5">C12/C16</f>
        <v>9.7808824366798358E-2</v>
      </c>
      <c r="D41" s="59">
        <f t="shared" si="5"/>
        <v>0.11723192631977407</v>
      </c>
      <c r="E41" s="59"/>
      <c r="F41" s="59"/>
      <c r="G41" s="59"/>
      <c r="H41" s="59"/>
      <c r="I41" s="59"/>
      <c r="J41" s="59"/>
      <c r="K41" s="59"/>
      <c r="L41" s="59"/>
      <c r="M41" s="59"/>
      <c r="N41" s="160"/>
    </row>
    <row r="42" spans="2:14" x14ac:dyDescent="0.25">
      <c r="B42" s="473" t="s">
        <v>390</v>
      </c>
      <c r="C42" s="59">
        <f t="shared" ref="C42:L42" si="6">C13/C17</f>
        <v>8.0748091603053435E-2</v>
      </c>
      <c r="D42" s="59">
        <f t="shared" si="6"/>
        <v>6.5267077698371118E-2</v>
      </c>
      <c r="E42" s="59"/>
      <c r="F42" s="59"/>
      <c r="G42" s="59"/>
      <c r="H42" s="59"/>
      <c r="I42" s="59"/>
      <c r="J42" s="59"/>
      <c r="K42" s="59"/>
      <c r="L42" s="59"/>
      <c r="M42" s="59"/>
      <c r="N42" s="160"/>
    </row>
    <row r="43" spans="2:14" x14ac:dyDescent="0.25">
      <c r="N43" s="160"/>
    </row>
    <row r="44" spans="2:14" x14ac:dyDescent="0.25">
      <c r="B44" s="160"/>
      <c r="C44" s="160"/>
      <c r="D44" s="160"/>
      <c r="E44" s="160"/>
      <c r="F44" s="160"/>
      <c r="G44" s="160"/>
      <c r="H44" s="160"/>
      <c r="I44" s="160"/>
      <c r="J44" s="160"/>
      <c r="N44" s="160"/>
    </row>
    <row r="45" spans="2:14" x14ac:dyDescent="0.25">
      <c r="B45" s="160"/>
      <c r="C45" s="160"/>
      <c r="D45" s="160"/>
      <c r="E45" s="160"/>
      <c r="F45" s="160"/>
      <c r="G45" s="160"/>
      <c r="H45" s="160"/>
      <c r="I45" s="160"/>
      <c r="J45" s="160"/>
      <c r="N45" s="160"/>
    </row>
    <row r="46" spans="2:14" x14ac:dyDescent="0.25">
      <c r="B46" s="160"/>
      <c r="C46" s="160"/>
      <c r="D46" s="160"/>
      <c r="E46" s="160"/>
      <c r="F46" s="160"/>
      <c r="G46" s="160"/>
      <c r="H46" s="160"/>
      <c r="I46" s="160"/>
      <c r="J46" s="160"/>
      <c r="N46" s="160"/>
    </row>
    <row r="47" spans="2:14" x14ac:dyDescent="0.25">
      <c r="C47" s="262" t="s">
        <v>193</v>
      </c>
      <c r="D47" s="160"/>
      <c r="E47" s="160"/>
      <c r="F47" s="160"/>
      <c r="G47" s="160"/>
      <c r="H47" s="160"/>
      <c r="I47" s="160"/>
      <c r="J47" s="160"/>
      <c r="N47" s="160"/>
    </row>
    <row r="48" spans="2:14" x14ac:dyDescent="0.25">
      <c r="B48" s="262" t="s">
        <v>182</v>
      </c>
      <c r="C48" s="349">
        <v>1914.3381103621059</v>
      </c>
      <c r="D48" s="349">
        <v>4672.5406076720255</v>
      </c>
      <c r="E48" s="349"/>
      <c r="F48" s="349"/>
      <c r="G48" s="349"/>
      <c r="H48" s="349"/>
      <c r="I48" s="349"/>
      <c r="J48" s="349"/>
      <c r="K48" s="349"/>
      <c r="L48" s="349"/>
      <c r="M48" s="349"/>
      <c r="N48" s="160"/>
    </row>
    <row r="49" spans="2:14" x14ac:dyDescent="0.25">
      <c r="B49" s="262" t="s">
        <v>194</v>
      </c>
      <c r="C49" s="59">
        <v>7.6444344514227415E-3</v>
      </c>
      <c r="D49" s="59">
        <v>1.3579573903895558E-2</v>
      </c>
      <c r="E49" s="59"/>
      <c r="F49" s="59"/>
      <c r="G49" s="59"/>
      <c r="H49" s="59"/>
      <c r="I49" s="59"/>
      <c r="J49" s="59"/>
      <c r="K49" s="59"/>
      <c r="L49" s="59"/>
      <c r="M49" s="59"/>
      <c r="N49" s="160"/>
    </row>
    <row r="50" spans="2:14" x14ac:dyDescent="0.25">
      <c r="N50" s="160"/>
    </row>
    <row r="51" spans="2:14" x14ac:dyDescent="0.25">
      <c r="B51" s="262" t="s">
        <v>195</v>
      </c>
      <c r="C51" s="349">
        <v>35.242032800487287</v>
      </c>
      <c r="D51" s="349">
        <v>160.85986265536721</v>
      </c>
      <c r="E51" s="349"/>
      <c r="F51" s="349"/>
      <c r="G51" s="349"/>
      <c r="H51" s="349"/>
      <c r="I51" s="349"/>
      <c r="J51" s="349"/>
      <c r="K51" s="349"/>
      <c r="L51" s="349"/>
      <c r="M51" s="349"/>
      <c r="N51" s="160"/>
    </row>
    <row r="52" spans="2:14" x14ac:dyDescent="0.25">
      <c r="B52" s="262" t="s">
        <v>194</v>
      </c>
      <c r="C52" s="59">
        <v>3.0595113176975159E-3</v>
      </c>
      <c r="D52" s="59">
        <v>1.1023352214350499E-2</v>
      </c>
      <c r="E52" s="59"/>
      <c r="F52" s="59"/>
      <c r="G52" s="59"/>
      <c r="H52" s="59"/>
      <c r="I52" s="59"/>
      <c r="J52" s="59"/>
      <c r="K52" s="59"/>
      <c r="L52" s="59"/>
      <c r="M52" s="59"/>
      <c r="N52" s="59"/>
    </row>
    <row r="67" spans="2:14" x14ac:dyDescent="0.25">
      <c r="N67" s="160"/>
    </row>
    <row r="68" spans="2:14" x14ac:dyDescent="0.25">
      <c r="N68" s="160"/>
    </row>
    <row r="69" spans="2:14" x14ac:dyDescent="0.25">
      <c r="N69" s="160"/>
    </row>
    <row r="70" spans="2:14" x14ac:dyDescent="0.25">
      <c r="N70" s="160"/>
    </row>
    <row r="71" spans="2:14" ht="13" x14ac:dyDescent="0.3">
      <c r="B71" s="361" t="s">
        <v>198</v>
      </c>
      <c r="C71" s="359">
        <v>2010</v>
      </c>
      <c r="D71" s="359">
        <v>2011</v>
      </c>
      <c r="E71" s="359">
        <v>2012</v>
      </c>
      <c r="F71" s="359">
        <v>2013</v>
      </c>
      <c r="G71" s="359">
        <v>2014</v>
      </c>
      <c r="H71" s="359">
        <v>2015</v>
      </c>
      <c r="I71" s="359">
        <v>2016</v>
      </c>
      <c r="J71" s="359">
        <v>2017</v>
      </c>
      <c r="K71" s="359">
        <v>2018</v>
      </c>
      <c r="L71" s="359">
        <v>2019</v>
      </c>
      <c r="M71" s="751" t="str">
        <f>M40</f>
        <v>2020E</v>
      </c>
      <c r="N71" s="160"/>
    </row>
    <row r="72" spans="2:14" x14ac:dyDescent="0.25">
      <c r="B72" s="262" t="s">
        <v>199</v>
      </c>
      <c r="C72" s="67">
        <f t="shared" ref="C72:I73" si="7">C16</f>
        <v>5.2990042134652136</v>
      </c>
      <c r="D72" s="67">
        <f t="shared" si="7"/>
        <v>9.3760972004434713</v>
      </c>
      <c r="E72" s="67"/>
      <c r="F72" s="67"/>
      <c r="G72" s="67"/>
      <c r="H72" s="67"/>
      <c r="I72" s="67"/>
      <c r="J72" s="67"/>
      <c r="K72" s="67"/>
      <c r="L72" s="67"/>
      <c r="M72" s="67"/>
      <c r="N72" s="160"/>
    </row>
    <row r="73" spans="2:14" x14ac:dyDescent="0.25">
      <c r="B73" s="262" t="s">
        <v>196</v>
      </c>
      <c r="C73" s="67">
        <f t="shared" si="7"/>
        <v>65.5</v>
      </c>
      <c r="D73" s="67">
        <f t="shared" si="7"/>
        <v>89.692999999999998</v>
      </c>
      <c r="E73" s="67"/>
      <c r="F73" s="67"/>
      <c r="G73" s="67"/>
      <c r="H73" s="67"/>
      <c r="I73" s="67"/>
      <c r="J73" s="67"/>
      <c r="K73" s="67"/>
      <c r="L73" s="67"/>
      <c r="M73" s="67"/>
      <c r="N73" s="160"/>
    </row>
    <row r="74" spans="2:14" x14ac:dyDescent="0.25">
      <c r="B74" s="262" t="s">
        <v>200</v>
      </c>
      <c r="C74" s="353">
        <f>C73/C72</f>
        <v>12.360812968134468</v>
      </c>
      <c r="D74" s="353">
        <f t="shared" ref="D74:I74" si="8">D73/D72</f>
        <v>9.5661337636045083</v>
      </c>
      <c r="E74" s="353"/>
      <c r="F74" s="353"/>
      <c r="G74" s="353"/>
      <c r="H74" s="353"/>
      <c r="I74" s="353"/>
      <c r="J74" s="353"/>
      <c r="K74" s="353"/>
      <c r="L74" s="353"/>
      <c r="M74" s="353"/>
      <c r="N74" s="160"/>
    </row>
    <row r="75" spans="2:14" x14ac:dyDescent="0.25">
      <c r="B75" s="160"/>
      <c r="C75" s="160"/>
      <c r="D75" s="160"/>
      <c r="E75" s="160"/>
      <c r="F75" s="160"/>
      <c r="G75" s="160"/>
      <c r="H75" s="160"/>
      <c r="I75" s="160"/>
      <c r="J75" s="160"/>
      <c r="N75" s="160"/>
    </row>
    <row r="76" spans="2:14" x14ac:dyDescent="0.25">
      <c r="B76" s="160"/>
      <c r="C76" s="160"/>
      <c r="D76" s="160"/>
      <c r="E76" s="160"/>
      <c r="F76" s="160"/>
      <c r="G76" s="160"/>
      <c r="H76" s="160"/>
      <c r="I76" s="160"/>
      <c r="J76" s="160"/>
    </row>
    <row r="94" spans="2:14" ht="13" x14ac:dyDescent="0.3">
      <c r="B94" s="368" t="s">
        <v>350</v>
      </c>
      <c r="C94" s="359">
        <v>2010</v>
      </c>
      <c r="D94" s="359">
        <v>2011</v>
      </c>
      <c r="E94" s="359">
        <v>2012</v>
      </c>
      <c r="F94" s="359">
        <v>2013</v>
      </c>
      <c r="G94" s="359">
        <v>2014</v>
      </c>
      <c r="H94" s="359">
        <v>2015</v>
      </c>
      <c r="I94" s="359">
        <v>2016</v>
      </c>
      <c r="J94" s="359">
        <v>2017</v>
      </c>
      <c r="K94" s="359">
        <v>2018</v>
      </c>
      <c r="L94" s="359">
        <v>2019</v>
      </c>
      <c r="M94" s="750" t="s">
        <v>504</v>
      </c>
      <c r="N94" s="160" t="s">
        <v>203</v>
      </c>
    </row>
    <row r="95" spans="2:14" s="160" customFormat="1" ht="13" x14ac:dyDescent="0.3">
      <c r="B95" s="362" t="s">
        <v>199</v>
      </c>
      <c r="C95" s="755">
        <v>4560</v>
      </c>
      <c r="D95" s="544">
        <v>4961</v>
      </c>
      <c r="E95" s="544"/>
      <c r="F95" s="544"/>
      <c r="G95" s="544"/>
      <c r="H95" s="544"/>
      <c r="I95" s="544"/>
      <c r="J95" s="544"/>
      <c r="K95" s="544"/>
      <c r="L95" s="544"/>
      <c r="M95" s="544"/>
      <c r="N95" s="354"/>
    </row>
    <row r="96" spans="2:14" x14ac:dyDescent="0.25">
      <c r="B96" s="262" t="s">
        <v>352</v>
      </c>
      <c r="C96" s="756">
        <v>33677</v>
      </c>
      <c r="D96" s="545">
        <v>38284</v>
      </c>
      <c r="E96" s="545"/>
      <c r="F96" s="545"/>
      <c r="G96" s="545"/>
      <c r="H96" s="545"/>
      <c r="I96" s="545"/>
      <c r="J96" s="545"/>
      <c r="K96" s="545"/>
      <c r="L96" s="545"/>
      <c r="M96" s="545"/>
      <c r="N96" s="9"/>
    </row>
    <row r="97" spans="2:14" x14ac:dyDescent="0.25">
      <c r="B97" s="262" t="s">
        <v>201</v>
      </c>
      <c r="C97" s="756">
        <v>44508</v>
      </c>
      <c r="D97" s="545">
        <v>44539</v>
      </c>
      <c r="E97" s="545"/>
      <c r="F97" s="545"/>
      <c r="G97" s="545"/>
      <c r="H97" s="545"/>
      <c r="I97" s="545"/>
      <c r="J97" s="545"/>
      <c r="K97" s="545"/>
      <c r="L97" s="545"/>
      <c r="M97" s="545"/>
      <c r="N97" s="9"/>
    </row>
    <row r="98" spans="2:14" x14ac:dyDescent="0.25">
      <c r="B98" s="291" t="s">
        <v>196</v>
      </c>
      <c r="C98" s="757">
        <v>48375</v>
      </c>
      <c r="D98" s="545">
        <v>48866</v>
      </c>
      <c r="E98" s="545"/>
      <c r="F98" s="545"/>
      <c r="G98" s="545"/>
      <c r="H98" s="545"/>
      <c r="I98" s="545"/>
      <c r="J98" s="545"/>
      <c r="K98" s="545"/>
      <c r="L98" s="545"/>
      <c r="M98" s="545"/>
      <c r="N98" s="354"/>
    </row>
    <row r="99" spans="2:14" x14ac:dyDescent="0.25">
      <c r="B99" s="363" t="s">
        <v>204</v>
      </c>
      <c r="C99" s="364" t="e">
        <f t="shared" ref="C99:I99" si="9">(C96*$N$96+C97*$N$97+C98*$N$98)/$N$99</f>
        <v>#DIV/0!</v>
      </c>
      <c r="D99" s="364" t="e">
        <f t="shared" si="9"/>
        <v>#DIV/0!</v>
      </c>
      <c r="E99" s="364"/>
      <c r="F99" s="364"/>
      <c r="G99" s="364"/>
      <c r="H99" s="364"/>
      <c r="I99" s="364"/>
      <c r="J99" s="364"/>
      <c r="K99" s="364"/>
      <c r="L99" s="364"/>
      <c r="M99" s="364"/>
      <c r="N99" s="365"/>
    </row>
    <row r="100" spans="2:14" x14ac:dyDescent="0.25">
      <c r="B100" s="550" t="s">
        <v>351</v>
      </c>
      <c r="C100" s="160"/>
      <c r="D100" s="64"/>
      <c r="E100" s="64"/>
      <c r="F100" s="64"/>
      <c r="G100" s="64"/>
      <c r="H100" s="64"/>
      <c r="J100" s="64"/>
      <c r="N100" s="160"/>
    </row>
    <row r="101" spans="2:14" x14ac:dyDescent="0.25">
      <c r="N101" s="160"/>
    </row>
    <row r="102" spans="2:14" x14ac:dyDescent="0.25">
      <c r="B102" s="262" t="s">
        <v>191</v>
      </c>
      <c r="C102" s="353" t="e">
        <f>C99/C95</f>
        <v>#DIV/0!</v>
      </c>
      <c r="D102" s="353" t="e">
        <f t="shared" ref="D102:K102" si="10">D99/D95</f>
        <v>#DIV/0!</v>
      </c>
      <c r="E102" s="353"/>
      <c r="F102" s="353"/>
      <c r="G102" s="353"/>
      <c r="H102" s="353"/>
      <c r="I102" s="353"/>
      <c r="J102" s="353"/>
      <c r="K102" s="353"/>
      <c r="L102" s="353"/>
      <c r="M102" s="353"/>
      <c r="N102" s="160"/>
    </row>
    <row r="103" spans="2:14" x14ac:dyDescent="0.25">
      <c r="B103" s="360" t="s">
        <v>202</v>
      </c>
      <c r="C103" s="160"/>
      <c r="D103" s="160"/>
      <c r="E103" s="160"/>
      <c r="F103" s="160"/>
      <c r="G103" s="160"/>
      <c r="H103" s="160"/>
      <c r="I103" s="160"/>
      <c r="J103" s="160"/>
      <c r="N103" s="160"/>
    </row>
    <row r="104" spans="2:14" s="160" customFormat="1" x14ac:dyDescent="0.25">
      <c r="B104" s="262" t="s">
        <v>197</v>
      </c>
      <c r="C104" s="353">
        <f>C98/C95</f>
        <v>10.608552631578947</v>
      </c>
      <c r="D104" s="353">
        <f t="shared" ref="D104:I104" si="11">D98/D95</f>
        <v>9.8500302358395491</v>
      </c>
      <c r="E104" s="353"/>
      <c r="F104" s="353"/>
      <c r="G104" s="353"/>
      <c r="H104" s="353"/>
      <c r="I104" s="353"/>
      <c r="J104" s="353"/>
      <c r="K104" s="353"/>
      <c r="L104" s="353"/>
      <c r="M104" s="353"/>
    </row>
    <row r="105" spans="2:14" x14ac:dyDescent="0.25">
      <c r="N105" s="160"/>
    </row>
    <row r="107" spans="2:14" ht="14" x14ac:dyDescent="0.3">
      <c r="B107" s="369" t="s">
        <v>206</v>
      </c>
    </row>
    <row r="126" spans="2:16" ht="13" x14ac:dyDescent="0.3">
      <c r="B126" s="368" t="s">
        <v>205</v>
      </c>
      <c r="C126" s="359">
        <v>2010</v>
      </c>
      <c r="D126" s="359">
        <v>2011</v>
      </c>
      <c r="E126" s="359">
        <v>2012</v>
      </c>
      <c r="F126" s="359">
        <v>2013</v>
      </c>
      <c r="G126" s="359">
        <v>2014</v>
      </c>
      <c r="H126" s="359">
        <v>2015</v>
      </c>
      <c r="I126" s="359">
        <v>2016</v>
      </c>
      <c r="J126" s="359">
        <v>2017</v>
      </c>
      <c r="K126" s="359">
        <v>2018</v>
      </c>
      <c r="L126" s="359">
        <v>2019</v>
      </c>
      <c r="M126" s="751" t="str">
        <f>$M$94</f>
        <v>2020E</v>
      </c>
    </row>
    <row r="127" spans="2:16" s="160" customFormat="1" ht="13" x14ac:dyDescent="0.3">
      <c r="B127" s="366" t="s">
        <v>199</v>
      </c>
      <c r="C127" s="553">
        <v>9526</v>
      </c>
      <c r="D127" s="553">
        <v>9687</v>
      </c>
      <c r="E127" s="553"/>
      <c r="F127" s="553"/>
      <c r="G127" s="553"/>
      <c r="H127" s="553"/>
      <c r="I127" s="553"/>
      <c r="J127" s="554"/>
      <c r="K127" s="554"/>
      <c r="L127" s="554"/>
      <c r="M127" s="754"/>
      <c r="P127" s="548"/>
    </row>
    <row r="128" spans="2:16" x14ac:dyDescent="0.25">
      <c r="B128" s="367" t="s">
        <v>349</v>
      </c>
      <c r="C128" s="62">
        <v>34103</v>
      </c>
      <c r="D128" s="62">
        <v>43526</v>
      </c>
      <c r="E128" s="62"/>
      <c r="F128" s="62"/>
      <c r="G128" s="62"/>
      <c r="H128" s="62"/>
      <c r="I128" s="62"/>
      <c r="J128" s="557"/>
      <c r="K128" s="557"/>
      <c r="L128" s="557"/>
      <c r="M128" s="557"/>
      <c r="N128" s="160"/>
      <c r="P128" s="548"/>
    </row>
    <row r="129" spans="2:16" x14ac:dyDescent="0.25">
      <c r="B129" s="266" t="s">
        <v>201</v>
      </c>
      <c r="C129" s="62">
        <v>35750</v>
      </c>
      <c r="D129" s="62">
        <v>37514</v>
      </c>
      <c r="E129" s="62"/>
      <c r="F129" s="62"/>
      <c r="G129" s="62"/>
      <c r="H129" s="62"/>
      <c r="I129" s="62"/>
      <c r="J129" s="558"/>
      <c r="K129" s="558"/>
      <c r="L129" s="558"/>
      <c r="M129" s="752"/>
      <c r="N129" s="160"/>
      <c r="P129" s="548"/>
    </row>
    <row r="130" spans="2:16" x14ac:dyDescent="0.25">
      <c r="B130" s="291" t="s">
        <v>196</v>
      </c>
      <c r="C130" s="555">
        <v>49374</v>
      </c>
      <c r="D130" s="555">
        <v>54885</v>
      </c>
      <c r="E130" s="555"/>
      <c r="F130" s="555"/>
      <c r="G130" s="555"/>
      <c r="H130" s="555"/>
      <c r="I130" s="555"/>
      <c r="J130" s="556"/>
      <c r="K130" s="556"/>
      <c r="L130" s="556"/>
      <c r="M130" s="753"/>
      <c r="N130" s="160"/>
      <c r="P130" s="548"/>
    </row>
    <row r="131" spans="2:16" x14ac:dyDescent="0.25">
      <c r="B131" s="291" t="s">
        <v>204</v>
      </c>
      <c r="C131" s="546" t="e">
        <f>(C128*$N$96+C129*$N$97+C130*$N$98)/$N$99</f>
        <v>#DIV/0!</v>
      </c>
      <c r="D131" s="546" t="e">
        <f>(D128*$N$96+D129*$N$97+D130*$N$98)/$N$99</f>
        <v>#DIV/0!</v>
      </c>
      <c r="E131" s="546"/>
      <c r="F131" s="546"/>
      <c r="G131" s="546"/>
      <c r="H131" s="546"/>
      <c r="I131" s="546"/>
      <c r="J131" s="546"/>
      <c r="K131" s="191"/>
      <c r="L131" s="191"/>
      <c r="M131" s="191"/>
      <c r="N131" s="559"/>
    </row>
    <row r="132" spans="2:16" x14ac:dyDescent="0.25">
      <c r="B132" s="160" t="s">
        <v>505</v>
      </c>
      <c r="C132" s="160"/>
      <c r="D132" s="160"/>
      <c r="E132" s="160"/>
      <c r="F132" s="160"/>
      <c r="G132" s="160"/>
      <c r="H132" s="160"/>
      <c r="I132" s="160"/>
      <c r="J132" s="160"/>
    </row>
    <row r="134" spans="2:16" x14ac:dyDescent="0.25">
      <c r="B134" s="262" t="s">
        <v>379</v>
      </c>
      <c r="C134" s="353" t="e">
        <f t="shared" ref="C134:K134" si="12">C131/C127</f>
        <v>#DIV/0!</v>
      </c>
      <c r="D134" s="353" t="e">
        <f t="shared" si="12"/>
        <v>#DIV/0!</v>
      </c>
      <c r="E134" s="353"/>
      <c r="F134" s="353"/>
      <c r="G134" s="353"/>
      <c r="H134" s="353"/>
      <c r="I134" s="353"/>
      <c r="J134" s="353"/>
      <c r="K134" s="353"/>
      <c r="L134" s="353"/>
      <c r="M134" s="353"/>
    </row>
    <row r="135" spans="2:16" x14ac:dyDescent="0.25">
      <c r="B135" s="360" t="s">
        <v>202</v>
      </c>
      <c r="C135" s="160"/>
      <c r="D135" s="160"/>
      <c r="E135" s="160"/>
      <c r="F135" s="160"/>
      <c r="G135" s="160"/>
      <c r="H135" s="160"/>
      <c r="I135" s="160"/>
      <c r="J135" s="160"/>
    </row>
    <row r="136" spans="2:16" x14ac:dyDescent="0.25">
      <c r="B136" s="262" t="s">
        <v>197</v>
      </c>
      <c r="C136" s="353">
        <f t="shared" ref="C136:M136" si="13">C130/C127</f>
        <v>5.1830778920848202</v>
      </c>
      <c r="D136" s="353">
        <f t="shared" si="13"/>
        <v>5.6658408175905857</v>
      </c>
      <c r="E136" s="353"/>
      <c r="F136" s="353"/>
      <c r="G136" s="353"/>
      <c r="H136" s="353"/>
      <c r="I136" s="353"/>
      <c r="J136" s="353"/>
      <c r="K136" s="353"/>
      <c r="L136" s="353"/>
      <c r="M136" s="353"/>
    </row>
    <row r="139" spans="2:16" x14ac:dyDescent="0.25">
      <c r="B139" s="262"/>
      <c r="D139" s="160"/>
      <c r="E139" s="160"/>
      <c r="F139" s="160"/>
      <c r="G139" s="160"/>
      <c r="H139" s="160"/>
    </row>
    <row r="142" spans="2:16" x14ac:dyDescent="0.25">
      <c r="B142" t="s">
        <v>217</v>
      </c>
      <c r="C142" s="385">
        <f>C127/C95</f>
        <v>2.0890350877192985</v>
      </c>
      <c r="D142" s="385">
        <f t="shared" ref="D142:K142" si="14">D127/D95</f>
        <v>1.9526305180407175</v>
      </c>
      <c r="E142" s="385"/>
      <c r="F142" s="385"/>
      <c r="G142" s="385"/>
      <c r="H142" s="385"/>
      <c r="I142" s="385"/>
      <c r="J142" s="385"/>
      <c r="K142" s="385"/>
      <c r="L142" s="385"/>
      <c r="M142" s="385"/>
    </row>
    <row r="143" spans="2:16" x14ac:dyDescent="0.25">
      <c r="B143" t="s">
        <v>218</v>
      </c>
      <c r="C143" s="385" t="e">
        <f>C131/C99</f>
        <v>#DIV/0!</v>
      </c>
      <c r="D143" s="385" t="e">
        <f t="shared" ref="D143:K143" si="15">D131/D99</f>
        <v>#DIV/0!</v>
      </c>
      <c r="E143" s="385"/>
      <c r="F143" s="385"/>
      <c r="G143" s="385"/>
      <c r="H143" s="385"/>
      <c r="I143" s="385"/>
      <c r="J143" s="385"/>
      <c r="K143" s="385"/>
      <c r="L143" s="385"/>
      <c r="M143" s="385"/>
    </row>
  </sheetData>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AL76"/>
  <sheetViews>
    <sheetView showGridLines="0" zoomScale="80" zoomScaleNormal="80" workbookViewId="0">
      <selection activeCell="H10" sqref="H10:Q21"/>
    </sheetView>
  </sheetViews>
  <sheetFormatPr defaultColWidth="8.81640625" defaultRowHeight="12.5" x14ac:dyDescent="0.25"/>
  <cols>
    <col min="1" max="1" width="4.453125" customWidth="1"/>
    <col min="2" max="2" width="14" customWidth="1"/>
    <col min="6" max="13" width="11.81640625" customWidth="1"/>
    <col min="14" max="14" width="12.36328125" customWidth="1"/>
    <col min="15" max="16" width="11.1796875" style="160" customWidth="1"/>
  </cols>
  <sheetData>
    <row r="1" spans="2:38" s="160" customFormat="1" x14ac:dyDescent="0.25"/>
    <row r="2" spans="2:38" s="160" customFormat="1" ht="18" x14ac:dyDescent="0.4">
      <c r="B2" s="76" t="str">
        <f>Introduction!B2</f>
        <v>LightCounting Optical Components Market Forecast for China</v>
      </c>
      <c r="AD2" s="9"/>
      <c r="AE2" s="9"/>
      <c r="AF2" s="9"/>
      <c r="AG2" s="9"/>
      <c r="AK2" s="276"/>
      <c r="AL2" s="276"/>
    </row>
    <row r="3" spans="2:38" s="160" customFormat="1" ht="15.5" x14ac:dyDescent="0.35">
      <c r="B3" s="214" t="str">
        <f>Introduction!$B$3</f>
        <v>January 25, 2021 - sample only - for illustrative purposes</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52"/>
      <c r="AE3" s="152"/>
      <c r="AF3" s="152"/>
      <c r="AG3" s="152"/>
      <c r="AK3" s="276"/>
      <c r="AL3" s="276"/>
    </row>
    <row r="4" spans="2:38" s="160" customFormat="1" ht="15.5" x14ac:dyDescent="0.35">
      <c r="B4" s="217" t="s">
        <v>319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52"/>
      <c r="AE4" s="152"/>
      <c r="AF4" s="152"/>
      <c r="AG4" s="152"/>
      <c r="AK4" s="276"/>
      <c r="AL4" s="276"/>
    </row>
    <row r="5" spans="2:38" s="160" customFormat="1" x14ac:dyDescent="0.25">
      <c r="Q5" s="17"/>
    </row>
    <row r="6" spans="2:38" x14ac:dyDescent="0.25">
      <c r="Q6" s="17"/>
    </row>
    <row r="7" spans="2:38" x14ac:dyDescent="0.25">
      <c r="Q7" s="17"/>
    </row>
    <row r="8" spans="2:38" x14ac:dyDescent="0.25">
      <c r="Q8" s="17"/>
    </row>
    <row r="9" spans="2:38" s="160" customFormat="1" ht="13" x14ac:dyDescent="0.3">
      <c r="B9" s="273" t="s">
        <v>182</v>
      </c>
      <c r="F9" s="347">
        <v>2010</v>
      </c>
      <c r="G9" s="347">
        <v>2011</v>
      </c>
      <c r="H9" s="347">
        <v>2012</v>
      </c>
      <c r="I9" s="347">
        <v>2013</v>
      </c>
      <c r="J9" s="347">
        <v>2014</v>
      </c>
      <c r="K9" s="347">
        <v>2015</v>
      </c>
      <c r="L9" s="347">
        <v>2016</v>
      </c>
      <c r="M9" s="347">
        <v>2017</v>
      </c>
      <c r="N9" s="347">
        <v>2018</v>
      </c>
      <c r="O9" s="347">
        <v>2019</v>
      </c>
      <c r="P9" s="347" t="s">
        <v>504</v>
      </c>
      <c r="Q9" s="17"/>
    </row>
    <row r="10" spans="2:38" s="160" customFormat="1" x14ac:dyDescent="0.25">
      <c r="B10" s="262" t="s">
        <v>183</v>
      </c>
      <c r="F10" s="586">
        <v>131824.7303</v>
      </c>
      <c r="G10" s="586">
        <v>154680.44560000001</v>
      </c>
      <c r="H10" s="586"/>
      <c r="I10" s="586"/>
      <c r="J10" s="586"/>
      <c r="K10" s="586"/>
      <c r="L10" s="586"/>
      <c r="M10" s="586"/>
      <c r="N10" s="586"/>
      <c r="O10" s="586"/>
      <c r="P10" s="586"/>
      <c r="Q10" s="17"/>
    </row>
    <row r="11" spans="2:38" s="160" customFormat="1" x14ac:dyDescent="0.25">
      <c r="B11" s="262" t="s">
        <v>184</v>
      </c>
      <c r="F11" s="587">
        <v>266607</v>
      </c>
      <c r="G11" s="587">
        <v>274824</v>
      </c>
      <c r="H11" s="587"/>
      <c r="I11" s="587"/>
      <c r="J11" s="587"/>
      <c r="K11" s="587"/>
      <c r="L11" s="587"/>
      <c r="M11" s="587"/>
      <c r="N11" s="587"/>
      <c r="O11" s="587"/>
      <c r="P11" s="587"/>
      <c r="Q11" s="17"/>
    </row>
    <row r="12" spans="2:38" s="160" customFormat="1" x14ac:dyDescent="0.25">
      <c r="B12" s="262" t="s">
        <v>185</v>
      </c>
      <c r="F12" s="350">
        <f>F11/F10</f>
        <v>2.0224353912446427</v>
      </c>
      <c r="G12" s="350">
        <f t="shared" ref="G12:L12" si="0">G11/G10</f>
        <v>1.7767210259446007</v>
      </c>
      <c r="H12" s="350"/>
      <c r="I12" s="350"/>
      <c r="J12" s="350"/>
      <c r="K12" s="350"/>
      <c r="L12" s="350"/>
      <c r="M12" s="350"/>
      <c r="N12" s="350"/>
      <c r="O12" s="350"/>
      <c r="P12" s="350"/>
      <c r="Q12" s="17"/>
    </row>
    <row r="13" spans="2:38" s="160" customFormat="1" x14ac:dyDescent="0.25">
      <c r="Q13" s="17"/>
    </row>
    <row r="14" spans="2:38" s="160" customFormat="1" ht="13" x14ac:dyDescent="0.3">
      <c r="B14" s="273" t="s">
        <v>186</v>
      </c>
      <c r="Q14" s="17"/>
    </row>
    <row r="15" spans="2:38" s="160" customFormat="1" x14ac:dyDescent="0.25">
      <c r="B15" s="262" t="s">
        <v>183</v>
      </c>
      <c r="F15" s="586">
        <v>36299.983620947081</v>
      </c>
      <c r="G15" s="586">
        <v>40281.249404839298</v>
      </c>
      <c r="H15" s="586"/>
      <c r="I15" s="586"/>
      <c r="J15" s="586"/>
      <c r="K15" s="586"/>
      <c r="L15" s="586"/>
      <c r="M15" s="586"/>
      <c r="N15" s="586"/>
      <c r="O15" s="586"/>
      <c r="P15" s="586"/>
      <c r="Q15" s="17"/>
    </row>
    <row r="16" spans="2:38" s="160" customFormat="1" x14ac:dyDescent="0.25">
      <c r="B16" s="262" t="s">
        <v>184</v>
      </c>
      <c r="F16" s="587">
        <v>41036</v>
      </c>
      <c r="G16" s="587">
        <v>41159.69</v>
      </c>
      <c r="H16" s="587"/>
      <c r="I16" s="587"/>
      <c r="J16" s="587"/>
      <c r="K16" s="587"/>
      <c r="L16" s="587"/>
      <c r="M16" s="587"/>
      <c r="N16" s="587"/>
      <c r="O16" s="587"/>
      <c r="P16" s="587"/>
    </row>
    <row r="17" spans="2:16" s="160" customFormat="1" x14ac:dyDescent="0.25">
      <c r="B17" s="262" t="s">
        <v>185</v>
      </c>
      <c r="F17" s="350">
        <f>F16/F15</f>
        <v>1.1304688296421153</v>
      </c>
      <c r="G17" s="350">
        <f t="shared" ref="G17:L17" si="1">G16/G15</f>
        <v>1.0218076799538192</v>
      </c>
      <c r="H17" s="350"/>
      <c r="I17" s="350"/>
      <c r="J17" s="350"/>
      <c r="K17" s="350"/>
      <c r="L17" s="350"/>
      <c r="M17" s="350"/>
      <c r="N17" s="350"/>
      <c r="O17" s="350"/>
      <c r="P17" s="350"/>
    </row>
    <row r="18" spans="2:16" s="160" customFormat="1" x14ac:dyDescent="0.25"/>
    <row r="19" spans="2:16" s="160" customFormat="1" ht="13" x14ac:dyDescent="0.3">
      <c r="B19" s="361" t="s">
        <v>187</v>
      </c>
    </row>
    <row r="20" spans="2:16" s="160" customFormat="1" x14ac:dyDescent="0.25">
      <c r="B20" s="262" t="s">
        <v>183</v>
      </c>
      <c r="F20" s="351">
        <f>F15/F10</f>
        <v>0.27536550644433277</v>
      </c>
      <c r="G20" s="351">
        <f t="shared" ref="G20:L21" si="2">G15/G10</f>
        <v>0.2604159126164251</v>
      </c>
      <c r="H20" s="351"/>
      <c r="I20" s="351"/>
      <c r="J20" s="351"/>
      <c r="K20" s="351"/>
      <c r="L20" s="351"/>
      <c r="M20" s="351"/>
      <c r="N20" s="351"/>
      <c r="O20" s="351"/>
      <c r="P20" s="351"/>
    </row>
    <row r="21" spans="2:16" s="160" customFormat="1" x14ac:dyDescent="0.25">
      <c r="B21" s="262" t="s">
        <v>184</v>
      </c>
      <c r="F21" s="351">
        <f>F16/F11</f>
        <v>0.15391943947458245</v>
      </c>
      <c r="G21" s="351">
        <f t="shared" si="2"/>
        <v>0.14976745116874801</v>
      </c>
      <c r="H21" s="351"/>
      <c r="I21" s="351"/>
      <c r="J21" s="351"/>
      <c r="K21" s="351"/>
      <c r="L21" s="351"/>
      <c r="M21" s="351"/>
      <c r="N21" s="351"/>
      <c r="O21" s="351"/>
      <c r="P21" s="351"/>
    </row>
    <row r="22" spans="2:16" s="160" customFormat="1" x14ac:dyDescent="0.25"/>
    <row r="23" spans="2:16" s="160" customFormat="1" x14ac:dyDescent="0.25"/>
    <row r="24" spans="2:16" s="160" customFormat="1" x14ac:dyDescent="0.25"/>
    <row r="25" spans="2:16" s="160" customFormat="1" x14ac:dyDescent="0.25"/>
    <row r="26" spans="2:16" s="160" customFormat="1" x14ac:dyDescent="0.25"/>
    <row r="27" spans="2:16" s="160" customFormat="1" x14ac:dyDescent="0.25"/>
    <row r="28" spans="2:16" s="160" customFormat="1" x14ac:dyDescent="0.25"/>
    <row r="29" spans="2:16" s="160" customFormat="1" x14ac:dyDescent="0.25"/>
    <row r="30" spans="2:16" s="160" customFormat="1" x14ac:dyDescent="0.25"/>
    <row r="31" spans="2:16" s="160" customFormat="1" x14ac:dyDescent="0.25"/>
    <row r="32" spans="2:16" s="160" customFormat="1" x14ac:dyDescent="0.25"/>
    <row r="33" spans="2:16" s="160" customFormat="1" x14ac:dyDescent="0.25"/>
    <row r="34" spans="2:16" s="160" customFormat="1" x14ac:dyDescent="0.25"/>
    <row r="35" spans="2:16" s="160" customFormat="1" x14ac:dyDescent="0.25"/>
    <row r="36" spans="2:16" s="160" customFormat="1" x14ac:dyDescent="0.25"/>
    <row r="37" spans="2:16" s="160" customFormat="1" x14ac:dyDescent="0.25"/>
    <row r="38" spans="2:16" s="160" customFormat="1" x14ac:dyDescent="0.25"/>
    <row r="39" spans="2:16" s="160" customFormat="1" x14ac:dyDescent="0.25">
      <c r="B39" s="160" t="s">
        <v>182</v>
      </c>
    </row>
    <row r="40" spans="2:16" s="160" customFormat="1" x14ac:dyDescent="0.25">
      <c r="B40" s="160" t="s">
        <v>388</v>
      </c>
      <c r="F40" s="689">
        <f>F10</f>
        <v>131824.7303</v>
      </c>
      <c r="G40" s="689">
        <f t="shared" ref="G40:P40" si="3">G10</f>
        <v>154680.44560000001</v>
      </c>
      <c r="H40" s="689"/>
      <c r="I40" s="689"/>
      <c r="J40" s="689"/>
      <c r="K40" s="689"/>
      <c r="L40" s="689"/>
      <c r="M40" s="689"/>
      <c r="N40" s="689"/>
      <c r="O40" s="689"/>
      <c r="P40" s="689"/>
    </row>
    <row r="41" spans="2:16" s="160" customFormat="1" x14ac:dyDescent="0.25">
      <c r="B41" s="160" t="s">
        <v>389</v>
      </c>
      <c r="F41" s="689">
        <v>818787.00415190868</v>
      </c>
      <c r="G41" s="689">
        <v>866090.46096694958</v>
      </c>
      <c r="H41" s="689"/>
      <c r="I41" s="689"/>
      <c r="J41" s="689"/>
      <c r="K41" s="689"/>
      <c r="L41" s="689"/>
      <c r="M41" s="689"/>
      <c r="N41" s="689"/>
      <c r="O41" s="689"/>
      <c r="P41" s="689"/>
    </row>
    <row r="42" spans="2:16" s="160" customFormat="1" x14ac:dyDescent="0.25">
      <c r="E42" s="262" t="s">
        <v>188</v>
      </c>
      <c r="F42" s="265">
        <f>F41/F40</f>
        <v>6.2111790578941823</v>
      </c>
      <c r="G42" s="265">
        <f t="shared" ref="G42:L42" si="4">G41/G40</f>
        <v>5.5992239846957714</v>
      </c>
      <c r="H42" s="265"/>
      <c r="I42" s="265"/>
      <c r="J42" s="265"/>
      <c r="K42" s="265"/>
      <c r="L42" s="265"/>
      <c r="M42" s="265"/>
      <c r="N42" s="265"/>
      <c r="O42" s="265"/>
      <c r="P42" s="265"/>
    </row>
    <row r="43" spans="2:16" s="160" customFormat="1" x14ac:dyDescent="0.25"/>
    <row r="44" spans="2:16" s="160" customFormat="1" x14ac:dyDescent="0.25">
      <c r="B44" s="160" t="s">
        <v>186</v>
      </c>
    </row>
    <row r="45" spans="2:16" s="160" customFormat="1" x14ac:dyDescent="0.25">
      <c r="B45" s="160" t="s">
        <v>388</v>
      </c>
      <c r="F45" s="689">
        <f>F15</f>
        <v>36299.983620947081</v>
      </c>
      <c r="G45" s="689">
        <f t="shared" ref="G45:P45" si="5">G15</f>
        <v>40281.249404839298</v>
      </c>
      <c r="H45" s="689"/>
      <c r="I45" s="689"/>
      <c r="J45" s="689"/>
      <c r="K45" s="689"/>
      <c r="L45" s="689"/>
      <c r="M45" s="689"/>
      <c r="N45" s="689"/>
      <c r="O45" s="689"/>
      <c r="P45" s="689"/>
    </row>
    <row r="46" spans="2:16" s="160" customFormat="1" x14ac:dyDescent="0.25">
      <c r="B46" s="160" t="s">
        <v>389</v>
      </c>
      <c r="F46" s="547">
        <v>124209.40861270597</v>
      </c>
      <c r="G46" s="547">
        <v>131973.21271768378</v>
      </c>
      <c r="H46" s="547"/>
      <c r="I46" s="547"/>
      <c r="J46" s="547"/>
      <c r="K46" s="547"/>
      <c r="L46" s="547"/>
      <c r="M46" s="547"/>
      <c r="N46" s="547"/>
      <c r="O46" s="547"/>
      <c r="P46" s="547"/>
    </row>
    <row r="47" spans="2:16" s="160" customFormat="1" x14ac:dyDescent="0.25">
      <c r="B47" s="160" t="s">
        <v>185</v>
      </c>
      <c r="F47" s="265">
        <f>F46/F45</f>
        <v>3.4217483376777706</v>
      </c>
      <c r="G47" s="265">
        <f t="shared" ref="G47:L47" si="6">G46/G45</f>
        <v>3.2762939250297638</v>
      </c>
      <c r="H47" s="265"/>
      <c r="I47" s="265"/>
      <c r="J47" s="265"/>
      <c r="K47" s="265"/>
      <c r="L47" s="265"/>
      <c r="M47" s="265"/>
      <c r="N47" s="265"/>
      <c r="O47" s="265"/>
      <c r="P47" s="265"/>
    </row>
    <row r="48" spans="2:16" s="160" customFormat="1" x14ac:dyDescent="0.25"/>
    <row r="49" spans="2:16" s="160" customFormat="1" x14ac:dyDescent="0.25">
      <c r="B49" s="160" t="s">
        <v>187</v>
      </c>
    </row>
    <row r="50" spans="2:16" s="160" customFormat="1" x14ac:dyDescent="0.25">
      <c r="B50" s="160" t="s">
        <v>189</v>
      </c>
      <c r="F50" s="352">
        <f>F20</f>
        <v>0.27536550644433277</v>
      </c>
      <c r="G50" s="352">
        <f t="shared" ref="G50:L50" si="7">G20</f>
        <v>0.2604159126164251</v>
      </c>
      <c r="H50" s="352"/>
      <c r="I50" s="352"/>
      <c r="J50" s="352"/>
      <c r="K50" s="352"/>
      <c r="L50" s="352"/>
      <c r="M50" s="352"/>
      <c r="N50" s="352"/>
      <c r="O50" s="352"/>
      <c r="P50" s="352"/>
    </row>
    <row r="51" spans="2:16" s="160" customFormat="1" x14ac:dyDescent="0.25">
      <c r="B51" s="160" t="s">
        <v>190</v>
      </c>
      <c r="F51" s="351">
        <f>F46/F41</f>
        <v>0.15169929173626887</v>
      </c>
      <c r="G51" s="351">
        <f t="shared" ref="G51:L51" si="8">G46/G41</f>
        <v>0.1523780928961414</v>
      </c>
      <c r="H51" s="351"/>
      <c r="I51" s="351"/>
      <c r="J51" s="351"/>
      <c r="K51" s="351"/>
      <c r="L51" s="351"/>
      <c r="M51" s="351"/>
      <c r="N51" s="351"/>
      <c r="O51" s="351"/>
      <c r="P51" s="351"/>
    </row>
    <row r="52" spans="2:16" s="160" customFormat="1" x14ac:dyDescent="0.25"/>
    <row r="53" spans="2:16" s="160" customFormat="1" x14ac:dyDescent="0.25">
      <c r="E53" s="262" t="s">
        <v>191</v>
      </c>
      <c r="F53" s="353" t="e">
        <f>ICPs!C102</f>
        <v>#DIV/0!</v>
      </c>
      <c r="G53" s="353" t="e">
        <f>ICPs!D102</f>
        <v>#DIV/0!</v>
      </c>
      <c r="H53" s="353"/>
      <c r="I53" s="353"/>
      <c r="J53" s="353"/>
      <c r="K53" s="353"/>
      <c r="L53" s="353"/>
      <c r="M53" s="353"/>
      <c r="N53" s="353"/>
      <c r="O53" s="353"/>
      <c r="P53" s="353"/>
    </row>
    <row r="54" spans="2:16" s="160" customFormat="1" x14ac:dyDescent="0.25">
      <c r="B54" s="160" t="s">
        <v>209</v>
      </c>
    </row>
    <row r="55" spans="2:16" s="160" customFormat="1" x14ac:dyDescent="0.25"/>
    <row r="56" spans="2:16" s="160" customFormat="1" x14ac:dyDescent="0.25">
      <c r="B56" s="160" t="s">
        <v>212</v>
      </c>
    </row>
    <row r="57" spans="2:16" s="160" customFormat="1" x14ac:dyDescent="0.25">
      <c r="B57" s="160" t="s">
        <v>388</v>
      </c>
      <c r="F57" s="384">
        <f>F40/ICPs!C95</f>
        <v>28.908932083333333</v>
      </c>
      <c r="G57" s="384">
        <f>G40/ICPs!D95</f>
        <v>31.179287562991334</v>
      </c>
      <c r="H57" s="384"/>
      <c r="I57" s="384"/>
      <c r="J57" s="384"/>
      <c r="K57" s="384"/>
      <c r="L57" s="384"/>
      <c r="M57" s="384"/>
      <c r="N57" s="384"/>
      <c r="O57" s="384"/>
      <c r="P57" s="384"/>
    </row>
    <row r="58" spans="2:16" s="160" customFormat="1" x14ac:dyDescent="0.25">
      <c r="B58" s="160" t="s">
        <v>389</v>
      </c>
      <c r="F58" s="384" t="e">
        <f>F41/ICPs!C99</f>
        <v>#DIV/0!</v>
      </c>
      <c r="G58" s="384" t="e">
        <f>G41/ICPs!D99</f>
        <v>#DIV/0!</v>
      </c>
      <c r="H58" s="384"/>
      <c r="I58" s="384"/>
      <c r="J58" s="384"/>
      <c r="K58" s="384"/>
      <c r="L58" s="384"/>
      <c r="M58" s="384"/>
      <c r="N58" s="384"/>
      <c r="O58" s="384"/>
      <c r="P58" s="384"/>
    </row>
    <row r="59" spans="2:16" s="160" customFormat="1" x14ac:dyDescent="0.25"/>
    <row r="60" spans="2:16" s="160" customFormat="1" x14ac:dyDescent="0.25"/>
    <row r="61" spans="2:16" s="160" customFormat="1" x14ac:dyDescent="0.25">
      <c r="B61" s="160" t="s">
        <v>182</v>
      </c>
      <c r="F61" s="347">
        <v>2010</v>
      </c>
      <c r="G61" s="347">
        <v>2011</v>
      </c>
      <c r="H61" s="347">
        <v>2012</v>
      </c>
      <c r="I61" s="347">
        <v>2013</v>
      </c>
      <c r="J61" s="347">
        <v>2014</v>
      </c>
      <c r="K61" s="347">
        <v>2015</v>
      </c>
      <c r="L61" s="347">
        <v>2016</v>
      </c>
      <c r="M61" s="347">
        <v>2017</v>
      </c>
      <c r="N61" s="347">
        <v>2018</v>
      </c>
      <c r="O61" s="347">
        <v>2019</v>
      </c>
      <c r="P61" s="347">
        <v>2020</v>
      </c>
    </row>
    <row r="62" spans="2:16" s="160" customFormat="1" x14ac:dyDescent="0.25">
      <c r="B62" s="160" t="s">
        <v>213</v>
      </c>
      <c r="F62" s="690">
        <v>73609.542700000005</v>
      </c>
      <c r="G62" s="690">
        <v>83899.041100000002</v>
      </c>
      <c r="H62" s="690"/>
      <c r="I62" s="690"/>
      <c r="J62" s="690"/>
      <c r="K62" s="690"/>
      <c r="L62" s="690"/>
      <c r="M62" s="690"/>
      <c r="N62" s="690"/>
      <c r="O62" s="690"/>
      <c r="P62" s="690"/>
    </row>
    <row r="63" spans="2:16" s="160" customFormat="1" x14ac:dyDescent="0.25">
      <c r="B63" s="160" t="s">
        <v>214</v>
      </c>
      <c r="F63" s="690">
        <v>32717.774849999998</v>
      </c>
      <c r="G63" s="690">
        <v>38185.5219</v>
      </c>
      <c r="H63" s="690"/>
      <c r="I63" s="690"/>
      <c r="J63" s="690"/>
      <c r="K63" s="690"/>
      <c r="L63" s="690"/>
      <c r="M63" s="690"/>
      <c r="N63" s="690"/>
      <c r="O63" s="690"/>
      <c r="P63" s="690"/>
    </row>
    <row r="64" spans="2:16" s="160" customFormat="1" x14ac:dyDescent="0.25">
      <c r="B64" s="160" t="s">
        <v>215</v>
      </c>
      <c r="F64" s="691">
        <v>25497.412750000003</v>
      </c>
      <c r="G64" s="691">
        <v>32595.882600000001</v>
      </c>
      <c r="H64" s="691"/>
      <c r="I64" s="691"/>
      <c r="J64" s="691"/>
      <c r="K64" s="691"/>
      <c r="L64" s="691"/>
      <c r="M64" s="691"/>
      <c r="N64" s="691"/>
      <c r="O64" s="691"/>
      <c r="P64" s="691"/>
    </row>
    <row r="65" spans="2:16" s="160" customFormat="1" x14ac:dyDescent="0.25"/>
    <row r="66" spans="2:16" s="160" customFormat="1" x14ac:dyDescent="0.25">
      <c r="B66" s="160" t="s">
        <v>186</v>
      </c>
    </row>
    <row r="67" spans="2:16" s="160" customFormat="1" x14ac:dyDescent="0.25">
      <c r="B67" s="160" t="s">
        <v>213</v>
      </c>
      <c r="F67" s="690">
        <v>18863.439900000001</v>
      </c>
      <c r="G67" s="690">
        <v>20426.2772</v>
      </c>
      <c r="H67" s="690"/>
      <c r="I67" s="690"/>
      <c r="J67" s="690"/>
      <c r="K67" s="690"/>
      <c r="L67" s="690"/>
      <c r="M67" s="690"/>
      <c r="N67" s="690"/>
      <c r="O67" s="690"/>
      <c r="P67" s="690"/>
    </row>
    <row r="68" spans="2:16" s="160" customFormat="1" x14ac:dyDescent="0.25">
      <c r="B68" s="160" t="s">
        <v>214</v>
      </c>
      <c r="F68" s="690">
        <v>6190.0141925710896</v>
      </c>
      <c r="G68" s="690">
        <v>7721.3755327131912</v>
      </c>
      <c r="H68" s="690"/>
      <c r="I68" s="690"/>
      <c r="J68" s="690"/>
      <c r="K68" s="690"/>
      <c r="L68" s="690"/>
      <c r="M68" s="690"/>
      <c r="N68" s="690"/>
      <c r="O68" s="690"/>
      <c r="P68" s="690"/>
    </row>
    <row r="69" spans="2:16" s="160" customFormat="1" x14ac:dyDescent="0.25">
      <c r="B69" s="160" t="s">
        <v>215</v>
      </c>
      <c r="F69" s="691">
        <v>11246.529528375988</v>
      </c>
      <c r="G69" s="691">
        <v>12133.596672126103</v>
      </c>
      <c r="H69" s="691"/>
      <c r="I69" s="691"/>
      <c r="J69" s="691"/>
      <c r="K69" s="691"/>
      <c r="L69" s="691"/>
      <c r="M69" s="691"/>
      <c r="N69" s="691"/>
      <c r="O69" s="691"/>
      <c r="P69" s="691"/>
    </row>
    <row r="70" spans="2:16" s="160" customFormat="1" x14ac:dyDescent="0.25"/>
    <row r="71" spans="2:16" s="160" customFormat="1" x14ac:dyDescent="0.25">
      <c r="B71" s="160" t="s">
        <v>216</v>
      </c>
    </row>
    <row r="72" spans="2:16" s="160" customFormat="1" x14ac:dyDescent="0.25">
      <c r="B72" s="160" t="s">
        <v>388</v>
      </c>
      <c r="F72" s="348">
        <f>F45*ICPs!C142</f>
        <v>75831.939467794291</v>
      </c>
      <c r="G72" s="348">
        <f>G45*ICPs!D142</f>
        <v>78654.3968926987</v>
      </c>
      <c r="H72" s="348"/>
      <c r="I72" s="348"/>
      <c r="J72" s="348"/>
      <c r="K72" s="348"/>
      <c r="L72" s="348"/>
      <c r="M72" s="348"/>
      <c r="N72" s="348"/>
      <c r="O72" s="348"/>
      <c r="P72" s="348"/>
    </row>
    <row r="73" spans="2:16" x14ac:dyDescent="0.25">
      <c r="B73" s="160" t="s">
        <v>389</v>
      </c>
      <c r="F73" s="348" t="e">
        <f>F46*ICPs!C143</f>
        <v>#DIV/0!</v>
      </c>
      <c r="G73" s="348" t="e">
        <f>G46*ICPs!D143</f>
        <v>#DIV/0!</v>
      </c>
      <c r="H73" s="348"/>
      <c r="I73" s="348"/>
      <c r="J73" s="348"/>
      <c r="K73" s="348"/>
      <c r="L73" s="348"/>
      <c r="M73" s="348"/>
      <c r="N73" s="348"/>
      <c r="O73" s="348"/>
      <c r="P73" s="348"/>
    </row>
    <row r="74" spans="2:16" x14ac:dyDescent="0.25">
      <c r="M74" s="160"/>
      <c r="N74" s="160"/>
    </row>
    <row r="75" spans="2:16" x14ac:dyDescent="0.25">
      <c r="M75" s="160"/>
      <c r="N75" s="160"/>
    </row>
    <row r="76" spans="2:16" ht="15.5" x14ac:dyDescent="0.35">
      <c r="B76" s="84" t="s">
        <v>376</v>
      </c>
      <c r="M76" s="160"/>
      <c r="N76" s="160"/>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J101"/>
  <sheetViews>
    <sheetView showGridLines="0" zoomScale="70" zoomScaleNormal="70" zoomScalePageLayoutView="80" workbookViewId="0">
      <selection activeCell="E24" sqref="E24:M36"/>
    </sheetView>
  </sheetViews>
  <sheetFormatPr defaultColWidth="8.81640625" defaultRowHeight="12.5" x14ac:dyDescent="0.25"/>
  <cols>
    <col min="1" max="1" width="4.6328125" style="46" customWidth="1"/>
    <col min="2" max="2" width="19.453125" style="46" customWidth="1"/>
    <col min="3" max="10" width="10.81640625" style="46" customWidth="1"/>
    <col min="11" max="11" width="11.1796875" style="46" customWidth="1"/>
    <col min="12" max="12" width="11.453125" style="46" customWidth="1"/>
    <col min="13" max="13" width="11.36328125" style="46" customWidth="1"/>
    <col min="14" max="16384" width="8.81640625" style="46"/>
  </cols>
  <sheetData>
    <row r="2" spans="2:36" ht="18" x14ac:dyDescent="0.4">
      <c r="B2" s="76" t="str">
        <f>Introduction!B2</f>
        <v>LightCounting Optical Components Market Forecast for China</v>
      </c>
      <c r="AB2" s="513"/>
      <c r="AC2" s="513"/>
      <c r="AD2" s="513"/>
      <c r="AE2" s="513"/>
      <c r="AI2" s="276"/>
      <c r="AJ2" s="276"/>
    </row>
    <row r="3" spans="2:36" ht="15.5" x14ac:dyDescent="0.35">
      <c r="B3" s="214" t="str">
        <f>Introduction!$B$3</f>
        <v>January 25, 2021 - sample only - for illustrative purposes</v>
      </c>
      <c r="C3" s="17"/>
      <c r="D3" s="17"/>
      <c r="E3" s="17"/>
      <c r="F3" s="17"/>
      <c r="G3" s="17"/>
      <c r="H3" s="17"/>
      <c r="I3" s="17"/>
      <c r="J3" s="17"/>
      <c r="K3" s="17"/>
      <c r="L3" s="17"/>
      <c r="M3" s="17"/>
      <c r="N3" s="17"/>
      <c r="O3" s="17"/>
      <c r="P3" s="17"/>
      <c r="Q3" s="17"/>
      <c r="R3" s="17"/>
      <c r="S3" s="17"/>
      <c r="T3" s="17"/>
      <c r="U3" s="17"/>
      <c r="V3" s="17"/>
      <c r="W3" s="17"/>
      <c r="X3" s="17"/>
      <c r="Y3" s="17"/>
      <c r="Z3" s="17"/>
      <c r="AA3" s="17"/>
      <c r="AB3" s="152"/>
      <c r="AC3" s="152"/>
      <c r="AD3" s="152"/>
      <c r="AE3" s="152"/>
      <c r="AI3" s="276"/>
      <c r="AJ3" s="276"/>
    </row>
    <row r="4" spans="2:36" ht="15.5" x14ac:dyDescent="0.35">
      <c r="B4" s="217" t="s">
        <v>321</v>
      </c>
      <c r="C4" s="17"/>
      <c r="D4" s="17"/>
      <c r="E4" s="17"/>
      <c r="F4" s="17"/>
      <c r="G4" s="17"/>
      <c r="H4" s="17"/>
      <c r="I4" s="17"/>
      <c r="J4" s="17"/>
      <c r="K4" s="17"/>
      <c r="L4" s="17"/>
      <c r="M4" s="17"/>
      <c r="N4" s="17"/>
      <c r="O4" s="17"/>
      <c r="P4" s="17"/>
      <c r="Q4" s="17"/>
      <c r="R4" s="17"/>
      <c r="S4" s="17"/>
      <c r="T4" s="17"/>
      <c r="U4" s="17"/>
      <c r="V4" s="17"/>
      <c r="W4" s="17"/>
      <c r="X4" s="17"/>
      <c r="Y4" s="17"/>
      <c r="Z4" s="17"/>
      <c r="AA4" s="17"/>
      <c r="AB4" s="152"/>
      <c r="AC4" s="152"/>
      <c r="AD4" s="152"/>
      <c r="AE4" s="152"/>
      <c r="AI4" s="276"/>
      <c r="AJ4" s="276"/>
    </row>
    <row r="5" spans="2:36" ht="13" x14ac:dyDescent="0.3">
      <c r="Q5" s="273" t="s">
        <v>393</v>
      </c>
      <c r="Z5" s="273" t="s">
        <v>394</v>
      </c>
    </row>
    <row r="6" spans="2:36" ht="13" x14ac:dyDescent="0.25">
      <c r="AI6" s="562"/>
    </row>
    <row r="9" spans="2:36" x14ac:dyDescent="0.25">
      <c r="B9" s="514"/>
      <c r="C9" s="514"/>
      <c r="D9" s="514"/>
      <c r="E9" s="514"/>
      <c r="F9" s="511"/>
      <c r="G9" s="511"/>
      <c r="H9" s="511"/>
      <c r="I9" s="511"/>
      <c r="J9" s="512"/>
    </row>
    <row r="10" spans="2:36" x14ac:dyDescent="0.25">
      <c r="C10" s="511"/>
      <c r="D10" s="511"/>
      <c r="E10" s="511"/>
      <c r="F10" s="511"/>
      <c r="G10" s="511"/>
      <c r="H10" s="511"/>
      <c r="I10" s="511"/>
      <c r="J10" s="512"/>
    </row>
    <row r="11" spans="2:36" x14ac:dyDescent="0.25">
      <c r="B11" s="514"/>
      <c r="C11" s="511"/>
      <c r="D11" s="511"/>
      <c r="E11" s="511"/>
      <c r="F11" s="511"/>
      <c r="G11" s="511"/>
      <c r="H11" s="511"/>
      <c r="I11" s="511"/>
      <c r="J11" s="512"/>
    </row>
    <row r="12" spans="2:36" x14ac:dyDescent="0.25">
      <c r="C12" s="506"/>
      <c r="D12" s="506"/>
      <c r="E12" s="506"/>
      <c r="F12" s="506"/>
      <c r="G12" s="506"/>
      <c r="H12" s="506"/>
      <c r="I12" s="506"/>
      <c r="J12" s="506"/>
    </row>
    <row r="13" spans="2:36" x14ac:dyDescent="0.25">
      <c r="C13" s="506"/>
      <c r="D13" s="506"/>
      <c r="E13" s="506"/>
      <c r="F13" s="506"/>
      <c r="G13" s="506"/>
      <c r="H13" s="506"/>
      <c r="I13" s="506"/>
      <c r="J13" s="506"/>
    </row>
    <row r="14" spans="2:36" x14ac:dyDescent="0.25">
      <c r="C14" s="506"/>
      <c r="D14" s="506"/>
      <c r="E14" s="506"/>
      <c r="F14" s="506"/>
      <c r="G14" s="506"/>
      <c r="H14" s="506"/>
      <c r="I14" s="506"/>
      <c r="J14" s="506"/>
    </row>
    <row r="15" spans="2:36" x14ac:dyDescent="0.25">
      <c r="C15" s="506"/>
      <c r="D15" s="506"/>
      <c r="E15" s="506"/>
      <c r="F15" s="506"/>
      <c r="G15" s="506"/>
      <c r="H15" s="506"/>
      <c r="I15" s="506"/>
      <c r="J15" s="506"/>
    </row>
    <row r="16" spans="2:36" x14ac:dyDescent="0.25">
      <c r="C16" s="506"/>
      <c r="D16" s="506"/>
      <c r="E16" s="506"/>
      <c r="F16" s="506"/>
      <c r="G16" s="506"/>
      <c r="H16" s="506"/>
      <c r="I16" s="506"/>
      <c r="J16" s="506"/>
    </row>
    <row r="17" spans="2:13" x14ac:dyDescent="0.25">
      <c r="C17" s="506"/>
      <c r="D17" s="506"/>
      <c r="E17" s="506"/>
      <c r="F17" s="506"/>
      <c r="G17" s="506"/>
      <c r="H17" s="506"/>
      <c r="I17" s="506"/>
      <c r="J17" s="506"/>
    </row>
    <row r="22" spans="2:13" ht="13" x14ac:dyDescent="0.3">
      <c r="B22" s="273" t="s">
        <v>308</v>
      </c>
      <c r="M22" s="535" t="s">
        <v>318</v>
      </c>
    </row>
    <row r="23" spans="2:13" x14ac:dyDescent="0.25">
      <c r="C23" s="515">
        <v>2010</v>
      </c>
      <c r="D23" s="515">
        <v>2011</v>
      </c>
      <c r="E23" s="515">
        <v>2012</v>
      </c>
      <c r="F23" s="515">
        <v>2013</v>
      </c>
      <c r="G23" s="515">
        <v>2014</v>
      </c>
      <c r="H23" s="515">
        <v>2015</v>
      </c>
      <c r="I23" s="516">
        <v>2016</v>
      </c>
      <c r="J23" s="516">
        <v>2017</v>
      </c>
      <c r="K23" s="516">
        <v>2018</v>
      </c>
      <c r="L23" s="516">
        <v>2019</v>
      </c>
      <c r="M23" s="516" t="s">
        <v>504</v>
      </c>
    </row>
    <row r="24" spans="2:13" x14ac:dyDescent="0.25">
      <c r="B24" s="517" t="s">
        <v>306</v>
      </c>
      <c r="C24" s="126"/>
      <c r="D24" s="126"/>
      <c r="E24" s="126"/>
      <c r="F24" s="126"/>
      <c r="G24" s="126"/>
      <c r="H24" s="126"/>
      <c r="I24" s="126"/>
      <c r="J24" s="126"/>
      <c r="K24" s="126"/>
      <c r="L24" s="741"/>
      <c r="M24" s="741"/>
    </row>
    <row r="25" spans="2:13" x14ac:dyDescent="0.25">
      <c r="B25" s="517" t="s">
        <v>304</v>
      </c>
      <c r="C25" s="126"/>
      <c r="D25" s="126"/>
      <c r="E25" s="126"/>
      <c r="F25" s="126"/>
      <c r="G25" s="126"/>
      <c r="H25" s="126"/>
      <c r="I25" s="126"/>
      <c r="J25" s="126"/>
      <c r="K25" s="126"/>
      <c r="L25" s="741"/>
      <c r="M25" s="741"/>
    </row>
    <row r="26" spans="2:13" ht="14.5" x14ac:dyDescent="0.25">
      <c r="B26" s="588" t="s">
        <v>328</v>
      </c>
      <c r="C26" s="126">
        <v>20895</v>
      </c>
      <c r="D26" s="126">
        <v>21795</v>
      </c>
      <c r="E26" s="126"/>
      <c r="F26" s="126"/>
      <c r="G26" s="126"/>
      <c r="H26" s="126"/>
      <c r="I26" s="126"/>
      <c r="J26" s="126"/>
      <c r="K26" s="126"/>
      <c r="L26" s="741"/>
      <c r="M26" s="741"/>
    </row>
    <row r="27" spans="2:13" x14ac:dyDescent="0.25">
      <c r="B27" s="517" t="s">
        <v>391</v>
      </c>
      <c r="C27" s="126"/>
      <c r="D27" s="126"/>
      <c r="E27" s="126"/>
      <c r="F27" s="126"/>
      <c r="G27" s="126"/>
      <c r="H27" s="126"/>
      <c r="I27" s="126"/>
      <c r="J27" s="126"/>
      <c r="K27" s="126"/>
      <c r="L27" s="741"/>
      <c r="M27" s="741"/>
    </row>
    <row r="28" spans="2:13" x14ac:dyDescent="0.25">
      <c r="B28" s="588" t="s">
        <v>392</v>
      </c>
      <c r="C28" s="126"/>
      <c r="D28" s="126"/>
      <c r="E28" s="126"/>
      <c r="F28" s="126"/>
      <c r="G28" s="126"/>
      <c r="H28" s="126"/>
      <c r="I28" s="126"/>
      <c r="J28" s="126"/>
      <c r="K28" s="126"/>
      <c r="L28" s="741"/>
      <c r="M28" s="741"/>
    </row>
    <row r="29" spans="2:13" x14ac:dyDescent="0.25">
      <c r="B29" s="517" t="s">
        <v>307</v>
      </c>
      <c r="C29" s="126">
        <v>627.84420164798587</v>
      </c>
      <c r="D29" s="126">
        <v>1089.3629022749235</v>
      </c>
      <c r="E29" s="126"/>
      <c r="F29" s="126"/>
      <c r="G29" s="126"/>
      <c r="H29" s="126"/>
      <c r="I29" s="126"/>
      <c r="J29" s="126"/>
      <c r="K29" s="126"/>
      <c r="L29" s="741"/>
      <c r="M29" s="741"/>
    </row>
    <row r="30" spans="2:13" x14ac:dyDescent="0.25">
      <c r="B30" s="517" t="s">
        <v>301</v>
      </c>
      <c r="C30" s="126">
        <v>642.59618007016593</v>
      </c>
      <c r="D30" s="126">
        <v>821.03854588644595</v>
      </c>
      <c r="E30" s="126"/>
      <c r="F30" s="126"/>
      <c r="G30" s="126"/>
      <c r="H30" s="126"/>
      <c r="I30" s="126"/>
      <c r="J30" s="126"/>
      <c r="K30" s="126"/>
      <c r="L30" s="741"/>
      <c r="M30" s="741"/>
    </row>
    <row r="31" spans="2:13" x14ac:dyDescent="0.25">
      <c r="B31" s="517" t="s">
        <v>305</v>
      </c>
      <c r="C31" s="126">
        <v>31436</v>
      </c>
      <c r="D31" s="126">
        <v>30883</v>
      </c>
      <c r="E31" s="126"/>
      <c r="F31" s="126"/>
      <c r="G31" s="126"/>
      <c r="H31" s="126"/>
      <c r="I31" s="126"/>
      <c r="J31" s="126"/>
      <c r="K31" s="126"/>
      <c r="L31" s="741"/>
      <c r="M31" s="741"/>
    </row>
    <row r="32" spans="2:13" x14ac:dyDescent="0.25">
      <c r="B32" s="517" t="s">
        <v>299</v>
      </c>
      <c r="C32" s="126">
        <v>27313.46</v>
      </c>
      <c r="D32" s="126">
        <v>31507.030500000001</v>
      </c>
      <c r="E32" s="126"/>
      <c r="F32" s="126"/>
      <c r="G32" s="126"/>
      <c r="H32" s="126"/>
      <c r="I32" s="126"/>
      <c r="J32" s="126"/>
      <c r="K32" s="126"/>
      <c r="L32" s="741"/>
      <c r="M32" s="741"/>
    </row>
    <row r="33" spans="2:25" x14ac:dyDescent="0.25">
      <c r="B33" s="517" t="s">
        <v>302</v>
      </c>
      <c r="C33" s="126">
        <v>159.46888674376706</v>
      </c>
      <c r="D33" s="126">
        <v>190.46858458663928</v>
      </c>
      <c r="E33" s="126"/>
      <c r="F33" s="126"/>
      <c r="G33" s="126"/>
      <c r="H33" s="126"/>
      <c r="I33" s="126"/>
      <c r="J33" s="126"/>
      <c r="K33" s="126"/>
      <c r="L33" s="741"/>
      <c r="M33" s="741"/>
    </row>
    <row r="34" spans="2:25" x14ac:dyDescent="0.25">
      <c r="B34" s="517" t="s">
        <v>303</v>
      </c>
      <c r="C34" s="126"/>
      <c r="D34" s="126"/>
      <c r="E34" s="126"/>
      <c r="F34" s="126"/>
      <c r="G34" s="126"/>
      <c r="H34" s="126"/>
      <c r="I34" s="126"/>
      <c r="J34" s="126"/>
      <c r="K34" s="126"/>
      <c r="L34" s="741"/>
      <c r="M34" s="741"/>
    </row>
    <row r="35" spans="2:25" ht="14.5" x14ac:dyDescent="0.25">
      <c r="B35" s="588" t="s">
        <v>329</v>
      </c>
      <c r="C35" s="126"/>
      <c r="D35" s="126"/>
      <c r="E35" s="126"/>
      <c r="F35" s="126"/>
      <c r="G35" s="126"/>
      <c r="H35" s="126"/>
      <c r="I35" s="126"/>
      <c r="J35" s="126"/>
      <c r="K35" s="126"/>
      <c r="L35" s="741"/>
      <c r="M35" s="741"/>
    </row>
    <row r="36" spans="2:25" x14ac:dyDescent="0.25">
      <c r="B36" s="517" t="s">
        <v>300</v>
      </c>
      <c r="C36" s="126">
        <v>10401.296317</v>
      </c>
      <c r="D36" s="126">
        <v>13670</v>
      </c>
      <c r="E36" s="126"/>
      <c r="F36" s="126"/>
      <c r="G36" s="126"/>
      <c r="H36" s="126"/>
      <c r="I36" s="126"/>
      <c r="J36" s="126"/>
      <c r="K36" s="126"/>
      <c r="L36" s="741"/>
      <c r="M36" s="741"/>
    </row>
    <row r="37" spans="2:25" ht="14.5" x14ac:dyDescent="0.25">
      <c r="B37" s="514" t="s">
        <v>330</v>
      </c>
    </row>
    <row r="41" spans="2:25" ht="13" x14ac:dyDescent="0.3">
      <c r="B41" s="532" t="s">
        <v>385</v>
      </c>
      <c r="H41" s="273" t="s">
        <v>386</v>
      </c>
      <c r="K41" s="273"/>
      <c r="P41" s="273" t="s">
        <v>387</v>
      </c>
      <c r="U41" s="273"/>
      <c r="Y41" s="46" t="s">
        <v>395</v>
      </c>
    </row>
    <row r="70" spans="2:2" ht="13" x14ac:dyDescent="0.3">
      <c r="B70" s="534" t="s">
        <v>396</v>
      </c>
    </row>
    <row r="96" spans="2:20" x14ac:dyDescent="0.25">
      <c r="B96" s="46" t="s">
        <v>501</v>
      </c>
      <c r="C96" s="515">
        <v>2003</v>
      </c>
      <c r="D96" s="515">
        <v>2004</v>
      </c>
      <c r="E96" s="515">
        <v>2005</v>
      </c>
      <c r="F96" s="515">
        <v>2006</v>
      </c>
      <c r="G96" s="515">
        <v>2007</v>
      </c>
      <c r="H96" s="515">
        <v>2008</v>
      </c>
      <c r="I96" s="515">
        <v>2009</v>
      </c>
      <c r="J96" s="515">
        <v>2010</v>
      </c>
      <c r="K96" s="515">
        <v>2011</v>
      </c>
      <c r="L96" s="515">
        <v>2012</v>
      </c>
      <c r="M96" s="515">
        <v>2013</v>
      </c>
      <c r="N96" s="515">
        <v>2014</v>
      </c>
      <c r="O96" s="515">
        <v>2015</v>
      </c>
      <c r="P96" s="516">
        <v>2016</v>
      </c>
      <c r="Q96" s="516">
        <v>2017</v>
      </c>
      <c r="R96" s="516">
        <v>2018</v>
      </c>
      <c r="S96" s="516">
        <v>2019</v>
      </c>
      <c r="T96" s="516" t="s">
        <v>504</v>
      </c>
    </row>
    <row r="97" spans="2:20" x14ac:dyDescent="0.25">
      <c r="B97" s="533" t="s">
        <v>341</v>
      </c>
      <c r="C97" s="126">
        <v>26.425565020901594</v>
      </c>
      <c r="D97" s="126">
        <v>29.220299416076536</v>
      </c>
      <c r="E97" s="126">
        <v>33.133307214702597</v>
      </c>
      <c r="F97" s="126">
        <v>34.473977161500812</v>
      </c>
      <c r="G97" s="126">
        <v>43.813460899999995</v>
      </c>
      <c r="H97" s="126">
        <v>47.303517800000002</v>
      </c>
      <c r="I97" s="126">
        <v>38.710565600000002</v>
      </c>
      <c r="J97" s="126">
        <v>41.674536900000007</v>
      </c>
      <c r="K97" s="126"/>
      <c r="L97" s="126"/>
      <c r="M97" s="126"/>
      <c r="N97" s="126"/>
      <c r="O97" s="126"/>
      <c r="P97" s="329"/>
      <c r="Q97" s="329"/>
      <c r="R97" s="329"/>
      <c r="S97" s="329"/>
      <c r="T97" s="329"/>
    </row>
    <row r="98" spans="2:20" x14ac:dyDescent="0.25">
      <c r="B98" s="533" t="s">
        <v>342</v>
      </c>
      <c r="C98" s="126">
        <v>19</v>
      </c>
      <c r="D98" s="126">
        <v>18</v>
      </c>
      <c r="E98" s="126">
        <v>21</v>
      </c>
      <c r="F98" s="126">
        <v>24</v>
      </c>
      <c r="G98" s="126">
        <v>28.211040000000001</v>
      </c>
      <c r="H98" s="126">
        <v>31.586260000000003</v>
      </c>
      <c r="I98" s="126">
        <v>27.191730000000003</v>
      </c>
      <c r="J98" s="126">
        <v>28.444220000000001</v>
      </c>
      <c r="K98" s="126"/>
      <c r="L98" s="126"/>
      <c r="M98" s="126"/>
      <c r="N98" s="126"/>
      <c r="O98" s="126"/>
      <c r="P98" s="329"/>
      <c r="Q98" s="329"/>
      <c r="R98" s="329"/>
      <c r="S98" s="329"/>
      <c r="T98" s="329"/>
    </row>
    <row r="99" spans="2:20" x14ac:dyDescent="0.25">
      <c r="B99" s="533" t="s">
        <v>344</v>
      </c>
      <c r="C99" s="126">
        <v>3</v>
      </c>
      <c r="D99" s="126">
        <v>4</v>
      </c>
      <c r="E99" s="126">
        <v>6</v>
      </c>
      <c r="F99" s="126">
        <v>9</v>
      </c>
      <c r="G99" s="126">
        <v>12.56</v>
      </c>
      <c r="H99" s="126">
        <v>18.318999999999999</v>
      </c>
      <c r="I99" s="126">
        <v>21.7924258</v>
      </c>
      <c r="J99" s="126">
        <v>27.313459999999999</v>
      </c>
      <c r="K99" s="126"/>
      <c r="L99" s="126"/>
      <c r="M99" s="126"/>
      <c r="N99" s="126"/>
      <c r="O99" s="126"/>
      <c r="P99" s="329"/>
      <c r="Q99" s="329"/>
      <c r="R99" s="329"/>
      <c r="S99" s="329"/>
      <c r="T99" s="329"/>
    </row>
    <row r="100" spans="2:20" x14ac:dyDescent="0.25">
      <c r="B100" s="533" t="s">
        <v>343</v>
      </c>
      <c r="C100" s="126"/>
      <c r="D100" s="126"/>
      <c r="E100" s="126"/>
      <c r="F100" s="126"/>
      <c r="G100" s="126"/>
      <c r="H100" s="126"/>
      <c r="I100" s="126">
        <v>14.611666600000001</v>
      </c>
      <c r="J100" s="126">
        <v>21.505500000000001</v>
      </c>
      <c r="K100" s="126"/>
      <c r="L100" s="126"/>
      <c r="M100" s="126"/>
      <c r="N100" s="126"/>
      <c r="O100" s="126"/>
      <c r="P100" s="329"/>
      <c r="Q100" s="329"/>
      <c r="R100" s="329"/>
      <c r="S100" s="329"/>
      <c r="T100" s="329"/>
    </row>
    <row r="101" spans="2:20" x14ac:dyDescent="0.25">
      <c r="Q101" s="502"/>
      <c r="R101" s="502"/>
      <c r="S101" s="502"/>
    </row>
  </sheetData>
  <sortState ref="B41:B49">
    <sortCondition ref="B5:B13"/>
  </sortState>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2:AK52"/>
  <sheetViews>
    <sheetView showGridLines="0" zoomScale="70" zoomScaleNormal="70" zoomScalePageLayoutView="80" workbookViewId="0">
      <selection activeCell="E42" sqref="E42:M52"/>
    </sheetView>
  </sheetViews>
  <sheetFormatPr defaultColWidth="8.81640625" defaultRowHeight="12.5" x14ac:dyDescent="0.25"/>
  <cols>
    <col min="1" max="1" width="4.6328125" style="46" customWidth="1"/>
    <col min="2" max="2" width="21.1796875" style="46" customWidth="1"/>
    <col min="3" max="3" width="8.81640625" style="46" customWidth="1"/>
    <col min="4" max="5" width="8.81640625" style="46"/>
    <col min="6" max="8" width="8.81640625" style="46" bestFit="1" customWidth="1"/>
    <col min="9" max="10" width="9.1796875" style="46" bestFit="1" customWidth="1"/>
    <col min="11" max="14" width="8.81640625" style="46"/>
    <col min="15" max="15" width="9.81640625" style="46" customWidth="1"/>
    <col min="16" max="16384" width="8.81640625" style="46"/>
  </cols>
  <sheetData>
    <row r="2" spans="2:37" ht="18" x14ac:dyDescent="0.4">
      <c r="B2" s="76" t="str">
        <f>Introduction!B2</f>
        <v>LightCounting Optical Components Market Forecast for China</v>
      </c>
      <c r="AC2" s="513"/>
      <c r="AD2" s="513"/>
      <c r="AE2" s="513"/>
      <c r="AF2" s="513"/>
      <c r="AJ2" s="276"/>
      <c r="AK2" s="276"/>
    </row>
    <row r="3" spans="2:37" ht="15.5" x14ac:dyDescent="0.35">
      <c r="B3" s="214" t="str">
        <f>Introduction!$B$3</f>
        <v>January 25, 2021 - sample only - for illustrative purposes</v>
      </c>
      <c r="C3" s="17"/>
      <c r="D3" s="17"/>
      <c r="E3" s="17"/>
      <c r="F3" s="17"/>
      <c r="G3" s="17"/>
      <c r="H3" s="17"/>
      <c r="I3" s="17"/>
      <c r="J3" s="17"/>
      <c r="K3" s="17"/>
      <c r="L3" s="17"/>
      <c r="M3" s="17"/>
      <c r="N3" s="17"/>
      <c r="O3" s="17"/>
      <c r="P3" s="17"/>
      <c r="Q3" s="17"/>
      <c r="R3" s="17"/>
      <c r="S3" s="17"/>
      <c r="T3" s="17"/>
      <c r="U3" s="17"/>
      <c r="V3" s="17"/>
      <c r="W3" s="17"/>
      <c r="X3" s="17"/>
      <c r="Y3" s="17"/>
      <c r="Z3" s="17"/>
      <c r="AA3" s="17"/>
      <c r="AB3" s="17"/>
      <c r="AC3" s="152"/>
      <c r="AD3" s="152"/>
      <c r="AE3" s="152"/>
      <c r="AF3" s="152"/>
      <c r="AJ3" s="276"/>
      <c r="AK3" s="276"/>
    </row>
    <row r="4" spans="2:37" ht="15.5" x14ac:dyDescent="0.35">
      <c r="B4" s="217" t="s">
        <v>331</v>
      </c>
      <c r="C4" s="17"/>
      <c r="D4" s="17"/>
      <c r="E4" s="17"/>
      <c r="F4" s="17"/>
      <c r="G4" s="17"/>
      <c r="H4" s="17"/>
      <c r="I4" s="17"/>
      <c r="J4" s="17"/>
      <c r="K4" s="17"/>
      <c r="L4" s="17"/>
      <c r="M4" s="17"/>
      <c r="N4" s="17"/>
      <c r="O4" s="17"/>
      <c r="P4" s="17"/>
      <c r="Q4" s="17"/>
      <c r="R4" s="17"/>
      <c r="S4" s="17"/>
      <c r="T4" s="17"/>
      <c r="U4" s="17"/>
      <c r="V4" s="17"/>
      <c r="W4" s="17"/>
      <c r="X4" s="17"/>
      <c r="Y4" s="17"/>
      <c r="Z4" s="17"/>
      <c r="AA4" s="17"/>
      <c r="AB4" s="17"/>
      <c r="AC4" s="152"/>
      <c r="AD4" s="152"/>
      <c r="AE4" s="152"/>
      <c r="AF4" s="152"/>
      <c r="AJ4" s="276"/>
      <c r="AK4" s="276"/>
    </row>
    <row r="10" spans="2:37" x14ac:dyDescent="0.25">
      <c r="B10" s="514"/>
      <c r="C10" s="514"/>
      <c r="D10" s="514"/>
      <c r="E10" s="514"/>
      <c r="F10" s="511"/>
      <c r="G10" s="511"/>
      <c r="H10" s="511"/>
      <c r="I10" s="511"/>
      <c r="J10" s="512"/>
    </row>
    <row r="11" spans="2:37" x14ac:dyDescent="0.25">
      <c r="C11" s="511"/>
      <c r="D11" s="511"/>
      <c r="E11" s="511"/>
      <c r="F11" s="511"/>
      <c r="G11" s="511"/>
      <c r="H11" s="511"/>
      <c r="I11" s="511"/>
      <c r="J11" s="512"/>
    </row>
    <row r="12" spans="2:37" x14ac:dyDescent="0.25">
      <c r="B12" s="514"/>
      <c r="C12" s="511"/>
      <c r="D12" s="511"/>
      <c r="E12" s="511"/>
      <c r="F12" s="511"/>
      <c r="G12" s="511"/>
      <c r="H12" s="511"/>
      <c r="I12" s="511"/>
      <c r="J12" s="512"/>
    </row>
    <row r="13" spans="2:37" x14ac:dyDescent="0.25">
      <c r="C13" s="506"/>
      <c r="D13" s="506"/>
      <c r="E13" s="506"/>
      <c r="F13" s="506"/>
      <c r="G13" s="506"/>
      <c r="H13" s="506"/>
      <c r="I13" s="506"/>
      <c r="J13" s="506"/>
    </row>
    <row r="14" spans="2:37" x14ac:dyDescent="0.25">
      <c r="C14" s="506"/>
      <c r="D14" s="506"/>
      <c r="E14" s="506"/>
      <c r="F14" s="506"/>
      <c r="G14" s="506"/>
      <c r="H14" s="506"/>
      <c r="I14" s="506"/>
      <c r="J14" s="506"/>
    </row>
    <row r="15" spans="2:37" x14ac:dyDescent="0.25">
      <c r="C15" s="506"/>
      <c r="D15" s="506"/>
      <c r="E15" s="506"/>
      <c r="F15" s="506"/>
      <c r="G15" s="506"/>
      <c r="H15" s="506"/>
      <c r="I15" s="506"/>
      <c r="J15" s="506"/>
    </row>
    <row r="16" spans="2:37" x14ac:dyDescent="0.25">
      <c r="C16" s="506"/>
      <c r="D16" s="506"/>
      <c r="E16" s="506"/>
      <c r="F16" s="506"/>
      <c r="G16" s="506"/>
      <c r="H16" s="506"/>
      <c r="I16" s="506"/>
      <c r="J16" s="506"/>
    </row>
    <row r="17" spans="2:23" x14ac:dyDescent="0.25">
      <c r="C17" s="506"/>
      <c r="D17" s="506"/>
      <c r="E17" s="506"/>
      <c r="F17" s="506"/>
      <c r="G17" s="506"/>
      <c r="H17" s="506"/>
      <c r="I17" s="506"/>
      <c r="J17" s="506"/>
    </row>
    <row r="18" spans="2:23" x14ac:dyDescent="0.25">
      <c r="C18" s="506"/>
      <c r="D18" s="506"/>
      <c r="E18" s="506"/>
      <c r="F18" s="506"/>
      <c r="G18" s="506"/>
      <c r="H18" s="506"/>
      <c r="I18" s="506"/>
      <c r="J18" s="506"/>
    </row>
    <row r="23" spans="2:23" x14ac:dyDescent="0.25">
      <c r="B23" s="46" t="s">
        <v>445</v>
      </c>
    </row>
    <row r="24" spans="2:23" ht="14.5" x14ac:dyDescent="0.35">
      <c r="B24" s="341" t="s">
        <v>308</v>
      </c>
      <c r="M24" s="46" t="s">
        <v>318</v>
      </c>
    </row>
    <row r="25" spans="2:23" ht="13" x14ac:dyDescent="0.3">
      <c r="B25" s="598" t="s">
        <v>404</v>
      </c>
      <c r="C25" s="599">
        <v>2010</v>
      </c>
      <c r="D25" s="599">
        <v>2011</v>
      </c>
      <c r="E25" s="599">
        <v>2012</v>
      </c>
      <c r="F25" s="599">
        <v>2013</v>
      </c>
      <c r="G25" s="599">
        <v>2014</v>
      </c>
      <c r="H25" s="599">
        <v>2015</v>
      </c>
      <c r="I25" s="599">
        <v>2016</v>
      </c>
      <c r="J25" s="599">
        <v>2017</v>
      </c>
      <c r="K25" s="599">
        <v>2018</v>
      </c>
      <c r="L25" s="599">
        <v>2019</v>
      </c>
      <c r="M25" s="599" t="s">
        <v>504</v>
      </c>
      <c r="O25" s="748"/>
      <c r="P25" s="748"/>
      <c r="Q25" s="748"/>
      <c r="R25" s="748"/>
      <c r="S25" s="563"/>
      <c r="T25" s="563"/>
      <c r="U25" s="563"/>
      <c r="V25" s="563"/>
      <c r="W25" s="563"/>
    </row>
    <row r="26" spans="2:23" ht="13" x14ac:dyDescent="0.3">
      <c r="B26" s="340" t="s">
        <v>165</v>
      </c>
      <c r="C26" s="758">
        <v>134.80454589121558</v>
      </c>
      <c r="D26" s="758">
        <v>166.59442961225994</v>
      </c>
      <c r="E26" s="758"/>
      <c r="F26" s="758"/>
      <c r="G26" s="758"/>
      <c r="H26" s="758"/>
      <c r="I26" s="758"/>
      <c r="J26" s="758"/>
      <c r="K26" s="759"/>
      <c r="L26" s="759"/>
      <c r="M26" s="760"/>
      <c r="O26" s="749"/>
      <c r="P26" s="749"/>
      <c r="Q26" s="749"/>
      <c r="R26" s="749"/>
      <c r="S26" s="563"/>
      <c r="T26" s="563"/>
      <c r="U26" s="563"/>
      <c r="V26" s="563"/>
      <c r="W26" s="563"/>
    </row>
    <row r="27" spans="2:23" ht="13" x14ac:dyDescent="0.3">
      <c r="B27" s="340" t="s">
        <v>91</v>
      </c>
      <c r="C27" s="758">
        <v>36</v>
      </c>
      <c r="D27" s="758">
        <v>47</v>
      </c>
      <c r="E27" s="758"/>
      <c r="F27" s="758"/>
      <c r="G27" s="758"/>
      <c r="H27" s="758"/>
      <c r="I27" s="758"/>
      <c r="J27" s="758"/>
      <c r="K27" s="759"/>
      <c r="L27" s="759"/>
      <c r="M27" s="760"/>
      <c r="O27" s="749"/>
      <c r="P27" s="749"/>
      <c r="Q27" s="749"/>
      <c r="R27" s="749"/>
      <c r="S27" s="563"/>
      <c r="T27" s="563"/>
      <c r="U27" s="563"/>
      <c r="V27" s="563"/>
      <c r="W27" s="563"/>
    </row>
    <row r="28" spans="2:23" ht="13" x14ac:dyDescent="0.3">
      <c r="B28" s="340" t="s">
        <v>322</v>
      </c>
      <c r="C28" s="758">
        <v>22</v>
      </c>
      <c r="D28" s="758">
        <v>35</v>
      </c>
      <c r="E28" s="758"/>
      <c r="F28" s="758"/>
      <c r="G28" s="758"/>
      <c r="H28" s="758"/>
      <c r="I28" s="758"/>
      <c r="J28" s="758"/>
      <c r="K28" s="758"/>
      <c r="L28" s="759"/>
      <c r="M28" s="759"/>
      <c r="O28" s="749"/>
      <c r="P28" s="749"/>
      <c r="Q28" s="749"/>
      <c r="R28" s="749"/>
      <c r="S28" s="563"/>
      <c r="T28" s="563"/>
      <c r="U28" s="563"/>
      <c r="V28" s="563"/>
      <c r="W28" s="563"/>
    </row>
    <row r="29" spans="2:23" ht="13" x14ac:dyDescent="0.3">
      <c r="B29" s="340" t="s">
        <v>323</v>
      </c>
      <c r="C29" s="761">
        <v>63</v>
      </c>
      <c r="D29" s="761">
        <v>71.352008850000004</v>
      </c>
      <c r="E29" s="761"/>
      <c r="F29" s="761"/>
      <c r="G29" s="761"/>
      <c r="H29" s="758"/>
      <c r="I29" s="758"/>
      <c r="J29" s="758"/>
      <c r="K29" s="758"/>
      <c r="L29" s="759"/>
      <c r="M29" s="759"/>
      <c r="O29" s="749"/>
      <c r="P29" s="749"/>
      <c r="Q29" s="749"/>
      <c r="R29" s="749"/>
      <c r="S29" s="563"/>
      <c r="T29" s="563"/>
      <c r="U29" s="563"/>
      <c r="V29" s="563"/>
      <c r="W29" s="563"/>
    </row>
    <row r="30" spans="2:23" ht="13" x14ac:dyDescent="0.3">
      <c r="B30" s="340" t="s">
        <v>324</v>
      </c>
      <c r="C30" s="761">
        <v>33.488174999999998</v>
      </c>
      <c r="D30" s="761">
        <v>39.397500000000001</v>
      </c>
      <c r="E30" s="761"/>
      <c r="F30" s="761"/>
      <c r="G30" s="761"/>
      <c r="H30" s="758"/>
      <c r="I30" s="758"/>
      <c r="J30" s="758"/>
      <c r="K30" s="758"/>
      <c r="L30" s="759"/>
      <c r="M30" s="759"/>
      <c r="O30" s="749"/>
      <c r="P30" s="749"/>
      <c r="Q30" s="749"/>
      <c r="R30" s="749"/>
      <c r="S30" s="563"/>
      <c r="T30" s="563"/>
      <c r="U30" s="563"/>
      <c r="V30" s="563"/>
      <c r="W30" s="563"/>
    </row>
    <row r="31" spans="2:23" ht="13" x14ac:dyDescent="0.3">
      <c r="B31" s="340" t="s">
        <v>325</v>
      </c>
      <c r="C31" s="761">
        <v>53</v>
      </c>
      <c r="D31" s="761">
        <v>154.959</v>
      </c>
      <c r="E31" s="761"/>
      <c r="F31" s="761"/>
      <c r="G31" s="761"/>
      <c r="H31" s="758"/>
      <c r="I31" s="758"/>
      <c r="J31" s="758"/>
      <c r="K31" s="758"/>
      <c r="L31" s="762"/>
      <c r="M31" s="759"/>
      <c r="O31" s="749"/>
      <c r="P31" s="749"/>
      <c r="Q31" s="749"/>
      <c r="R31" s="749"/>
      <c r="S31" s="563"/>
      <c r="T31" s="563"/>
      <c r="U31" s="563"/>
      <c r="V31" s="563"/>
      <c r="W31" s="563"/>
    </row>
    <row r="32" spans="2:23" ht="13" x14ac:dyDescent="0.3">
      <c r="B32" s="340" t="s">
        <v>92</v>
      </c>
      <c r="C32" s="761">
        <v>0</v>
      </c>
      <c r="D32" s="761">
        <v>0</v>
      </c>
      <c r="E32" s="761"/>
      <c r="F32" s="761"/>
      <c r="G32" s="761"/>
      <c r="H32" s="758"/>
      <c r="I32" s="758"/>
      <c r="J32" s="758"/>
      <c r="K32" s="758"/>
      <c r="L32" s="762"/>
      <c r="M32" s="759"/>
      <c r="O32" s="749"/>
      <c r="P32" s="749"/>
      <c r="Q32" s="749"/>
      <c r="R32" s="749"/>
    </row>
    <row r="33" spans="2:19" ht="13" x14ac:dyDescent="0.3">
      <c r="B33" s="340" t="s">
        <v>326</v>
      </c>
      <c r="C33" s="758">
        <v>85.033501542229033</v>
      </c>
      <c r="D33" s="758">
        <v>85.936653610212588</v>
      </c>
      <c r="E33" s="758"/>
      <c r="F33" s="758"/>
      <c r="G33" s="758"/>
      <c r="H33" s="758"/>
      <c r="I33" s="758"/>
      <c r="J33" s="758"/>
      <c r="K33" s="758"/>
      <c r="L33" s="762"/>
      <c r="M33" s="759"/>
      <c r="O33" s="749"/>
      <c r="P33" s="749"/>
      <c r="Q33" s="749"/>
      <c r="R33" s="749"/>
    </row>
    <row r="34" spans="2:19" ht="13" x14ac:dyDescent="0.3">
      <c r="B34" s="340" t="s">
        <v>457</v>
      </c>
      <c r="C34" s="758">
        <v>49</v>
      </c>
      <c r="D34" s="758">
        <v>65</v>
      </c>
      <c r="E34" s="758"/>
      <c r="F34" s="758"/>
      <c r="G34" s="758"/>
      <c r="H34" s="758"/>
      <c r="I34" s="758"/>
      <c r="J34" s="758"/>
      <c r="K34" s="758"/>
      <c r="L34" s="762"/>
      <c r="M34" s="759"/>
      <c r="O34" s="749"/>
      <c r="P34" s="749"/>
      <c r="Q34" s="749"/>
      <c r="R34" s="749"/>
    </row>
    <row r="35" spans="2:19" ht="13" x14ac:dyDescent="0.3">
      <c r="B35" s="340" t="s">
        <v>327</v>
      </c>
      <c r="C35" s="761"/>
      <c r="D35" s="761"/>
      <c r="E35" s="761"/>
      <c r="F35" s="761"/>
      <c r="G35" s="761"/>
      <c r="H35" s="758"/>
      <c r="I35" s="758"/>
      <c r="J35" s="758"/>
      <c r="K35" s="758"/>
      <c r="L35" s="762"/>
      <c r="M35" s="762"/>
      <c r="O35" s="749"/>
      <c r="P35" s="749"/>
      <c r="Q35" s="749"/>
      <c r="R35" s="749"/>
    </row>
    <row r="36" spans="2:19" ht="13" x14ac:dyDescent="0.3">
      <c r="B36" s="340" t="s">
        <v>79</v>
      </c>
      <c r="C36" s="762">
        <f t="shared" ref="C36:K36" si="0">SUM(C26:C35)</f>
        <v>476.32622243344463</v>
      </c>
      <c r="D36" s="762">
        <f t="shared" si="0"/>
        <v>665.23959207247253</v>
      </c>
      <c r="E36" s="762"/>
      <c r="F36" s="762"/>
      <c r="G36" s="762"/>
      <c r="H36" s="762"/>
      <c r="I36" s="762"/>
      <c r="J36" s="762"/>
      <c r="K36" s="762"/>
      <c r="L36" s="762"/>
      <c r="M36" s="762"/>
      <c r="O36" s="563"/>
      <c r="P36" s="563"/>
      <c r="Q36" s="563"/>
      <c r="R36" s="563"/>
    </row>
    <row r="37" spans="2:19" ht="13" x14ac:dyDescent="0.3">
      <c r="B37" s="533" t="s">
        <v>458</v>
      </c>
      <c r="C37" s="533"/>
      <c r="D37" s="664">
        <f>D36/C36-1</f>
        <v>0.39660501719580243</v>
      </c>
      <c r="E37" s="664"/>
      <c r="F37" s="664"/>
      <c r="G37" s="664"/>
      <c r="H37" s="664"/>
      <c r="I37" s="664"/>
      <c r="J37" s="664"/>
      <c r="K37" s="664"/>
      <c r="L37" s="664"/>
      <c r="M37" s="664"/>
      <c r="O37" s="46" t="s">
        <v>502</v>
      </c>
      <c r="P37" s="563"/>
      <c r="S37" s="59"/>
    </row>
    <row r="39" spans="2:19" ht="13" x14ac:dyDescent="0.3">
      <c r="B39" s="46" t="s">
        <v>444</v>
      </c>
      <c r="K39" s="324"/>
      <c r="L39" s="324"/>
      <c r="M39" s="324"/>
      <c r="N39" s="324"/>
    </row>
    <row r="40" spans="2:19" ht="14.5" x14ac:dyDescent="0.35">
      <c r="B40" s="341" t="s">
        <v>308</v>
      </c>
      <c r="C40" s="594"/>
      <c r="D40" s="595"/>
      <c r="E40" s="594"/>
      <c r="F40" s="596" t="s">
        <v>403</v>
      </c>
      <c r="G40" s="594"/>
      <c r="H40" s="597"/>
      <c r="I40" s="597"/>
      <c r="J40" s="597"/>
      <c r="K40" s="594"/>
    </row>
    <row r="41" spans="2:19" ht="13" x14ac:dyDescent="0.3">
      <c r="B41" s="598" t="s">
        <v>404</v>
      </c>
      <c r="C41" s="599">
        <f t="shared" ref="C41:M41" si="1">C25</f>
        <v>2010</v>
      </c>
      <c r="D41" s="599">
        <f t="shared" si="1"/>
        <v>2011</v>
      </c>
      <c r="E41" s="599">
        <f t="shared" si="1"/>
        <v>2012</v>
      </c>
      <c r="F41" s="599">
        <f t="shared" si="1"/>
        <v>2013</v>
      </c>
      <c r="G41" s="599">
        <f t="shared" si="1"/>
        <v>2014</v>
      </c>
      <c r="H41" s="599">
        <f t="shared" si="1"/>
        <v>2015</v>
      </c>
      <c r="I41" s="599">
        <f t="shared" si="1"/>
        <v>2016</v>
      </c>
      <c r="J41" s="599">
        <f t="shared" si="1"/>
        <v>2017</v>
      </c>
      <c r="K41" s="599">
        <f t="shared" si="1"/>
        <v>2018</v>
      </c>
      <c r="L41" s="599">
        <f t="shared" si="1"/>
        <v>2019</v>
      </c>
      <c r="M41" s="599" t="str">
        <f t="shared" si="1"/>
        <v>2020E</v>
      </c>
    </row>
    <row r="42" spans="2:19" ht="13" x14ac:dyDescent="0.3">
      <c r="B42" s="340" t="s">
        <v>446</v>
      </c>
      <c r="C42" s="758"/>
      <c r="D42" s="758"/>
      <c r="E42" s="758"/>
      <c r="F42" s="758"/>
      <c r="G42" s="758"/>
      <c r="H42" s="758"/>
      <c r="I42" s="758"/>
      <c r="J42" s="758"/>
      <c r="K42" s="758"/>
      <c r="L42" s="759"/>
      <c r="M42" s="759"/>
    </row>
    <row r="43" spans="2:19" ht="13" x14ac:dyDescent="0.3">
      <c r="B43" s="340" t="s">
        <v>405</v>
      </c>
      <c r="C43" s="758">
        <v>10</v>
      </c>
      <c r="D43" s="758">
        <v>20</v>
      </c>
      <c r="E43" s="758"/>
      <c r="F43" s="758"/>
      <c r="G43" s="758"/>
      <c r="H43" s="758"/>
      <c r="I43" s="763"/>
      <c r="J43" s="758"/>
      <c r="K43" s="758"/>
      <c r="L43" s="759"/>
      <c r="M43" s="759"/>
    </row>
    <row r="44" spans="2:19" ht="13" x14ac:dyDescent="0.3">
      <c r="B44" s="340" t="s">
        <v>406</v>
      </c>
      <c r="C44" s="758">
        <v>40.488999999999997</v>
      </c>
      <c r="D44" s="758">
        <v>47.84</v>
      </c>
      <c r="E44" s="758"/>
      <c r="F44" s="758"/>
      <c r="G44" s="758"/>
      <c r="H44" s="758"/>
      <c r="I44" s="763"/>
      <c r="J44" s="758"/>
      <c r="K44" s="758"/>
      <c r="L44" s="759"/>
      <c r="M44" s="760"/>
    </row>
    <row r="45" spans="2:19" ht="13" x14ac:dyDescent="0.3">
      <c r="B45" s="340" t="s">
        <v>34</v>
      </c>
      <c r="C45" s="761">
        <v>900.2</v>
      </c>
      <c r="D45" s="761">
        <v>949.4</v>
      </c>
      <c r="E45" s="761"/>
      <c r="F45" s="761"/>
      <c r="G45" s="761"/>
      <c r="H45" s="758"/>
      <c r="I45" s="763"/>
      <c r="J45" s="758"/>
      <c r="K45" s="758"/>
      <c r="L45" s="759"/>
      <c r="M45" s="764"/>
    </row>
    <row r="46" spans="2:19" ht="13" x14ac:dyDescent="0.3">
      <c r="B46" s="340" t="s">
        <v>174</v>
      </c>
      <c r="C46" s="761">
        <v>556</v>
      </c>
      <c r="D46" s="761">
        <v>647.4</v>
      </c>
      <c r="E46" s="761"/>
      <c r="F46" s="761"/>
      <c r="G46" s="761"/>
      <c r="H46" s="758"/>
      <c r="I46" s="763"/>
      <c r="J46" s="758"/>
      <c r="K46" s="758"/>
      <c r="L46" s="759"/>
      <c r="M46" s="759"/>
    </row>
    <row r="47" spans="2:19" ht="13" x14ac:dyDescent="0.3">
      <c r="B47" s="340" t="s">
        <v>52</v>
      </c>
      <c r="C47" s="761">
        <v>184.10000000000002</v>
      </c>
      <c r="D47" s="761">
        <v>204.2</v>
      </c>
      <c r="E47" s="761"/>
      <c r="F47" s="761"/>
      <c r="G47" s="761"/>
      <c r="H47" s="758"/>
      <c r="I47" s="763"/>
      <c r="J47" s="758"/>
      <c r="K47" s="758"/>
      <c r="L47" s="759"/>
      <c r="M47" s="759"/>
    </row>
    <row r="48" spans="2:19" ht="13" x14ac:dyDescent="0.3">
      <c r="B48" s="340" t="s">
        <v>407</v>
      </c>
      <c r="C48" s="761">
        <v>455.5</v>
      </c>
      <c r="D48" s="761">
        <v>417.2</v>
      </c>
      <c r="E48" s="761"/>
      <c r="F48" s="761"/>
      <c r="G48" s="761"/>
      <c r="H48" s="758"/>
      <c r="I48" s="763"/>
      <c r="J48" s="758"/>
      <c r="K48" s="758"/>
      <c r="L48" s="765"/>
      <c r="M48" s="765"/>
    </row>
    <row r="49" spans="2:13" ht="13" x14ac:dyDescent="0.3">
      <c r="B49" s="340" t="s">
        <v>37</v>
      </c>
      <c r="C49" s="758">
        <v>30.287346205743717</v>
      </c>
      <c r="D49" s="758">
        <v>42.661541686547679</v>
      </c>
      <c r="E49" s="758"/>
      <c r="F49" s="758"/>
      <c r="G49" s="758"/>
      <c r="H49" s="758"/>
      <c r="I49" s="763"/>
      <c r="J49" s="758"/>
      <c r="K49" s="758"/>
      <c r="L49" s="759"/>
      <c r="M49" s="759"/>
    </row>
    <row r="50" spans="2:13" ht="13.5" thickBot="1" x14ac:dyDescent="0.35">
      <c r="B50" s="649" t="s">
        <v>176</v>
      </c>
      <c r="C50" s="766">
        <v>174.1</v>
      </c>
      <c r="D50" s="766">
        <v>183.89999999999998</v>
      </c>
      <c r="E50" s="766"/>
      <c r="F50" s="766"/>
      <c r="G50" s="766"/>
      <c r="H50" s="834"/>
      <c r="I50" s="835"/>
      <c r="J50" s="767"/>
      <c r="K50" s="768"/>
      <c r="L50" s="768"/>
      <c r="M50" s="768"/>
    </row>
    <row r="51" spans="2:13" ht="13" x14ac:dyDescent="0.3">
      <c r="B51" s="339" t="s">
        <v>79</v>
      </c>
      <c r="C51" s="769">
        <f t="shared" ref="C51:L51" si="2">SUM(C42:C50)</f>
        <v>2350.6763462057438</v>
      </c>
      <c r="D51" s="769">
        <f t="shared" si="2"/>
        <v>2512.6015416865475</v>
      </c>
      <c r="E51" s="769"/>
      <c r="F51" s="769"/>
      <c r="G51" s="769"/>
      <c r="H51" s="769"/>
      <c r="I51" s="769"/>
      <c r="J51" s="769"/>
      <c r="K51" s="769"/>
      <c r="L51" s="769"/>
      <c r="M51" s="769"/>
    </row>
    <row r="52" spans="2:13" ht="13" x14ac:dyDescent="0.3">
      <c r="D52" s="650">
        <f t="shared" ref="D52:M52" si="3">D51/C51-1</f>
        <v>6.8884513064577879E-2</v>
      </c>
      <c r="E52" s="650"/>
      <c r="F52" s="650"/>
      <c r="G52" s="650"/>
      <c r="H52" s="650"/>
      <c r="I52" s="650"/>
      <c r="J52" s="650"/>
      <c r="K52" s="650"/>
      <c r="L52" s="650"/>
      <c r="M52" s="650"/>
    </row>
  </sheetData>
  <mergeCells count="1">
    <mergeCell ref="H50:I50"/>
  </mergeCell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59"/>
  <sheetViews>
    <sheetView showGridLines="0" zoomScale="70" zoomScaleNormal="70" workbookViewId="0">
      <selection activeCell="F136" sqref="F136:P137"/>
    </sheetView>
  </sheetViews>
  <sheetFormatPr defaultColWidth="8.81640625" defaultRowHeight="12.5" x14ac:dyDescent="0.25"/>
  <cols>
    <col min="1" max="1" width="5.1796875" style="524" customWidth="1"/>
    <col min="2" max="2" width="19.36328125" style="524" customWidth="1"/>
    <col min="3" max="5" width="10.6328125" style="524" customWidth="1"/>
    <col min="6" max="6" width="10.6328125" style="160" customWidth="1"/>
    <col min="7" max="16" width="10.6328125" style="524" customWidth="1"/>
    <col min="17" max="19" width="13.1796875" style="524" customWidth="1"/>
    <col min="20" max="27" width="8.81640625" style="524"/>
    <col min="28" max="28" width="10.36328125" style="524" customWidth="1"/>
    <col min="29" max="16384" width="8.81640625" style="524"/>
  </cols>
  <sheetData>
    <row r="2" spans="2:16" ht="18" x14ac:dyDescent="0.4">
      <c r="B2" s="120" t="str">
        <f>Introduction!B2</f>
        <v>LightCounting Optical Components Market Forecast for China</v>
      </c>
    </row>
    <row r="3" spans="2:16" ht="15.5" x14ac:dyDescent="0.35">
      <c r="B3" s="213" t="str">
        <f>Introduction!$B$3</f>
        <v>January 25, 2021 - sample only - for illustrative purposes</v>
      </c>
    </row>
    <row r="4" spans="2:16" ht="18" x14ac:dyDescent="0.4">
      <c r="B4" s="212" t="s">
        <v>338</v>
      </c>
    </row>
    <row r="5" spans="2:16" ht="14" x14ac:dyDescent="0.3">
      <c r="B5" s="522"/>
      <c r="C5" s="531"/>
      <c r="D5" s="531"/>
    </row>
    <row r="6" spans="2:16" ht="14" x14ac:dyDescent="0.3">
      <c r="B6" s="600" t="s">
        <v>461</v>
      </c>
    </row>
    <row r="12" spans="2:16" x14ac:dyDescent="0.25">
      <c r="N12" s="661"/>
      <c r="O12" s="661">
        <v>2016</v>
      </c>
      <c r="P12" s="661">
        <v>2025</v>
      </c>
    </row>
    <row r="13" spans="2:16" x14ac:dyDescent="0.25">
      <c r="N13" s="453" t="s">
        <v>4</v>
      </c>
      <c r="O13" s="658">
        <f>Summary!C174</f>
        <v>543.19515623754285</v>
      </c>
      <c r="P13" s="658"/>
    </row>
    <row r="14" spans="2:16" x14ac:dyDescent="0.25">
      <c r="N14" s="453" t="s">
        <v>5</v>
      </c>
      <c r="O14" s="658">
        <f>Summary!C175</f>
        <v>10.657444375880214</v>
      </c>
      <c r="P14" s="658"/>
    </row>
    <row r="15" spans="2:16" x14ac:dyDescent="0.25">
      <c r="N15" s="453" t="s">
        <v>7</v>
      </c>
      <c r="O15" s="658">
        <f>Summary!C176</f>
        <v>50.405769181611902</v>
      </c>
      <c r="P15" s="658"/>
    </row>
    <row r="16" spans="2:16" x14ac:dyDescent="0.25">
      <c r="N16" s="453" t="s">
        <v>6</v>
      </c>
      <c r="O16" s="658">
        <f>Summary!C177</f>
        <v>247.00601923400103</v>
      </c>
      <c r="P16" s="658"/>
    </row>
    <row r="17" spans="14:16" x14ac:dyDescent="0.25">
      <c r="N17" s="453" t="s">
        <v>354</v>
      </c>
      <c r="O17" s="658">
        <f>Summary!C178</f>
        <v>218.74931045678585</v>
      </c>
      <c r="P17" s="658"/>
    </row>
    <row r="18" spans="14:16" x14ac:dyDescent="0.25">
      <c r="N18" s="453" t="s">
        <v>416</v>
      </c>
      <c r="O18" s="658">
        <f>Summary!C179</f>
        <v>10.453308885263413</v>
      </c>
      <c r="P18" s="658"/>
    </row>
    <row r="19" spans="14:16" x14ac:dyDescent="0.25">
      <c r="N19" s="659" t="s">
        <v>8</v>
      </c>
      <c r="O19" s="660">
        <f>Summary!C180</f>
        <v>792.3413559550562</v>
      </c>
      <c r="P19" s="660"/>
    </row>
    <row r="20" spans="14:16" x14ac:dyDescent="0.25">
      <c r="N20" s="453" t="s">
        <v>9</v>
      </c>
      <c r="O20" s="658">
        <f>Summary!C181</f>
        <v>1872.8083643261416</v>
      </c>
      <c r="P20" s="658"/>
    </row>
    <row r="35" spans="2:4" ht="14" x14ac:dyDescent="0.3">
      <c r="B35" s="529" t="s">
        <v>336</v>
      </c>
      <c r="C35" s="552">
        <v>1.6</v>
      </c>
      <c r="D35" s="530" t="s">
        <v>377</v>
      </c>
    </row>
    <row r="55" spans="2:4" x14ac:dyDescent="0.25">
      <c r="B55" s="525" t="s">
        <v>402</v>
      </c>
    </row>
    <row r="59" spans="2:4" ht="14" x14ac:dyDescent="0.3">
      <c r="B59" s="529" t="s">
        <v>336</v>
      </c>
      <c r="C59" s="530" t="s">
        <v>332</v>
      </c>
      <c r="D59" s="530" t="s">
        <v>333</v>
      </c>
    </row>
    <row r="69" spans="2:16" x14ac:dyDescent="0.25">
      <c r="M69" s="590"/>
    </row>
    <row r="77" spans="2:16" ht="13" x14ac:dyDescent="0.3">
      <c r="B77" s="523" t="s">
        <v>337</v>
      </c>
      <c r="O77" s="591"/>
    </row>
    <row r="78" spans="2:16" x14ac:dyDescent="0.25">
      <c r="C78" s="123">
        <v>2012</v>
      </c>
      <c r="D78" s="124">
        <v>2013</v>
      </c>
      <c r="E78" s="123">
        <v>2014</v>
      </c>
      <c r="F78" s="124">
        <v>2015</v>
      </c>
      <c r="G78" s="123">
        <v>2016</v>
      </c>
      <c r="H78" s="140">
        <v>2017</v>
      </c>
      <c r="I78" s="140">
        <v>2018</v>
      </c>
      <c r="J78" s="123">
        <v>2019</v>
      </c>
      <c r="K78" s="123">
        <v>2020</v>
      </c>
      <c r="L78" s="123">
        <v>2021</v>
      </c>
      <c r="M78" s="123">
        <v>2022</v>
      </c>
      <c r="N78" s="123">
        <v>2023</v>
      </c>
      <c r="O78" s="123">
        <v>2024</v>
      </c>
      <c r="P78" s="123">
        <v>2025</v>
      </c>
    </row>
    <row r="79" spans="2:16" x14ac:dyDescent="0.25">
      <c r="B79" s="526" t="s">
        <v>199</v>
      </c>
      <c r="C79" s="147">
        <v>20.320880000000002</v>
      </c>
      <c r="D79" s="147">
        <v>40.823000000000008</v>
      </c>
      <c r="E79" s="147">
        <v>68.316000000000003</v>
      </c>
      <c r="F79" s="147"/>
      <c r="G79" s="147"/>
      <c r="H79" s="147"/>
      <c r="I79" s="147"/>
      <c r="J79" s="147"/>
      <c r="K79" s="147"/>
      <c r="L79" s="147"/>
      <c r="M79" s="147"/>
      <c r="N79" s="147"/>
      <c r="O79" s="147"/>
      <c r="P79" s="147"/>
    </row>
    <row r="80" spans="2:16" x14ac:dyDescent="0.25">
      <c r="B80" s="527" t="s">
        <v>224</v>
      </c>
      <c r="C80" s="10">
        <v>84.679119999999998</v>
      </c>
      <c r="D80" s="10">
        <v>109.17699999999999</v>
      </c>
      <c r="E80" s="10">
        <v>116.684</v>
      </c>
      <c r="F80" s="10"/>
      <c r="G80" s="10"/>
      <c r="H80" s="10"/>
      <c r="I80" s="10"/>
      <c r="J80" s="10"/>
      <c r="K80" s="10"/>
      <c r="L80" s="10"/>
      <c r="M80" s="10"/>
      <c r="N80" s="10"/>
      <c r="O80" s="10"/>
      <c r="P80" s="10"/>
    </row>
    <row r="81" spans="2:16" x14ac:dyDescent="0.25">
      <c r="B81" s="528" t="s">
        <v>79</v>
      </c>
      <c r="C81" s="536">
        <f>C80+C79</f>
        <v>105</v>
      </c>
      <c r="D81" s="536">
        <f t="shared" ref="D81:M81" si="0">D80+D79</f>
        <v>150</v>
      </c>
      <c r="E81" s="536">
        <f t="shared" si="0"/>
        <v>185</v>
      </c>
      <c r="F81" s="536"/>
      <c r="G81" s="536"/>
      <c r="H81" s="536"/>
      <c r="I81" s="536"/>
      <c r="J81" s="536"/>
      <c r="K81" s="536"/>
      <c r="L81" s="536"/>
      <c r="M81" s="536"/>
      <c r="N81" s="536"/>
      <c r="O81" s="536"/>
      <c r="P81" s="536"/>
    </row>
    <row r="84" spans="2:16" ht="14" x14ac:dyDescent="0.3">
      <c r="B84" s="600" t="s">
        <v>409</v>
      </c>
      <c r="C84" s="600">
        <v>1.9</v>
      </c>
      <c r="D84" s="530" t="s">
        <v>334</v>
      </c>
    </row>
    <row r="88" spans="2:16" ht="13" customHeight="1" x14ac:dyDescent="0.25">
      <c r="F88" s="524"/>
    </row>
    <row r="96" spans="2:16" x14ac:dyDescent="0.25">
      <c r="M96" s="590"/>
    </row>
    <row r="104" spans="2:18" ht="13" x14ac:dyDescent="0.3">
      <c r="B104" s="525" t="s">
        <v>340</v>
      </c>
      <c r="Q104" s="591"/>
    </row>
    <row r="105" spans="2:18" ht="13" x14ac:dyDescent="0.3">
      <c r="B105" s="523"/>
      <c r="C105" s="129">
        <v>2011</v>
      </c>
      <c r="D105" s="123">
        <v>2012</v>
      </c>
      <c r="E105" s="124">
        <v>2013</v>
      </c>
      <c r="F105" s="123">
        <v>2014</v>
      </c>
      <c r="G105" s="124">
        <v>2015</v>
      </c>
      <c r="H105" s="123">
        <v>2016</v>
      </c>
      <c r="I105" s="140">
        <v>2017</v>
      </c>
      <c r="J105" s="140">
        <v>2018</v>
      </c>
      <c r="K105" s="123">
        <v>2019</v>
      </c>
      <c r="L105" s="123">
        <v>2020</v>
      </c>
      <c r="M105" s="123">
        <v>2021</v>
      </c>
      <c r="N105" s="123">
        <v>2022</v>
      </c>
      <c r="O105" s="123">
        <v>2023</v>
      </c>
      <c r="P105" s="123">
        <v>2024</v>
      </c>
      <c r="Q105" s="123">
        <v>2025</v>
      </c>
    </row>
    <row r="106" spans="2:18" x14ac:dyDescent="0.25">
      <c r="B106" s="537" t="s">
        <v>408</v>
      </c>
      <c r="C106" s="540">
        <v>0.35424178685897445</v>
      </c>
      <c r="D106" s="540">
        <v>0.62576040530296018</v>
      </c>
      <c r="E106" s="540">
        <v>0.50283192684757627</v>
      </c>
      <c r="F106" s="540">
        <v>0.56072439419394882</v>
      </c>
      <c r="G106" s="540"/>
      <c r="H106" s="540"/>
      <c r="I106" s="540"/>
      <c r="J106" s="540"/>
      <c r="K106" s="540"/>
      <c r="L106" s="540"/>
      <c r="M106" s="540"/>
      <c r="N106" s="540"/>
      <c r="O106" s="540"/>
      <c r="P106" s="540"/>
      <c r="Q106" s="540"/>
      <c r="R106" s="525"/>
    </row>
    <row r="107" spans="2:18" x14ac:dyDescent="0.25">
      <c r="B107" s="538" t="s">
        <v>345</v>
      </c>
      <c r="C107" s="592">
        <v>0.38</v>
      </c>
      <c r="D107" s="592">
        <v>0.37</v>
      </c>
      <c r="E107" s="592">
        <v>0.36</v>
      </c>
      <c r="F107" s="592">
        <v>0.35</v>
      </c>
      <c r="G107" s="592"/>
      <c r="H107" s="592"/>
      <c r="I107" s="592"/>
      <c r="J107" s="592"/>
      <c r="K107" s="592"/>
      <c r="L107" s="592"/>
      <c r="M107" s="592"/>
      <c r="N107" s="592"/>
      <c r="O107" s="592"/>
      <c r="P107" s="592"/>
      <c r="Q107" s="592"/>
    </row>
    <row r="108" spans="2:18" x14ac:dyDescent="0.25">
      <c r="B108" s="539" t="s">
        <v>346</v>
      </c>
      <c r="C108" s="593">
        <v>0</v>
      </c>
      <c r="D108" s="593">
        <v>1.5957446808510638</v>
      </c>
      <c r="E108" s="593">
        <v>1.3704918032786884</v>
      </c>
      <c r="F108" s="593">
        <v>0.77593360995850635</v>
      </c>
      <c r="G108" s="593"/>
      <c r="H108" s="593"/>
      <c r="I108" s="593"/>
      <c r="J108" s="783"/>
      <c r="K108" s="593"/>
      <c r="L108" s="593"/>
      <c r="M108" s="593"/>
      <c r="N108" s="593"/>
      <c r="O108" s="593"/>
      <c r="P108" s="593"/>
      <c r="Q108" s="593"/>
    </row>
    <row r="112" spans="2:18" ht="14" x14ac:dyDescent="0.3">
      <c r="B112" s="529" t="s">
        <v>336</v>
      </c>
      <c r="C112" s="601">
        <v>1.1000000000000001</v>
      </c>
      <c r="D112" s="530" t="s">
        <v>335</v>
      </c>
      <c r="H112" s="561"/>
    </row>
    <row r="133" spans="2:17" x14ac:dyDescent="0.25">
      <c r="M133" s="525"/>
    </row>
    <row r="134" spans="2:17" ht="13" x14ac:dyDescent="0.3">
      <c r="B134" s="523" t="s">
        <v>339</v>
      </c>
    </row>
    <row r="135" spans="2:17" x14ac:dyDescent="0.25">
      <c r="C135" s="123">
        <v>2012</v>
      </c>
      <c r="D135" s="124">
        <v>2013</v>
      </c>
      <c r="E135" s="123">
        <v>2014</v>
      </c>
      <c r="F135" s="124">
        <v>2015</v>
      </c>
      <c r="G135" s="123">
        <v>2016</v>
      </c>
      <c r="H135" s="140">
        <v>2017</v>
      </c>
      <c r="I135" s="140">
        <v>2018</v>
      </c>
      <c r="J135" s="123">
        <v>2019</v>
      </c>
      <c r="K135" s="123">
        <v>2020</v>
      </c>
      <c r="L135" s="123">
        <v>2021</v>
      </c>
      <c r="M135" s="123">
        <v>2022</v>
      </c>
      <c r="N135" s="123">
        <v>2023</v>
      </c>
      <c r="O135" s="123">
        <v>2024</v>
      </c>
      <c r="P135" s="123">
        <v>2025</v>
      </c>
    </row>
    <row r="136" spans="2:17" x14ac:dyDescent="0.25">
      <c r="B136" s="526" t="s">
        <v>383</v>
      </c>
      <c r="C136" s="540">
        <v>0.35649951553872228</v>
      </c>
      <c r="D136" s="540">
        <v>0.38906598483833665</v>
      </c>
      <c r="E136" s="540">
        <v>0.39997345332075351</v>
      </c>
      <c r="F136" s="540"/>
      <c r="G136" s="717"/>
      <c r="H136" s="717"/>
      <c r="I136" s="717"/>
      <c r="J136" s="717"/>
      <c r="K136" s="717"/>
      <c r="L136" s="717"/>
      <c r="M136" s="717"/>
      <c r="N136" s="717"/>
      <c r="O136" s="717"/>
      <c r="P136" s="717"/>
    </row>
    <row r="137" spans="2:17" x14ac:dyDescent="0.25">
      <c r="B137" s="527" t="s">
        <v>384</v>
      </c>
      <c r="C137" s="542">
        <v>0.43407421235798549</v>
      </c>
      <c r="D137" s="542">
        <v>0.4672400529702907</v>
      </c>
      <c r="E137" s="542">
        <v>0.4666569179909994</v>
      </c>
      <c r="F137" s="542"/>
      <c r="G137" s="718"/>
      <c r="H137" s="718"/>
      <c r="I137" s="718"/>
      <c r="J137" s="718"/>
      <c r="K137" s="718"/>
      <c r="L137" s="718"/>
      <c r="M137" s="718"/>
      <c r="N137" s="718"/>
      <c r="O137" s="718"/>
      <c r="P137" s="718"/>
      <c r="Q137" s="719"/>
    </row>
    <row r="138" spans="2:17" x14ac:dyDescent="0.25">
      <c r="F138" s="524"/>
    </row>
    <row r="140" spans="2:17" ht="13" x14ac:dyDescent="0.3">
      <c r="B140" s="523" t="s">
        <v>463</v>
      </c>
      <c r="C140" s="524" t="s">
        <v>456</v>
      </c>
    </row>
    <row r="158" spans="2:2" ht="17.5" customHeight="1" x14ac:dyDescent="0.25"/>
    <row r="159" spans="2:2" ht="13" x14ac:dyDescent="0.3">
      <c r="B159" s="523" t="s">
        <v>462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U66"/>
  <sheetViews>
    <sheetView zoomScale="80" zoomScaleNormal="80" zoomScalePageLayoutView="70" workbookViewId="0">
      <selection activeCell="C29" sqref="C29"/>
    </sheetView>
  </sheetViews>
  <sheetFormatPr defaultColWidth="9.1796875" defaultRowHeight="12.5" x14ac:dyDescent="0.25"/>
  <cols>
    <col min="1" max="1" width="4.36328125" style="12" customWidth="1"/>
    <col min="2" max="2" width="16.6328125" style="12" customWidth="1"/>
    <col min="3" max="11" width="8.36328125" style="12" customWidth="1"/>
    <col min="12" max="12" width="9" style="12" customWidth="1"/>
    <col min="13" max="16384" width="9.1796875" style="12"/>
  </cols>
  <sheetData>
    <row r="2" spans="2:9" ht="18" x14ac:dyDescent="0.4">
      <c r="B2" s="121" t="str">
        <f>Introduction!B2</f>
        <v>LightCounting Optical Components Market Forecast for China</v>
      </c>
    </row>
    <row r="3" spans="2:9" ht="15.5" x14ac:dyDescent="0.35">
      <c r="B3" s="213" t="str">
        <f>Introduction!$B$3</f>
        <v>January 25, 2021 - sample only - for illustrative purposes</v>
      </c>
    </row>
    <row r="4" spans="2:9" ht="18" x14ac:dyDescent="0.4">
      <c r="B4" s="211" t="s">
        <v>38</v>
      </c>
    </row>
    <row r="6" spans="2:9" x14ac:dyDescent="0.25">
      <c r="B6" s="786" t="s">
        <v>39</v>
      </c>
      <c r="C6" s="786"/>
      <c r="D6" s="786"/>
      <c r="E6" s="786"/>
      <c r="F6" s="786"/>
      <c r="G6" s="786"/>
      <c r="H6" s="786"/>
      <c r="I6" s="786"/>
    </row>
    <row r="7" spans="2:9" x14ac:dyDescent="0.25">
      <c r="B7" s="786"/>
      <c r="C7" s="786"/>
      <c r="D7" s="786"/>
      <c r="E7" s="786"/>
      <c r="F7" s="786"/>
      <c r="G7" s="786"/>
      <c r="H7" s="786"/>
      <c r="I7" s="786"/>
    </row>
    <row r="8" spans="2:9" x14ac:dyDescent="0.25">
      <c r="B8" s="13"/>
      <c r="C8" s="13"/>
      <c r="D8" s="13"/>
      <c r="E8" s="13"/>
      <c r="F8" s="13"/>
      <c r="G8" s="13"/>
      <c r="H8" s="13"/>
      <c r="I8" s="13"/>
    </row>
    <row r="9" spans="2:9" x14ac:dyDescent="0.25">
      <c r="B9" s="789" t="s">
        <v>40</v>
      </c>
      <c r="C9" s="789"/>
      <c r="D9" s="789"/>
      <c r="E9" s="789"/>
      <c r="F9" s="789"/>
      <c r="G9" s="789"/>
      <c r="H9" s="789"/>
      <c r="I9" s="789"/>
    </row>
    <row r="22" spans="2:21" x14ac:dyDescent="0.25">
      <c r="B22" s="52" t="s">
        <v>56</v>
      </c>
      <c r="C22" s="53"/>
      <c r="D22" s="53"/>
      <c r="E22" s="53"/>
      <c r="F22" s="53"/>
      <c r="G22" s="53"/>
      <c r="H22" s="53"/>
      <c r="I22" s="53"/>
      <c r="J22" s="53"/>
      <c r="K22" s="53"/>
      <c r="L22" s="53"/>
    </row>
    <row r="23" spans="2:21" x14ac:dyDescent="0.25">
      <c r="B23" s="52" t="s">
        <v>135</v>
      </c>
      <c r="C23" s="53"/>
      <c r="D23" s="53"/>
      <c r="E23" s="53"/>
      <c r="F23" s="53"/>
      <c r="G23" s="53"/>
      <c r="H23" s="53"/>
      <c r="I23" s="53"/>
      <c r="J23" s="53"/>
      <c r="K23" s="53"/>
      <c r="L23" s="53"/>
    </row>
    <row r="24" spans="2:21" x14ac:dyDescent="0.25">
      <c r="B24" s="52" t="s">
        <v>57</v>
      </c>
      <c r="C24" s="53"/>
      <c r="D24" s="53"/>
      <c r="E24" s="53"/>
      <c r="F24" s="53"/>
      <c r="G24" s="53"/>
      <c r="H24" s="53"/>
      <c r="I24" s="53"/>
      <c r="J24" s="53"/>
      <c r="K24" s="53"/>
      <c r="L24" s="53"/>
    </row>
    <row r="25" spans="2:21" x14ac:dyDescent="0.25">
      <c r="B25" s="46"/>
      <c r="C25" s="53"/>
      <c r="D25" s="53"/>
      <c r="E25" s="53"/>
      <c r="F25" s="53"/>
      <c r="G25" s="53"/>
      <c r="H25" s="53"/>
      <c r="I25" s="53"/>
      <c r="J25" s="53"/>
      <c r="K25" s="53"/>
      <c r="L25" s="53"/>
    </row>
    <row r="26" spans="2:21" ht="13" x14ac:dyDescent="0.3">
      <c r="B26" s="54" t="s">
        <v>58</v>
      </c>
    </row>
    <row r="27" spans="2:21" x14ac:dyDescent="0.25">
      <c r="B27" s="22" t="s">
        <v>3</v>
      </c>
      <c r="C27" s="77">
        <v>2007</v>
      </c>
      <c r="D27" s="77">
        <v>2008</v>
      </c>
      <c r="E27" s="77">
        <v>2009</v>
      </c>
      <c r="F27" s="77">
        <v>2010</v>
      </c>
      <c r="G27" s="77">
        <v>2011</v>
      </c>
      <c r="H27" s="77">
        <v>2012</v>
      </c>
      <c r="I27" s="77">
        <v>2013</v>
      </c>
      <c r="J27" s="77">
        <v>2014</v>
      </c>
      <c r="K27" s="95">
        <v>2015</v>
      </c>
      <c r="L27" s="102">
        <v>2016</v>
      </c>
      <c r="M27" s="102">
        <v>2017</v>
      </c>
      <c r="N27" s="102">
        <v>2018</v>
      </c>
      <c r="O27" s="102">
        <v>2019</v>
      </c>
      <c r="P27" s="102">
        <v>2020</v>
      </c>
      <c r="Q27" s="102">
        <v>2021</v>
      </c>
      <c r="R27" s="102">
        <v>2022</v>
      </c>
      <c r="S27" s="102">
        <v>2023</v>
      </c>
      <c r="T27" s="102">
        <v>2024</v>
      </c>
      <c r="U27" s="102">
        <v>2025</v>
      </c>
    </row>
    <row r="28" spans="2:21" s="112" customFormat="1" x14ac:dyDescent="0.25">
      <c r="B28" s="111" t="s">
        <v>94</v>
      </c>
      <c r="C28" s="703">
        <v>0.45098039215686292</v>
      </c>
      <c r="D28" s="703">
        <v>0.41891891891891886</v>
      </c>
      <c r="E28" s="703">
        <v>0.39999999999999991</v>
      </c>
      <c r="F28" s="703">
        <v>0.38775510204081631</v>
      </c>
      <c r="G28" s="705">
        <v>0.38</v>
      </c>
      <c r="H28" s="705">
        <v>0.37</v>
      </c>
      <c r="I28" s="705">
        <v>0.36</v>
      </c>
      <c r="J28" s="705">
        <v>0.35</v>
      </c>
      <c r="K28" s="705">
        <v>0.33</v>
      </c>
      <c r="L28" s="705">
        <v>0.31</v>
      </c>
      <c r="M28" s="705">
        <v>0.3</v>
      </c>
      <c r="N28" s="705">
        <v>0.28999999999999998</v>
      </c>
      <c r="O28" s="705">
        <v>0.28999999999999998</v>
      </c>
      <c r="P28" s="705">
        <v>0.5</v>
      </c>
      <c r="Q28" s="705">
        <v>0.35</v>
      </c>
      <c r="R28" s="705">
        <v>0.3</v>
      </c>
      <c r="S28" s="705">
        <v>0.28999999999999998</v>
      </c>
      <c r="T28" s="705">
        <v>0.28000000000000003</v>
      </c>
      <c r="U28" s="705">
        <v>0.27</v>
      </c>
    </row>
    <row r="29" spans="2:21" x14ac:dyDescent="0.25">
      <c r="B29" s="18" t="s">
        <v>4</v>
      </c>
      <c r="C29" s="704">
        <v>0.2363366825514075</v>
      </c>
      <c r="D29" s="704">
        <v>0.26126010671388444</v>
      </c>
      <c r="E29" s="704">
        <v>0.25114039004710653</v>
      </c>
      <c r="F29" s="704">
        <v>0.35550001923164087</v>
      </c>
      <c r="G29" s="706">
        <v>0.42738651562811047</v>
      </c>
      <c r="H29" s="706">
        <v>0.39027527519628302</v>
      </c>
      <c r="I29" s="706">
        <v>0.46390695578739249</v>
      </c>
      <c r="J29" s="706">
        <v>0.52480775361558596</v>
      </c>
      <c r="K29" s="706">
        <v>0.42028665922647979</v>
      </c>
      <c r="L29" s="706">
        <v>0.43657007399725223</v>
      </c>
      <c r="M29" s="706">
        <v>0.4781977791184846</v>
      </c>
      <c r="N29" s="706">
        <v>0.49405736788172661</v>
      </c>
      <c r="O29" s="706">
        <v>0.38804227758944432</v>
      </c>
      <c r="P29" s="706">
        <v>0.42856976227692356</v>
      </c>
      <c r="Q29" s="706">
        <v>0.40298267279616473</v>
      </c>
      <c r="R29" s="706">
        <v>0.39760411073349111</v>
      </c>
      <c r="S29" s="706">
        <v>0.41572351137061037</v>
      </c>
      <c r="T29" s="706">
        <v>0.38417061226951432</v>
      </c>
      <c r="U29" s="706">
        <v>0.37193983355512494</v>
      </c>
    </row>
    <row r="30" spans="2:21" x14ac:dyDescent="0.25">
      <c r="B30" s="18" t="s">
        <v>6</v>
      </c>
      <c r="C30" s="704">
        <v>0.40606751301296207</v>
      </c>
      <c r="D30" s="704">
        <v>0.50744472069135105</v>
      </c>
      <c r="E30" s="704">
        <v>0.24842156785301661</v>
      </c>
      <c r="F30" s="704">
        <v>0.22001159553324645</v>
      </c>
      <c r="G30" s="705">
        <v>0.31682528349686678</v>
      </c>
      <c r="H30" s="705">
        <v>0.38660684502076625</v>
      </c>
      <c r="I30" s="705">
        <v>0.41913726843312915</v>
      </c>
      <c r="J30" s="705">
        <v>0.42631212042630495</v>
      </c>
      <c r="K30" s="705">
        <v>0.44820797319536432</v>
      </c>
      <c r="L30" s="705">
        <v>0.44820797319536432</v>
      </c>
      <c r="M30" s="705">
        <v>0.45336819650410609</v>
      </c>
      <c r="N30" s="705">
        <v>0.42127636536986124</v>
      </c>
      <c r="O30" s="705">
        <v>0.4097505497720928</v>
      </c>
      <c r="P30" s="705">
        <v>0.40775776424098176</v>
      </c>
      <c r="Q30" s="705">
        <v>0.3821610698498199</v>
      </c>
      <c r="R30" s="705">
        <v>0.38950295115829148</v>
      </c>
      <c r="S30" s="705">
        <v>0.41404681796686682</v>
      </c>
      <c r="T30" s="705">
        <v>0.3850800851962497</v>
      </c>
      <c r="U30" s="705">
        <v>0.35274121391426272</v>
      </c>
    </row>
    <row r="31" spans="2:21" ht="13" x14ac:dyDescent="0.3">
      <c r="K31" s="667" t="s">
        <v>134</v>
      </c>
    </row>
    <row r="33" spans="2:14" x14ac:dyDescent="0.25">
      <c r="B33" s="12" t="s">
        <v>41</v>
      </c>
    </row>
    <row r="34" spans="2:14" x14ac:dyDescent="0.25">
      <c r="N34" s="12" t="s">
        <v>101</v>
      </c>
    </row>
    <row r="35" spans="2:14" ht="13" x14ac:dyDescent="0.3">
      <c r="B35" s="14" t="s">
        <v>42</v>
      </c>
    </row>
    <row r="36" spans="2:14" ht="13" x14ac:dyDescent="0.3">
      <c r="B36" s="14"/>
    </row>
    <row r="37" spans="2:14" x14ac:dyDescent="0.25">
      <c r="B37" s="788" t="s">
        <v>43</v>
      </c>
      <c r="C37" s="786"/>
      <c r="D37" s="786"/>
      <c r="E37" s="786"/>
      <c r="F37" s="786"/>
      <c r="G37" s="786"/>
      <c r="H37" s="786"/>
      <c r="I37" s="786"/>
    </row>
    <row r="38" spans="2:14" x14ac:dyDescent="0.25">
      <c r="B38" s="786"/>
      <c r="C38" s="786"/>
      <c r="D38" s="786"/>
      <c r="E38" s="786"/>
      <c r="F38" s="786"/>
      <c r="G38" s="786"/>
      <c r="H38" s="786"/>
      <c r="I38" s="786"/>
    </row>
    <row r="39" spans="2:14" x14ac:dyDescent="0.25">
      <c r="B39" s="787"/>
      <c r="C39" s="787"/>
      <c r="D39" s="787"/>
      <c r="E39" s="787"/>
      <c r="F39" s="787"/>
      <c r="G39" s="787"/>
      <c r="H39" s="787"/>
      <c r="I39" s="787"/>
    </row>
    <row r="40" spans="2:14" x14ac:dyDescent="0.25">
      <c r="B40" s="787"/>
      <c r="C40" s="787"/>
      <c r="D40" s="787"/>
      <c r="E40" s="787"/>
      <c r="F40" s="787"/>
      <c r="G40" s="787"/>
      <c r="H40" s="787"/>
      <c r="I40" s="787"/>
    </row>
    <row r="42" spans="2:14" ht="13" x14ac:dyDescent="0.3">
      <c r="B42" s="14" t="s">
        <v>44</v>
      </c>
    </row>
    <row r="43" spans="2:14" x14ac:dyDescent="0.25">
      <c r="B43" s="786" t="s">
        <v>45</v>
      </c>
      <c r="C43" s="786"/>
      <c r="D43" s="786"/>
      <c r="E43" s="786"/>
      <c r="F43" s="786"/>
      <c r="G43" s="786"/>
      <c r="H43" s="786"/>
      <c r="I43" s="786"/>
    </row>
    <row r="44" spans="2:14" x14ac:dyDescent="0.25">
      <c r="B44" s="786"/>
      <c r="C44" s="786"/>
      <c r="D44" s="786"/>
      <c r="E44" s="786"/>
      <c r="F44" s="786"/>
      <c r="G44" s="786"/>
      <c r="H44" s="786"/>
      <c r="I44" s="786"/>
    </row>
    <row r="45" spans="2:14" x14ac:dyDescent="0.25">
      <c r="B45" s="787"/>
      <c r="C45" s="787"/>
      <c r="D45" s="787"/>
      <c r="E45" s="787"/>
      <c r="F45" s="787"/>
      <c r="G45" s="787"/>
      <c r="H45" s="787"/>
      <c r="I45" s="787"/>
    </row>
    <row r="46" spans="2:14" x14ac:dyDescent="0.25">
      <c r="B46" s="787"/>
      <c r="C46" s="787"/>
      <c r="D46" s="787"/>
      <c r="E46" s="787"/>
      <c r="F46" s="787"/>
      <c r="G46" s="787"/>
      <c r="H46" s="787"/>
      <c r="I46" s="787"/>
    </row>
    <row r="48" spans="2:14" ht="13" x14ac:dyDescent="0.3">
      <c r="B48" s="14" t="s">
        <v>46</v>
      </c>
    </row>
    <row r="49" spans="2:9" ht="13" x14ac:dyDescent="0.3">
      <c r="B49" s="14"/>
    </row>
    <row r="50" spans="2:9" x14ac:dyDescent="0.25">
      <c r="B50" s="788" t="s">
        <v>47</v>
      </c>
      <c r="C50" s="786"/>
      <c r="D50" s="786"/>
      <c r="E50" s="786"/>
      <c r="F50" s="786"/>
      <c r="G50" s="786"/>
      <c r="H50" s="786"/>
      <c r="I50" s="786"/>
    </row>
    <row r="51" spans="2:9" x14ac:dyDescent="0.25">
      <c r="B51" s="786"/>
      <c r="C51" s="786"/>
      <c r="D51" s="786"/>
      <c r="E51" s="786"/>
      <c r="F51" s="786"/>
      <c r="G51" s="786"/>
      <c r="H51" s="786"/>
      <c r="I51" s="786"/>
    </row>
    <row r="52" spans="2:9" x14ac:dyDescent="0.25">
      <c r="B52" s="786"/>
      <c r="C52" s="786"/>
      <c r="D52" s="786"/>
      <c r="E52" s="786"/>
      <c r="F52" s="786"/>
      <c r="G52" s="786"/>
      <c r="H52" s="786"/>
      <c r="I52" s="786"/>
    </row>
    <row r="53" spans="2:9" x14ac:dyDescent="0.25">
      <c r="B53" s="787"/>
      <c r="C53" s="787"/>
      <c r="D53" s="787"/>
      <c r="E53" s="787"/>
      <c r="F53" s="787"/>
      <c r="G53" s="787"/>
      <c r="H53" s="787"/>
      <c r="I53" s="787"/>
    </row>
    <row r="54" spans="2:9" x14ac:dyDescent="0.25">
      <c r="B54" s="787"/>
      <c r="C54" s="787"/>
      <c r="D54" s="787"/>
      <c r="E54" s="787"/>
      <c r="F54" s="787"/>
      <c r="G54" s="787"/>
      <c r="H54" s="787"/>
      <c r="I54" s="787"/>
    </row>
    <row r="56" spans="2:9" ht="13" x14ac:dyDescent="0.3">
      <c r="B56" s="14" t="s">
        <v>48</v>
      </c>
    </row>
    <row r="57" spans="2:9" x14ac:dyDescent="0.25">
      <c r="B57" s="786" t="s">
        <v>49</v>
      </c>
      <c r="C57" s="786"/>
      <c r="D57" s="786"/>
      <c r="E57" s="786"/>
      <c r="F57" s="786"/>
      <c r="G57" s="786"/>
      <c r="H57" s="786"/>
      <c r="I57" s="786"/>
    </row>
    <row r="58" spans="2:9" x14ac:dyDescent="0.25">
      <c r="B58" s="786"/>
      <c r="C58" s="786"/>
      <c r="D58" s="786"/>
      <c r="E58" s="786"/>
      <c r="F58" s="786"/>
      <c r="G58" s="786"/>
      <c r="H58" s="786"/>
      <c r="I58" s="786"/>
    </row>
    <row r="59" spans="2:9" x14ac:dyDescent="0.25">
      <c r="B59" s="787"/>
      <c r="C59" s="787"/>
      <c r="D59" s="787"/>
      <c r="E59" s="787"/>
      <c r="F59" s="787"/>
      <c r="G59" s="787"/>
      <c r="H59" s="787"/>
      <c r="I59" s="787"/>
    </row>
    <row r="60" spans="2:9" x14ac:dyDescent="0.25">
      <c r="B60" s="787"/>
      <c r="C60" s="787"/>
      <c r="D60" s="787"/>
      <c r="E60" s="787"/>
      <c r="F60" s="787"/>
      <c r="G60" s="787"/>
      <c r="H60" s="787"/>
      <c r="I60" s="787"/>
    </row>
    <row r="62" spans="2:9" ht="13" x14ac:dyDescent="0.3">
      <c r="B62" s="14" t="s">
        <v>50</v>
      </c>
    </row>
    <row r="63" spans="2:9" x14ac:dyDescent="0.25">
      <c r="B63" s="788" t="s">
        <v>51</v>
      </c>
      <c r="C63" s="786"/>
      <c r="D63" s="786"/>
      <c r="E63" s="786"/>
      <c r="F63" s="786"/>
      <c r="G63" s="786"/>
      <c r="H63" s="786"/>
      <c r="I63" s="786"/>
    </row>
    <row r="64" spans="2:9" x14ac:dyDescent="0.25">
      <c r="B64" s="786"/>
      <c r="C64" s="786"/>
      <c r="D64" s="786"/>
      <c r="E64" s="786"/>
      <c r="F64" s="786"/>
      <c r="G64" s="786"/>
      <c r="H64" s="786"/>
      <c r="I64" s="786"/>
    </row>
    <row r="65" spans="2:9" x14ac:dyDescent="0.25">
      <c r="B65" s="787"/>
      <c r="C65" s="787"/>
      <c r="D65" s="787"/>
      <c r="E65" s="787"/>
      <c r="F65" s="787"/>
      <c r="G65" s="787"/>
      <c r="H65" s="787"/>
      <c r="I65" s="787"/>
    </row>
    <row r="66" spans="2:9" x14ac:dyDescent="0.25">
      <c r="B66" s="787"/>
      <c r="C66" s="787"/>
      <c r="D66" s="787"/>
      <c r="E66" s="787"/>
      <c r="F66" s="787"/>
      <c r="G66" s="787"/>
      <c r="H66" s="787"/>
      <c r="I66" s="787"/>
    </row>
  </sheetData>
  <mergeCells count="7">
    <mergeCell ref="B57:I60"/>
    <mergeCell ref="B63:I66"/>
    <mergeCell ref="B6:I7"/>
    <mergeCell ref="B9:I9"/>
    <mergeCell ref="B50:I54"/>
    <mergeCell ref="B37:I40"/>
    <mergeCell ref="B43:I46"/>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38"/>
  <sheetViews>
    <sheetView showGridLines="0" zoomScale="80" zoomScaleNormal="80" zoomScalePageLayoutView="70" workbookViewId="0">
      <selection activeCell="B15" sqref="B15"/>
    </sheetView>
  </sheetViews>
  <sheetFormatPr defaultColWidth="8.81640625" defaultRowHeight="13" x14ac:dyDescent="0.3"/>
  <cols>
    <col min="1" max="1" width="4.453125" style="175" customWidth="1"/>
    <col min="2" max="2" width="17.36328125" style="175" customWidth="1"/>
    <col min="3" max="7" width="14.453125" style="175" customWidth="1"/>
    <col min="8" max="8" width="14" style="175" customWidth="1"/>
    <col min="9" max="14" width="13.6328125" style="175" customWidth="1"/>
    <col min="15" max="15" width="14.453125" style="175" customWidth="1"/>
    <col min="16" max="16384" width="8.81640625" style="175"/>
  </cols>
  <sheetData>
    <row r="2" spans="2:15" ht="18" x14ac:dyDescent="0.4">
      <c r="B2" s="120" t="str">
        <f>Introduction!B2</f>
        <v>LightCounting Optical Components Market Forecast for China</v>
      </c>
    </row>
    <row r="3" spans="2:15" ht="15.5" x14ac:dyDescent="0.35">
      <c r="B3" s="213" t="str">
        <f>Introduction!$B$3</f>
        <v>January 25, 2021 - sample only - for illustrative purposes</v>
      </c>
    </row>
    <row r="4" spans="2:15" ht="18" x14ac:dyDescent="0.4">
      <c r="B4" s="212" t="s">
        <v>103</v>
      </c>
    </row>
    <row r="7" spans="2:15" ht="15.5" x14ac:dyDescent="0.35">
      <c r="B7" s="177" t="s">
        <v>104</v>
      </c>
      <c r="C7" s="178" t="s">
        <v>105</v>
      </c>
      <c r="D7" s="179"/>
      <c r="E7" s="179"/>
      <c r="F7" s="179"/>
      <c r="G7" s="179"/>
      <c r="H7" s="180"/>
      <c r="I7" s="178" t="s">
        <v>106</v>
      </c>
      <c r="J7" s="181"/>
      <c r="K7" s="179"/>
      <c r="L7" s="179"/>
      <c r="M7" s="179"/>
      <c r="N7" s="179"/>
      <c r="O7" s="180"/>
    </row>
    <row r="8" spans="2:15" ht="32.25" customHeight="1" x14ac:dyDescent="0.35">
      <c r="B8" s="182" t="s">
        <v>107</v>
      </c>
      <c r="C8" s="790" t="s">
        <v>108</v>
      </c>
      <c r="D8" s="791"/>
      <c r="E8" s="791"/>
      <c r="F8" s="791"/>
      <c r="G8" s="791"/>
      <c r="H8" s="792"/>
      <c r="I8" s="790" t="s">
        <v>109</v>
      </c>
      <c r="J8" s="791"/>
      <c r="K8" s="791"/>
      <c r="L8" s="791"/>
      <c r="M8" s="791"/>
      <c r="N8" s="791"/>
      <c r="O8" s="792"/>
    </row>
    <row r="9" spans="2:15" ht="32.25" customHeight="1" x14ac:dyDescent="0.35">
      <c r="B9" s="177" t="s">
        <v>110</v>
      </c>
      <c r="C9" s="790" t="s">
        <v>111</v>
      </c>
      <c r="D9" s="791"/>
      <c r="E9" s="791"/>
      <c r="F9" s="791"/>
      <c r="G9" s="791"/>
      <c r="H9" s="792"/>
      <c r="I9" s="790" t="s">
        <v>112</v>
      </c>
      <c r="J9" s="791"/>
      <c r="K9" s="791"/>
      <c r="L9" s="791"/>
      <c r="M9" s="791"/>
      <c r="N9" s="791"/>
      <c r="O9" s="792"/>
    </row>
    <row r="10" spans="2:15" ht="45.75" customHeight="1" x14ac:dyDescent="0.35">
      <c r="B10" s="177" t="s">
        <v>113</v>
      </c>
      <c r="C10" s="790" t="s">
        <v>114</v>
      </c>
      <c r="D10" s="791"/>
      <c r="E10" s="791"/>
      <c r="F10" s="791"/>
      <c r="G10" s="791"/>
      <c r="H10" s="792"/>
      <c r="I10" s="790" t="s">
        <v>317</v>
      </c>
      <c r="J10" s="791"/>
      <c r="K10" s="791"/>
      <c r="L10" s="791"/>
      <c r="M10" s="791"/>
      <c r="N10" s="791"/>
      <c r="O10" s="792"/>
    </row>
    <row r="11" spans="2:15" ht="32.25" customHeight="1" x14ac:dyDescent="0.35">
      <c r="B11" s="177" t="s">
        <v>8</v>
      </c>
      <c r="C11" s="790" t="s">
        <v>115</v>
      </c>
      <c r="D11" s="791"/>
      <c r="E11" s="791"/>
      <c r="F11" s="791"/>
      <c r="G11" s="791"/>
      <c r="H11" s="792"/>
      <c r="I11" s="790" t="s">
        <v>116</v>
      </c>
      <c r="J11" s="791"/>
      <c r="K11" s="791"/>
      <c r="L11" s="791"/>
      <c r="M11" s="791"/>
      <c r="N11" s="791"/>
      <c r="O11" s="792"/>
    </row>
    <row r="12" spans="2:15" ht="32.25" customHeight="1" x14ac:dyDescent="0.35">
      <c r="B12" s="177" t="s">
        <v>69</v>
      </c>
      <c r="C12" s="790" t="s">
        <v>347</v>
      </c>
      <c r="D12" s="791"/>
      <c r="E12" s="791"/>
      <c r="F12" s="791"/>
      <c r="G12" s="791"/>
      <c r="H12" s="792"/>
      <c r="I12" s="790" t="s">
        <v>459</v>
      </c>
      <c r="J12" s="791"/>
      <c r="K12" s="791"/>
      <c r="L12" s="791"/>
      <c r="M12" s="791"/>
      <c r="N12" s="791"/>
      <c r="O12" s="792"/>
    </row>
    <row r="13" spans="2:15" ht="32.25" customHeight="1" x14ac:dyDescent="0.35">
      <c r="B13" s="177" t="s">
        <v>4</v>
      </c>
      <c r="C13" s="790" t="s">
        <v>148</v>
      </c>
      <c r="D13" s="791"/>
      <c r="E13" s="791"/>
      <c r="F13" s="791"/>
      <c r="G13" s="791"/>
      <c r="H13" s="792"/>
      <c r="I13" s="790" t="s">
        <v>460</v>
      </c>
      <c r="J13" s="791"/>
      <c r="K13" s="791"/>
      <c r="L13" s="791"/>
      <c r="M13" s="791"/>
      <c r="N13" s="791"/>
      <c r="O13" s="792"/>
    </row>
    <row r="14" spans="2:15" ht="48.75" customHeight="1" x14ac:dyDescent="0.35">
      <c r="B14" s="177" t="s">
        <v>117</v>
      </c>
      <c r="C14" s="790" t="s">
        <v>118</v>
      </c>
      <c r="D14" s="791"/>
      <c r="E14" s="791"/>
      <c r="F14" s="791"/>
      <c r="G14" s="791"/>
      <c r="H14" s="792"/>
      <c r="I14" s="790" t="s">
        <v>149</v>
      </c>
      <c r="J14" s="791"/>
      <c r="K14" s="791"/>
      <c r="L14" s="791"/>
      <c r="M14" s="791"/>
      <c r="N14" s="791"/>
      <c r="O14" s="792"/>
    </row>
    <row r="15" spans="2:15" ht="35.25" customHeight="1" x14ac:dyDescent="0.35">
      <c r="B15" s="177" t="s">
        <v>483</v>
      </c>
      <c r="C15" s="790" t="s">
        <v>119</v>
      </c>
      <c r="D15" s="791"/>
      <c r="E15" s="791"/>
      <c r="F15" s="791"/>
      <c r="G15" s="791"/>
      <c r="H15" s="792"/>
      <c r="I15" s="790" t="s">
        <v>120</v>
      </c>
      <c r="J15" s="791"/>
      <c r="K15" s="791"/>
      <c r="L15" s="791"/>
      <c r="M15" s="791"/>
      <c r="N15" s="791"/>
      <c r="O15" s="792"/>
    </row>
    <row r="16" spans="2:15" x14ac:dyDescent="0.3">
      <c r="B16" s="183"/>
    </row>
    <row r="17" spans="2:2" x14ac:dyDescent="0.3">
      <c r="B17" s="183"/>
    </row>
    <row r="18" spans="2:2" x14ac:dyDescent="0.3">
      <c r="B18" s="176"/>
    </row>
    <row r="20" spans="2:2" x14ac:dyDescent="0.3">
      <c r="B20" s="176"/>
    </row>
    <row r="21" spans="2:2" x14ac:dyDescent="0.3">
      <c r="B21" s="176"/>
    </row>
    <row r="22" spans="2:2" x14ac:dyDescent="0.3">
      <c r="B22" s="176"/>
    </row>
    <row r="24" spans="2:2" x14ac:dyDescent="0.3">
      <c r="B24" s="176"/>
    </row>
    <row r="25" spans="2:2" x14ac:dyDescent="0.3">
      <c r="B25" s="176"/>
    </row>
    <row r="26" spans="2:2" x14ac:dyDescent="0.3">
      <c r="B26" s="176"/>
    </row>
    <row r="28" spans="2:2" x14ac:dyDescent="0.3">
      <c r="B28" s="176"/>
    </row>
    <row r="29" spans="2:2" x14ac:dyDescent="0.3">
      <c r="B29" s="176"/>
    </row>
    <row r="30" spans="2:2" x14ac:dyDescent="0.3">
      <c r="B30" s="176"/>
    </row>
    <row r="31" spans="2:2" x14ac:dyDescent="0.3">
      <c r="B31" s="176"/>
    </row>
    <row r="38" spans="2:2" x14ac:dyDescent="0.3">
      <c r="B38" s="176"/>
    </row>
  </sheetData>
  <mergeCells count="16">
    <mergeCell ref="C11:H11"/>
    <mergeCell ref="I11:O11"/>
    <mergeCell ref="C12:H12"/>
    <mergeCell ref="I12:O12"/>
    <mergeCell ref="C8:H8"/>
    <mergeCell ref="I8:O8"/>
    <mergeCell ref="C9:H9"/>
    <mergeCell ref="I9:O9"/>
    <mergeCell ref="C10:H10"/>
    <mergeCell ref="I10:O10"/>
    <mergeCell ref="C13:H13"/>
    <mergeCell ref="I13:O13"/>
    <mergeCell ref="C14:H14"/>
    <mergeCell ref="I14:O14"/>
    <mergeCell ref="C15:H15"/>
    <mergeCell ref="I15:O15"/>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V840"/>
  <sheetViews>
    <sheetView showGridLines="0" zoomScale="50" zoomScaleNormal="50" zoomScalePageLayoutView="70" workbookViewId="0">
      <selection activeCell="L90" sqref="L90"/>
    </sheetView>
  </sheetViews>
  <sheetFormatPr defaultColWidth="8.6328125" defaultRowHeight="15.5" x14ac:dyDescent="0.35"/>
  <cols>
    <col min="1" max="1" width="4.453125" style="160" customWidth="1"/>
    <col min="2" max="2" width="26.1796875" style="160" customWidth="1"/>
    <col min="3" max="9" width="13.1796875" style="160" customWidth="1"/>
    <col min="10" max="12" width="12.81640625" style="160" customWidth="1"/>
    <col min="13" max="13" width="14.36328125" style="160" customWidth="1"/>
    <col min="14" max="14" width="25.6328125" style="160" customWidth="1"/>
    <col min="15" max="25" width="13.6328125" style="160" customWidth="1"/>
    <col min="26" max="26" width="15" style="160" customWidth="1"/>
    <col min="27" max="27" width="13.36328125" style="276" customWidth="1"/>
    <col min="28" max="32" width="9.36328125" style="160" bestFit="1" customWidth="1"/>
    <col min="33" max="33" width="10.453125" style="160" bestFit="1" customWidth="1"/>
    <col min="34" max="36" width="8.6328125" style="160"/>
    <col min="37" max="37" width="9.6328125" style="160" customWidth="1"/>
    <col min="38" max="16384" width="8.6328125" style="160"/>
  </cols>
  <sheetData>
    <row r="1" spans="2:24" x14ac:dyDescent="0.35">
      <c r="S1" s="9"/>
      <c r="T1" s="9"/>
      <c r="U1" s="9"/>
      <c r="V1" s="9"/>
      <c r="W1" s="9"/>
      <c r="X1" s="9"/>
    </row>
    <row r="2" spans="2:24" ht="18" x14ac:dyDescent="0.4">
      <c r="B2" s="76" t="str">
        <f>Introduction!B2</f>
        <v>LightCounting Optical Components Market Forecast for China</v>
      </c>
      <c r="S2" s="9"/>
      <c r="T2" s="9"/>
      <c r="U2" s="9"/>
      <c r="V2" s="9"/>
      <c r="W2" s="9"/>
      <c r="X2" s="9"/>
    </row>
    <row r="3" spans="2:24" x14ac:dyDescent="0.35">
      <c r="B3" s="215" t="str">
        <f>Introduction!B3</f>
        <v>January 25, 2021 - sample only - for illustrative purposes</v>
      </c>
      <c r="C3" s="17"/>
      <c r="D3" s="17"/>
      <c r="E3" s="17"/>
      <c r="F3" s="17"/>
      <c r="G3" s="17"/>
      <c r="H3" s="17"/>
      <c r="I3" s="17"/>
      <c r="J3" s="17"/>
      <c r="K3" s="17"/>
      <c r="L3" s="17"/>
      <c r="M3" s="17"/>
      <c r="N3" s="17"/>
      <c r="O3" s="17"/>
      <c r="P3" s="17"/>
      <c r="Q3" s="17"/>
      <c r="R3" s="17"/>
      <c r="S3" s="152"/>
      <c r="T3" s="152"/>
      <c r="U3" s="152"/>
      <c r="V3" s="152"/>
      <c r="W3" s="152"/>
      <c r="X3" s="152"/>
    </row>
    <row r="4" spans="2:24" ht="18" x14ac:dyDescent="0.4">
      <c r="B4" s="212" t="s">
        <v>74</v>
      </c>
      <c r="C4" s="17"/>
      <c r="D4" s="17"/>
      <c r="E4" s="17"/>
      <c r="F4" s="17"/>
      <c r="G4" s="17"/>
      <c r="H4" s="17"/>
      <c r="I4" s="17"/>
      <c r="J4" s="17"/>
      <c r="K4" s="17"/>
      <c r="L4" s="17"/>
      <c r="M4" s="17"/>
      <c r="N4" s="17"/>
      <c r="O4" s="17"/>
      <c r="P4" s="17"/>
      <c r="Q4" s="17"/>
      <c r="R4" s="17"/>
      <c r="S4" s="152"/>
      <c r="T4" s="152"/>
      <c r="U4" s="152"/>
      <c r="V4" s="152"/>
      <c r="W4" s="152"/>
      <c r="X4" s="152"/>
    </row>
    <row r="5" spans="2:24" x14ac:dyDescent="0.35">
      <c r="B5" s="17"/>
      <c r="C5" s="17"/>
      <c r="D5" s="17"/>
      <c r="E5" s="17"/>
      <c r="F5" s="17"/>
      <c r="G5" s="17"/>
      <c r="H5" s="17"/>
      <c r="I5" s="17"/>
      <c r="J5" s="17"/>
      <c r="K5" s="17"/>
      <c r="L5" s="17"/>
      <c r="M5" s="17"/>
      <c r="N5" s="17"/>
      <c r="O5" s="17"/>
      <c r="P5" s="17"/>
      <c r="Q5" s="17"/>
    </row>
    <row r="6" spans="2:24" x14ac:dyDescent="0.35">
      <c r="B6" s="17"/>
      <c r="C6" s="17"/>
      <c r="D6" s="17"/>
      <c r="E6" s="17"/>
      <c r="F6" s="17"/>
      <c r="G6" s="17"/>
      <c r="H6" s="17"/>
      <c r="I6" s="17"/>
      <c r="J6" s="17"/>
      <c r="K6" s="17"/>
      <c r="L6" s="17"/>
      <c r="M6" s="17"/>
      <c r="N6" s="17"/>
      <c r="O6" s="17"/>
      <c r="P6" s="17"/>
      <c r="Q6" s="17"/>
    </row>
    <row r="7" spans="2:24" x14ac:dyDescent="0.35">
      <c r="B7" s="17"/>
      <c r="C7" s="17"/>
      <c r="D7" s="17"/>
      <c r="E7" s="17"/>
      <c r="F7" s="17"/>
      <c r="G7" s="17"/>
      <c r="H7" s="17"/>
      <c r="I7" s="17"/>
      <c r="J7" s="17"/>
      <c r="K7" s="17"/>
      <c r="L7" s="17"/>
      <c r="M7" s="17"/>
      <c r="N7" s="17"/>
      <c r="O7" s="17"/>
      <c r="P7" s="17"/>
      <c r="Q7" s="17"/>
    </row>
    <row r="8" spans="2:24" x14ac:dyDescent="0.35">
      <c r="B8" s="17"/>
      <c r="C8" s="17"/>
      <c r="D8" s="17"/>
      <c r="E8" s="17"/>
      <c r="F8" s="17"/>
      <c r="G8" s="17"/>
      <c r="H8" s="17"/>
      <c r="I8" s="17"/>
      <c r="J8" s="17"/>
      <c r="K8" s="17"/>
      <c r="L8" s="17"/>
      <c r="M8" s="17"/>
      <c r="N8" s="17"/>
      <c r="O8" s="17"/>
      <c r="P8" s="17"/>
      <c r="Q8" s="17"/>
    </row>
    <row r="9" spans="2:24" x14ac:dyDescent="0.35">
      <c r="B9" s="17"/>
      <c r="C9" s="17"/>
      <c r="D9" s="17"/>
      <c r="E9" s="17"/>
      <c r="F9" s="17"/>
      <c r="G9" s="17"/>
      <c r="H9" s="17"/>
      <c r="I9" s="17"/>
      <c r="J9" s="17"/>
      <c r="K9" s="17"/>
      <c r="L9" s="17"/>
      <c r="M9" s="17"/>
      <c r="N9" s="17"/>
      <c r="O9" s="17"/>
      <c r="P9" s="17"/>
      <c r="Q9" s="17"/>
    </row>
    <row r="10" spans="2:24" x14ac:dyDescent="0.35">
      <c r="B10" s="17"/>
      <c r="C10" s="17"/>
      <c r="D10" s="17"/>
      <c r="E10" s="17"/>
      <c r="F10" s="17"/>
      <c r="G10" s="17"/>
      <c r="H10" s="17"/>
      <c r="I10" s="17"/>
      <c r="J10" s="17"/>
      <c r="K10" s="17"/>
      <c r="L10" s="17"/>
      <c r="M10" s="17"/>
      <c r="N10" s="17"/>
      <c r="O10" s="17"/>
      <c r="P10" s="17"/>
      <c r="Q10" s="17"/>
    </row>
    <row r="11" spans="2:24" x14ac:dyDescent="0.35">
      <c r="B11" s="17"/>
      <c r="C11" s="17"/>
      <c r="D11" s="17"/>
      <c r="E11" s="17"/>
      <c r="F11" s="17"/>
      <c r="G11" s="17"/>
      <c r="H11" s="17"/>
      <c r="I11" s="17"/>
      <c r="J11" s="17"/>
      <c r="K11" s="17"/>
      <c r="L11" s="17"/>
      <c r="M11" s="17"/>
      <c r="N11" s="17"/>
      <c r="O11" s="17"/>
      <c r="P11" s="17"/>
      <c r="Q11" s="17"/>
    </row>
    <row r="12" spans="2:24" x14ac:dyDescent="0.35">
      <c r="B12" s="17"/>
      <c r="C12" s="17"/>
      <c r="D12" s="17"/>
      <c r="E12" s="17"/>
      <c r="F12" s="17"/>
      <c r="G12" s="17"/>
      <c r="H12" s="17"/>
      <c r="I12" s="17"/>
      <c r="J12" s="17"/>
      <c r="K12" s="17"/>
      <c r="L12" s="17"/>
      <c r="M12" s="17"/>
      <c r="N12" s="17"/>
      <c r="O12" s="17"/>
      <c r="P12" s="17"/>
      <c r="Q12" s="17"/>
    </row>
    <row r="13" spans="2:24" x14ac:dyDescent="0.35">
      <c r="B13" s="17"/>
      <c r="C13" s="17"/>
      <c r="D13" s="17"/>
      <c r="E13" s="17"/>
      <c r="F13" s="17"/>
      <c r="G13" s="17"/>
      <c r="H13" s="17"/>
      <c r="I13" s="17"/>
      <c r="J13" s="17"/>
      <c r="K13" s="17"/>
      <c r="L13" s="17"/>
      <c r="M13" s="17"/>
      <c r="N13" s="17"/>
      <c r="O13" s="17"/>
      <c r="P13" s="17"/>
      <c r="Q13" s="17"/>
    </row>
    <row r="14" spans="2:24" x14ac:dyDescent="0.35">
      <c r="B14" s="17"/>
      <c r="C14" s="17"/>
      <c r="D14" s="17"/>
      <c r="E14" s="17"/>
      <c r="F14" s="17"/>
      <c r="G14" s="17"/>
      <c r="H14" s="17"/>
      <c r="I14" s="17"/>
      <c r="J14" s="17"/>
      <c r="K14" s="17"/>
      <c r="L14" s="17"/>
      <c r="M14" s="17"/>
      <c r="N14" s="17"/>
      <c r="O14" s="17"/>
      <c r="P14" s="17"/>
      <c r="Q14" s="17"/>
    </row>
    <row r="15" spans="2:24" x14ac:dyDescent="0.35">
      <c r="B15" s="17"/>
      <c r="C15" s="17"/>
      <c r="D15" s="17"/>
      <c r="E15" s="17"/>
      <c r="F15" s="17"/>
      <c r="G15" s="17"/>
      <c r="H15" s="17"/>
      <c r="I15" s="17"/>
      <c r="J15" s="17"/>
      <c r="K15" s="17"/>
      <c r="L15" s="17"/>
      <c r="M15" s="17"/>
      <c r="N15" s="17"/>
      <c r="O15" s="17"/>
      <c r="P15" s="17"/>
      <c r="Q15" s="17"/>
    </row>
    <row r="16" spans="2:24" x14ac:dyDescent="0.35">
      <c r="B16" s="17"/>
      <c r="C16" s="17"/>
      <c r="D16" s="17"/>
      <c r="E16" s="17"/>
      <c r="F16" s="17"/>
      <c r="G16" s="17"/>
      <c r="H16" s="17"/>
      <c r="I16" s="17"/>
      <c r="J16" s="17"/>
      <c r="K16" s="17"/>
      <c r="L16" s="17"/>
      <c r="M16" s="17"/>
      <c r="N16" s="17"/>
      <c r="O16" s="17"/>
      <c r="P16" s="17"/>
      <c r="Q16" s="17"/>
    </row>
    <row r="17" spans="2:30" x14ac:dyDescent="0.35">
      <c r="B17" s="17"/>
      <c r="C17" s="17"/>
      <c r="D17" s="17"/>
      <c r="E17" s="17"/>
      <c r="F17" s="17"/>
      <c r="G17" s="17"/>
      <c r="H17" s="17"/>
      <c r="I17" s="17"/>
      <c r="J17" s="17"/>
      <c r="K17" s="17"/>
      <c r="L17" s="17"/>
      <c r="M17" s="17"/>
      <c r="N17" s="17"/>
      <c r="O17" s="17"/>
      <c r="P17" s="17"/>
      <c r="Q17" s="17"/>
    </row>
    <row r="18" spans="2:30" x14ac:dyDescent="0.35">
      <c r="B18" s="17"/>
      <c r="C18" s="17"/>
      <c r="D18" s="17"/>
      <c r="E18" s="17"/>
      <c r="F18" s="17"/>
      <c r="G18" s="17"/>
      <c r="H18" s="17"/>
      <c r="I18" s="17"/>
      <c r="J18" s="17"/>
      <c r="K18" s="17"/>
      <c r="L18" s="17"/>
      <c r="M18" s="17"/>
      <c r="N18" s="17"/>
      <c r="O18" s="17"/>
      <c r="P18" s="17"/>
      <c r="Q18" s="17"/>
    </row>
    <row r="19" spans="2:30" x14ac:dyDescent="0.35">
      <c r="B19" s="17"/>
      <c r="C19" s="17"/>
      <c r="D19" s="17"/>
      <c r="E19" s="17"/>
      <c r="F19" s="17"/>
      <c r="G19" s="17"/>
      <c r="H19" s="17"/>
      <c r="I19" s="17"/>
      <c r="J19" s="17"/>
      <c r="K19" s="17"/>
      <c r="L19" s="17"/>
      <c r="M19" s="17"/>
      <c r="N19" s="17"/>
      <c r="O19" s="17"/>
      <c r="P19" s="17"/>
      <c r="Q19" s="17"/>
    </row>
    <row r="20" spans="2:30" x14ac:dyDescent="0.35">
      <c r="B20" s="17"/>
      <c r="C20" s="17"/>
      <c r="D20" s="17"/>
      <c r="E20" s="17"/>
      <c r="F20" s="17"/>
      <c r="G20" s="17"/>
      <c r="H20" s="17"/>
      <c r="I20" s="17"/>
      <c r="J20" s="17"/>
      <c r="K20" s="17"/>
      <c r="L20" s="17"/>
      <c r="M20" s="17"/>
      <c r="N20" s="17"/>
      <c r="O20" s="17"/>
      <c r="P20" s="17"/>
      <c r="Q20" s="17"/>
    </row>
    <row r="21" spans="2:30" x14ac:dyDescent="0.35">
      <c r="B21" s="17"/>
      <c r="C21" s="17"/>
      <c r="D21" s="17"/>
      <c r="E21" s="17"/>
      <c r="F21" s="17"/>
      <c r="G21" s="17"/>
      <c r="H21" s="17"/>
      <c r="I21" s="17"/>
      <c r="J21" s="17"/>
      <c r="K21" s="17"/>
      <c r="L21" s="17"/>
      <c r="M21" s="17"/>
      <c r="N21" s="17"/>
      <c r="O21" s="17"/>
      <c r="P21" s="17"/>
      <c r="Q21" s="17"/>
    </row>
    <row r="22" spans="2:30" x14ac:dyDescent="0.35">
      <c r="B22" s="17"/>
      <c r="C22" s="17"/>
      <c r="D22" s="17"/>
      <c r="E22" s="17"/>
      <c r="F22" s="17"/>
      <c r="G22" s="17"/>
      <c r="H22" s="17"/>
      <c r="I22" s="17"/>
      <c r="J22" s="17"/>
      <c r="K22" s="17"/>
      <c r="L22" s="17"/>
      <c r="M22" s="17"/>
      <c r="N22" s="17"/>
      <c r="O22" s="17"/>
      <c r="P22" s="17"/>
      <c r="Q22" s="17"/>
    </row>
    <row r="23" spans="2:30" x14ac:dyDescent="0.35">
      <c r="B23" s="17"/>
      <c r="C23" s="17"/>
      <c r="D23" s="17"/>
      <c r="E23" s="17"/>
      <c r="F23" s="17"/>
      <c r="G23" s="17"/>
      <c r="H23" s="17"/>
      <c r="I23" s="17"/>
      <c r="J23" s="17"/>
      <c r="K23" s="17"/>
      <c r="L23" s="17"/>
      <c r="M23" s="17"/>
      <c r="N23" s="17"/>
      <c r="O23" s="17"/>
      <c r="P23" s="17"/>
      <c r="Q23" s="17"/>
    </row>
    <row r="24" spans="2:30" x14ac:dyDescent="0.35">
      <c r="B24" s="17"/>
      <c r="C24" s="17"/>
      <c r="D24" s="17"/>
      <c r="E24" s="17"/>
      <c r="F24" s="17"/>
      <c r="G24" s="17"/>
      <c r="H24" s="17"/>
      <c r="I24" s="17"/>
      <c r="J24" s="17"/>
      <c r="K24" s="17"/>
      <c r="L24" s="17"/>
      <c r="M24" s="17"/>
      <c r="N24" s="17"/>
      <c r="O24" s="17"/>
      <c r="P24" s="17"/>
      <c r="Q24" s="17"/>
    </row>
    <row r="25" spans="2:30" x14ac:dyDescent="0.35">
      <c r="B25" s="84" t="s">
        <v>223</v>
      </c>
      <c r="C25" s="61"/>
      <c r="D25" s="61"/>
      <c r="E25" s="61"/>
      <c r="F25" s="61"/>
      <c r="G25" s="61"/>
      <c r="H25" s="61"/>
      <c r="I25" s="61"/>
      <c r="J25" s="65"/>
      <c r="K25" s="65"/>
      <c r="L25" s="65"/>
      <c r="M25" s="17"/>
      <c r="N25" s="85" t="s">
        <v>225</v>
      </c>
      <c r="O25" s="17"/>
      <c r="P25" s="17"/>
      <c r="Q25" s="17"/>
      <c r="R25" s="17"/>
      <c r="S25" s="152"/>
      <c r="T25" s="152"/>
      <c r="U25" s="152"/>
      <c r="V25" s="152"/>
      <c r="W25" s="152"/>
      <c r="X25" s="152"/>
      <c r="Y25" s="141" t="s">
        <v>2</v>
      </c>
      <c r="AB25" s="184"/>
      <c r="AC25" s="184"/>
      <c r="AD25" s="184"/>
    </row>
    <row r="26" spans="2:30" x14ac:dyDescent="0.35">
      <c r="B26" s="185" t="s">
        <v>70</v>
      </c>
      <c r="C26" s="123">
        <v>2016</v>
      </c>
      <c r="D26" s="140">
        <v>2017</v>
      </c>
      <c r="E26" s="140">
        <v>2018</v>
      </c>
      <c r="F26" s="123">
        <v>2019</v>
      </c>
      <c r="G26" s="123">
        <v>2020</v>
      </c>
      <c r="H26" s="123">
        <v>2021</v>
      </c>
      <c r="I26" s="123">
        <v>2022</v>
      </c>
      <c r="J26" s="123">
        <v>2023</v>
      </c>
      <c r="K26" s="123">
        <v>2024</v>
      </c>
      <c r="L26" s="123">
        <v>2025</v>
      </c>
      <c r="M26" s="17"/>
      <c r="N26" s="185" t="s">
        <v>70</v>
      </c>
      <c r="O26" s="124">
        <v>2016</v>
      </c>
      <c r="P26" s="123">
        <v>2017</v>
      </c>
      <c r="Q26" s="140">
        <v>2018</v>
      </c>
      <c r="R26" s="140">
        <v>2019</v>
      </c>
      <c r="S26" s="140">
        <v>2020</v>
      </c>
      <c r="T26" s="140">
        <v>2021</v>
      </c>
      <c r="U26" s="140">
        <v>2022</v>
      </c>
      <c r="V26" s="140">
        <v>2023</v>
      </c>
      <c r="W26" s="140">
        <v>2024</v>
      </c>
      <c r="X26" s="140">
        <v>2025</v>
      </c>
      <c r="Y26" s="670" t="s">
        <v>468</v>
      </c>
    </row>
    <row r="27" spans="2:30" x14ac:dyDescent="0.35">
      <c r="B27" s="238" t="s">
        <v>199</v>
      </c>
      <c r="C27" s="138">
        <f t="shared" ref="C27:J27" si="0">C104</f>
        <v>82961868.066114396</v>
      </c>
      <c r="D27" s="138">
        <f t="shared" si="0"/>
        <v>58896664.652571447</v>
      </c>
      <c r="E27" s="138">
        <f t="shared" si="0"/>
        <v>4428.8500000000004</v>
      </c>
      <c r="F27" s="138">
        <f t="shared" si="0"/>
        <v>18609.12</v>
      </c>
      <c r="G27" s="138">
        <f t="shared" si="0"/>
        <v>19473.188000000002</v>
      </c>
      <c r="H27" s="138">
        <f t="shared" si="0"/>
        <v>31657.330800000003</v>
      </c>
      <c r="I27" s="138">
        <f t="shared" si="0"/>
        <v>39421.114000000009</v>
      </c>
      <c r="J27" s="138">
        <f t="shared" si="0"/>
        <v>48630.604110000015</v>
      </c>
      <c r="K27" s="138">
        <f>K104</f>
        <v>60755.454558000012</v>
      </c>
      <c r="L27" s="138">
        <f>L104</f>
        <v>72789.745557438029</v>
      </c>
      <c r="M27" s="17"/>
      <c r="N27" s="238" t="str">
        <f>B27</f>
        <v>China</v>
      </c>
      <c r="O27" s="125">
        <f>O104</f>
        <v>2136.2531515665728</v>
      </c>
      <c r="P27" s="125">
        <f>P104</f>
        <v>1780.1183812851077</v>
      </c>
      <c r="Q27" s="125">
        <f t="shared" ref="Q27:X27" si="1">Q104</f>
        <v>29.187026412417509</v>
      </c>
      <c r="R27" s="125">
        <f t="shared" si="1"/>
        <v>75.794182188384468</v>
      </c>
      <c r="S27" s="125">
        <f t="shared" si="1"/>
        <v>68.179208545857563</v>
      </c>
      <c r="T27" s="125">
        <f t="shared" si="1"/>
        <v>100.58567492830591</v>
      </c>
      <c r="U27" s="125">
        <f t="shared" si="1"/>
        <v>118.96897453490583</v>
      </c>
      <c r="V27" s="125">
        <f t="shared" si="1"/>
        <v>138.74184131466785</v>
      </c>
      <c r="W27" s="125">
        <f t="shared" si="1"/>
        <v>164.27229054191164</v>
      </c>
      <c r="X27" s="125">
        <f t="shared" si="1"/>
        <v>185.15743215095762</v>
      </c>
      <c r="Y27" s="153">
        <f>(X27/S27)^(1/5)-1</f>
        <v>0.22117481424662722</v>
      </c>
      <c r="Z27" s="184"/>
    </row>
    <row r="28" spans="2:30" ht="14.25" customHeight="1" x14ac:dyDescent="0.25">
      <c r="B28" s="379" t="s">
        <v>224</v>
      </c>
      <c r="C28" s="240">
        <f>C29-C27</f>
        <v>93416398.278176904</v>
      </c>
      <c r="D28" s="240">
        <f t="shared" ref="D28:J28" si="2">D29-D27</f>
        <v>91003495.904606044</v>
      </c>
      <c r="E28" s="240">
        <f t="shared" si="2"/>
        <v>172374507.01698324</v>
      </c>
      <c r="F28" s="240">
        <f t="shared" si="2"/>
        <v>145870738.56883138</v>
      </c>
      <c r="G28" s="240">
        <f t="shared" si="2"/>
        <v>136954506.16570339</v>
      </c>
      <c r="H28" s="240">
        <f t="shared" si="2"/>
        <v>142331397.91902244</v>
      </c>
      <c r="I28" s="240">
        <f t="shared" si="2"/>
        <v>150958850.51543444</v>
      </c>
      <c r="J28" s="240">
        <f t="shared" si="2"/>
        <v>168916482.68900076</v>
      </c>
      <c r="K28" s="240">
        <f>K29-K27</f>
        <v>182716872.88795727</v>
      </c>
      <c r="L28" s="240">
        <f>L29-L27</f>
        <v>185519791.61585981</v>
      </c>
      <c r="M28" s="17"/>
      <c r="N28" s="239" t="str">
        <f>B28</f>
        <v>Rest of World</v>
      </c>
      <c r="O28" s="70">
        <f>O29-O27</f>
        <v>4885.9714023973011</v>
      </c>
      <c r="P28" s="70">
        <f>P29-P27</f>
        <v>5292.2632953701868</v>
      </c>
      <c r="Q28" s="70">
        <f t="shared" ref="Q28:X28" si="3">Q29-Q27</f>
        <v>7083.4524868729977</v>
      </c>
      <c r="R28" s="70">
        <f t="shared" si="3"/>
        <v>6593.7677933817749</v>
      </c>
      <c r="S28" s="70">
        <f t="shared" si="3"/>
        <v>6906.5723043866337</v>
      </c>
      <c r="T28" s="70">
        <f t="shared" si="3"/>
        <v>7464.1808472585171</v>
      </c>
      <c r="U28" s="70">
        <f t="shared" si="3"/>
        <v>8339.7319838559524</v>
      </c>
      <c r="V28" s="70">
        <f t="shared" si="3"/>
        <v>9724.779747807379</v>
      </c>
      <c r="W28" s="70">
        <f t="shared" si="3"/>
        <v>10702.490003208975</v>
      </c>
      <c r="X28" s="70">
        <f t="shared" si="3"/>
        <v>11464.435645832047</v>
      </c>
      <c r="Y28" s="155">
        <f>(X28/S28)^(1/5)-1</f>
        <v>0.10666971079465948</v>
      </c>
      <c r="AA28" s="160"/>
    </row>
    <row r="29" spans="2:30" ht="14.25" customHeight="1" x14ac:dyDescent="0.35">
      <c r="B29" s="187" t="s">
        <v>226</v>
      </c>
      <c r="C29" s="380">
        <v>176378266.3442913</v>
      </c>
      <c r="D29" s="380">
        <v>149900160.55717748</v>
      </c>
      <c r="E29" s="380">
        <v>172378935.86698323</v>
      </c>
      <c r="F29" s="380">
        <v>145889347.68883139</v>
      </c>
      <c r="G29" s="380">
        <v>136973979.35370338</v>
      </c>
      <c r="H29" s="380">
        <v>142363055.24982244</v>
      </c>
      <c r="I29" s="380">
        <v>150998271.62943444</v>
      </c>
      <c r="J29" s="380">
        <v>168965113.29311076</v>
      </c>
      <c r="K29" s="501">
        <v>182777628.34251529</v>
      </c>
      <c r="L29" s="501">
        <v>185592581.36141723</v>
      </c>
      <c r="M29" s="61"/>
      <c r="N29" s="195" t="s">
        <v>79</v>
      </c>
      <c r="O29" s="126">
        <v>7022.2245539638734</v>
      </c>
      <c r="P29" s="126">
        <v>7072.3816766552945</v>
      </c>
      <c r="Q29" s="126">
        <v>7112.639513285415</v>
      </c>
      <c r="R29" s="126">
        <v>6669.5619755701591</v>
      </c>
      <c r="S29" s="126">
        <v>6974.7515129324911</v>
      </c>
      <c r="T29" s="126">
        <v>7564.7665221868228</v>
      </c>
      <c r="U29" s="126">
        <v>8458.7009583908584</v>
      </c>
      <c r="V29" s="126">
        <v>9863.5215891220469</v>
      </c>
      <c r="W29" s="126">
        <v>10866.762293750888</v>
      </c>
      <c r="X29" s="126">
        <v>11649.593077983005</v>
      </c>
      <c r="Y29" s="155">
        <f>(X29/S29)^(1/5)-1</f>
        <v>0.10804246096043602</v>
      </c>
    </row>
    <row r="30" spans="2:30" x14ac:dyDescent="0.35">
      <c r="B30" s="454" t="s">
        <v>273</v>
      </c>
      <c r="C30" s="455">
        <f t="shared" ref="C30:L30" si="4">IF(C27=0,"",C27/C29)</f>
        <v>0.47036332642125189</v>
      </c>
      <c r="D30" s="455">
        <f t="shared" si="4"/>
        <v>0.39290594775651405</v>
      </c>
      <c r="E30" s="455">
        <f t="shared" si="4"/>
        <v>2.569252430829215E-5</v>
      </c>
      <c r="F30" s="455">
        <f t="shared" si="4"/>
        <v>1.2755640007172797E-4</v>
      </c>
      <c r="G30" s="455">
        <f t="shared" si="4"/>
        <v>1.4216706042915664E-4</v>
      </c>
      <c r="H30" s="455">
        <f t="shared" si="4"/>
        <v>2.2237040884270771E-4</v>
      </c>
      <c r="I30" s="455">
        <f t="shared" si="4"/>
        <v>2.6106996838178085E-4</v>
      </c>
      <c r="J30" s="455">
        <f t="shared" si="4"/>
        <v>2.8781446750867734E-4</v>
      </c>
      <c r="K30" s="455">
        <f t="shared" si="4"/>
        <v>3.3240093499926373E-4</v>
      </c>
      <c r="L30" s="455">
        <f t="shared" si="4"/>
        <v>3.9220180582374433E-4</v>
      </c>
      <c r="M30" s="20"/>
      <c r="N30" s="454" t="s">
        <v>273</v>
      </c>
      <c r="O30" s="455">
        <f t="shared" ref="O30:X30" si="5">IF(O27=0,"",O27/O29)</f>
        <v>0.3042131642401994</v>
      </c>
      <c r="P30" s="455">
        <f t="shared" si="5"/>
        <v>0.25169998773694152</v>
      </c>
      <c r="Q30" s="455">
        <f t="shared" si="5"/>
        <v>4.103543608234359E-3</v>
      </c>
      <c r="R30" s="455">
        <f t="shared" si="5"/>
        <v>1.1364191901358719E-2</v>
      </c>
      <c r="S30" s="455">
        <f t="shared" si="5"/>
        <v>9.7751451674573039E-3</v>
      </c>
      <c r="T30" s="455">
        <f t="shared" si="5"/>
        <v>1.3296600051475031E-2</v>
      </c>
      <c r="U30" s="455">
        <f t="shared" si="5"/>
        <v>1.4064686187645756E-2</v>
      </c>
      <c r="V30" s="455">
        <f t="shared" si="5"/>
        <v>1.4066156804247162E-2</v>
      </c>
      <c r="W30" s="455">
        <f t="shared" si="5"/>
        <v>1.5116948921978275E-2</v>
      </c>
      <c r="X30" s="455">
        <f t="shared" si="5"/>
        <v>1.5893896972323733E-2</v>
      </c>
    </row>
    <row r="31" spans="2:30" x14ac:dyDescent="0.35">
      <c r="B31" s="453"/>
      <c r="C31" s="20"/>
      <c r="D31" s="20"/>
      <c r="E31" s="20"/>
      <c r="F31" s="20"/>
      <c r="G31" s="20"/>
      <c r="H31" s="20"/>
      <c r="I31" s="20"/>
      <c r="J31" s="20"/>
      <c r="K31" s="20"/>
      <c r="L31" s="20"/>
      <c r="M31" s="20"/>
      <c r="N31" s="453"/>
      <c r="O31" s="20"/>
      <c r="P31" s="20"/>
      <c r="Q31" s="20"/>
      <c r="R31" s="20"/>
      <c r="S31" s="20"/>
      <c r="T31" s="20"/>
      <c r="U31" s="20"/>
      <c r="V31" s="20"/>
      <c r="W31" s="20"/>
      <c r="X31" s="20"/>
    </row>
    <row r="32" spans="2:30" x14ac:dyDescent="0.35">
      <c r="B32" s="453"/>
      <c r="C32" s="20"/>
      <c r="D32" s="20"/>
      <c r="E32" s="20"/>
      <c r="F32" s="20"/>
      <c r="G32" s="20"/>
      <c r="H32" s="20"/>
      <c r="I32" s="20"/>
      <c r="J32" s="20"/>
      <c r="K32" s="20"/>
      <c r="L32" s="20"/>
      <c r="M32" s="20"/>
      <c r="N32" s="453"/>
      <c r="O32" s="20"/>
      <c r="P32" s="20"/>
      <c r="Q32" s="20"/>
      <c r="R32" s="20"/>
      <c r="S32" s="20"/>
      <c r="T32" s="20"/>
      <c r="U32" s="20"/>
      <c r="V32" s="20"/>
      <c r="W32" s="20"/>
      <c r="X32" s="20"/>
    </row>
    <row r="33" spans="2:24" x14ac:dyDescent="0.35">
      <c r="B33" s="453"/>
      <c r="C33" s="20"/>
      <c r="D33" s="20"/>
      <c r="E33" s="20"/>
      <c r="F33" s="20"/>
      <c r="G33" s="20"/>
      <c r="H33" s="20"/>
      <c r="I33" s="20"/>
      <c r="J33" s="20"/>
      <c r="K33" s="20"/>
      <c r="L33" s="20"/>
      <c r="M33" s="20"/>
      <c r="N33" s="453"/>
      <c r="O33" s="20"/>
      <c r="P33" s="20"/>
      <c r="Q33" s="20"/>
      <c r="R33" s="20"/>
      <c r="S33" s="20"/>
      <c r="T33" s="20"/>
      <c r="U33" s="20"/>
      <c r="V33" s="20"/>
      <c r="W33" s="20"/>
      <c r="X33" s="20"/>
    </row>
    <row r="34" spans="2:24" x14ac:dyDescent="0.35">
      <c r="B34" s="453"/>
      <c r="C34" s="20"/>
      <c r="D34" s="20"/>
      <c r="E34" s="20"/>
      <c r="F34" s="20"/>
      <c r="G34" s="20"/>
      <c r="H34" s="20"/>
      <c r="I34" s="20"/>
      <c r="J34" s="20"/>
      <c r="K34" s="20"/>
      <c r="L34" s="20"/>
      <c r="M34" s="20"/>
      <c r="N34" s="453"/>
      <c r="O34" s="20"/>
      <c r="P34" s="20"/>
      <c r="Q34" s="20"/>
      <c r="R34" s="20"/>
      <c r="S34" s="20"/>
      <c r="T34" s="20"/>
      <c r="U34" s="20"/>
      <c r="V34" s="20"/>
      <c r="W34" s="20"/>
      <c r="X34" s="20"/>
    </row>
    <row r="35" spans="2:24" x14ac:dyDescent="0.35">
      <c r="B35" s="453"/>
      <c r="C35" s="20"/>
      <c r="D35" s="20"/>
      <c r="E35" s="20"/>
      <c r="F35" s="20"/>
      <c r="G35" s="20"/>
      <c r="H35" s="20"/>
      <c r="I35" s="20"/>
      <c r="J35" s="20"/>
      <c r="K35" s="20"/>
      <c r="L35" s="20"/>
      <c r="M35" s="20"/>
      <c r="N35" s="453"/>
      <c r="O35" s="20"/>
      <c r="P35" s="20"/>
      <c r="Q35" s="20"/>
      <c r="R35" s="20"/>
      <c r="S35" s="20"/>
      <c r="T35" s="20"/>
      <c r="U35" s="20"/>
      <c r="V35" s="20"/>
      <c r="W35" s="20"/>
      <c r="X35" s="20"/>
    </row>
    <row r="36" spans="2:24" x14ac:dyDescent="0.35">
      <c r="B36" s="453"/>
      <c r="C36" s="20"/>
      <c r="D36" s="20"/>
      <c r="E36" s="20"/>
      <c r="F36" s="20"/>
      <c r="G36" s="20"/>
      <c r="H36" s="20"/>
      <c r="I36" s="20"/>
      <c r="J36" s="20"/>
      <c r="K36" s="20"/>
      <c r="L36" s="20"/>
      <c r="M36" s="20"/>
      <c r="N36" s="453"/>
      <c r="O36" s="20"/>
      <c r="P36" s="20"/>
      <c r="Q36" s="20"/>
      <c r="R36" s="20"/>
      <c r="S36" s="20"/>
      <c r="T36" s="20"/>
      <c r="U36" s="20"/>
      <c r="V36" s="20"/>
      <c r="W36" s="20"/>
      <c r="X36" s="20"/>
    </row>
    <row r="37" spans="2:24" x14ac:dyDescent="0.35">
      <c r="B37" s="453"/>
      <c r="C37" s="20"/>
      <c r="D37" s="20"/>
      <c r="E37" s="20"/>
      <c r="F37" s="20"/>
      <c r="G37" s="20"/>
      <c r="H37" s="20"/>
      <c r="I37" s="20"/>
      <c r="J37" s="20"/>
      <c r="K37" s="20"/>
      <c r="L37" s="20"/>
      <c r="M37" s="20"/>
      <c r="N37" s="453"/>
      <c r="O37" s="20"/>
      <c r="P37" s="20"/>
      <c r="Q37" s="20"/>
      <c r="R37" s="20"/>
      <c r="S37" s="20"/>
      <c r="T37" s="20"/>
      <c r="U37" s="20"/>
      <c r="V37" s="20"/>
      <c r="W37" s="20"/>
      <c r="X37" s="20"/>
    </row>
    <row r="38" spans="2:24" x14ac:dyDescent="0.35">
      <c r="B38" s="453"/>
      <c r="C38" s="20"/>
      <c r="D38" s="20"/>
      <c r="E38" s="20"/>
      <c r="F38" s="20"/>
      <c r="G38" s="20"/>
      <c r="H38" s="20"/>
      <c r="I38" s="20"/>
      <c r="J38" s="20"/>
      <c r="K38" s="20"/>
      <c r="L38" s="20"/>
      <c r="M38" s="20"/>
      <c r="N38" s="453"/>
      <c r="O38" s="20"/>
      <c r="P38" s="20"/>
      <c r="Q38" s="20"/>
      <c r="R38" s="20"/>
      <c r="S38" s="20"/>
      <c r="T38" s="20"/>
      <c r="U38" s="20"/>
      <c r="V38" s="20"/>
      <c r="W38" s="20"/>
      <c r="X38" s="20"/>
    </row>
    <row r="39" spans="2:24" x14ac:dyDescent="0.35">
      <c r="B39" s="453"/>
      <c r="C39" s="20"/>
      <c r="D39" s="20"/>
      <c r="E39" s="20"/>
      <c r="F39" s="20"/>
      <c r="G39" s="20"/>
      <c r="H39" s="20"/>
      <c r="I39" s="20"/>
      <c r="J39" s="20"/>
      <c r="K39" s="20"/>
      <c r="L39" s="20"/>
      <c r="M39" s="20"/>
      <c r="N39" s="453"/>
      <c r="O39" s="20"/>
      <c r="P39" s="20"/>
      <c r="Q39" s="20"/>
      <c r="R39" s="20"/>
      <c r="S39" s="20"/>
      <c r="T39" s="20"/>
      <c r="U39" s="20"/>
      <c r="V39" s="20"/>
      <c r="W39" s="20"/>
      <c r="X39" s="20"/>
    </row>
    <row r="40" spans="2:24" x14ac:dyDescent="0.35">
      <c r="B40" s="453"/>
      <c r="C40" s="20"/>
      <c r="D40" s="20"/>
      <c r="E40" s="20"/>
      <c r="F40" s="20"/>
      <c r="G40" s="20"/>
      <c r="H40" s="20"/>
      <c r="I40" s="20"/>
      <c r="J40" s="20"/>
      <c r="K40" s="20"/>
      <c r="L40" s="20"/>
      <c r="M40" s="20"/>
      <c r="N40" s="453"/>
      <c r="O40" s="20"/>
      <c r="P40" s="20"/>
      <c r="Q40" s="20"/>
      <c r="R40" s="20"/>
      <c r="S40" s="20"/>
      <c r="T40" s="20"/>
      <c r="U40" s="20"/>
      <c r="V40" s="20"/>
      <c r="W40" s="20"/>
      <c r="X40" s="20"/>
    </row>
    <row r="41" spans="2:24" x14ac:dyDescent="0.35">
      <c r="B41" s="453"/>
      <c r="C41" s="20"/>
      <c r="D41" s="20"/>
      <c r="E41" s="20"/>
      <c r="F41" s="20"/>
      <c r="G41" s="20"/>
      <c r="H41" s="20"/>
      <c r="I41" s="20"/>
      <c r="J41" s="20"/>
      <c r="K41" s="20"/>
      <c r="L41" s="20"/>
      <c r="M41" s="20"/>
      <c r="N41" s="453"/>
      <c r="O41" s="20"/>
      <c r="P41" s="20"/>
      <c r="Q41" s="20"/>
      <c r="R41" s="20"/>
      <c r="S41" s="20"/>
      <c r="T41" s="20"/>
      <c r="U41" s="20"/>
      <c r="V41" s="20"/>
      <c r="W41" s="20"/>
      <c r="X41" s="20"/>
    </row>
    <row r="42" spans="2:24" x14ac:dyDescent="0.35">
      <c r="B42" s="453"/>
      <c r="C42" s="20"/>
      <c r="D42" s="20"/>
      <c r="E42" s="20"/>
      <c r="F42" s="20"/>
      <c r="G42" s="20"/>
      <c r="H42" s="20"/>
      <c r="I42" s="20"/>
      <c r="J42" s="20"/>
      <c r="K42" s="20"/>
      <c r="L42" s="20"/>
      <c r="M42" s="20"/>
      <c r="N42" s="453"/>
      <c r="O42" s="20"/>
      <c r="P42" s="20"/>
      <c r="Q42" s="20"/>
      <c r="R42" s="20"/>
      <c r="S42" s="20"/>
      <c r="T42" s="20"/>
      <c r="U42" s="20"/>
      <c r="V42" s="20"/>
      <c r="W42" s="20"/>
      <c r="X42" s="20"/>
    </row>
    <row r="43" spans="2:24" x14ac:dyDescent="0.35">
      <c r="B43" s="453"/>
      <c r="C43" s="20"/>
      <c r="D43" s="20"/>
      <c r="E43" s="20"/>
      <c r="F43" s="20"/>
      <c r="G43" s="20"/>
      <c r="H43" s="20"/>
      <c r="I43" s="20"/>
      <c r="J43" s="20"/>
      <c r="K43" s="20"/>
      <c r="L43" s="20"/>
      <c r="M43" s="20"/>
      <c r="N43" s="453"/>
      <c r="O43" s="20"/>
      <c r="P43" s="20"/>
      <c r="Q43" s="20"/>
      <c r="R43" s="20"/>
      <c r="S43" s="20"/>
      <c r="T43" s="20"/>
      <c r="U43" s="20"/>
      <c r="V43" s="20"/>
      <c r="W43" s="20"/>
      <c r="X43" s="20"/>
    </row>
    <row r="44" spans="2:24" x14ac:dyDescent="0.35">
      <c r="B44" s="453"/>
      <c r="C44" s="20"/>
      <c r="D44" s="20"/>
      <c r="E44" s="20"/>
      <c r="F44" s="20"/>
      <c r="G44" s="20"/>
      <c r="H44" s="20"/>
      <c r="I44" s="20"/>
      <c r="J44" s="20"/>
      <c r="K44" s="20"/>
      <c r="L44" s="20"/>
      <c r="M44" s="20"/>
      <c r="N44" s="453"/>
      <c r="O44" s="20"/>
      <c r="P44" s="20"/>
      <c r="Q44" s="20"/>
      <c r="R44" s="20"/>
      <c r="S44" s="20"/>
      <c r="T44" s="20"/>
      <c r="U44" s="20"/>
      <c r="V44" s="20"/>
      <c r="W44" s="20"/>
      <c r="X44" s="20"/>
    </row>
    <row r="45" spans="2:24" x14ac:dyDescent="0.35">
      <c r="B45" s="453"/>
      <c r="C45" s="20"/>
      <c r="D45" s="20"/>
      <c r="E45" s="20"/>
      <c r="F45" s="20"/>
      <c r="G45" s="20"/>
      <c r="H45" s="20"/>
      <c r="I45" s="20"/>
      <c r="J45" s="20"/>
      <c r="K45" s="20"/>
      <c r="L45" s="20"/>
      <c r="M45" s="20"/>
      <c r="N45" s="453"/>
      <c r="O45" s="20"/>
      <c r="P45" s="20"/>
      <c r="Q45" s="20"/>
      <c r="R45" s="20"/>
      <c r="S45" s="20"/>
      <c r="T45" s="20"/>
      <c r="U45" s="20"/>
      <c r="V45" s="20"/>
      <c r="W45" s="20"/>
      <c r="X45" s="20"/>
    </row>
    <row r="46" spans="2:24" x14ac:dyDescent="0.35">
      <c r="B46" s="453"/>
      <c r="C46" s="20"/>
      <c r="D46" s="20"/>
      <c r="E46" s="20"/>
      <c r="F46" s="20"/>
      <c r="G46" s="20"/>
      <c r="H46" s="20"/>
      <c r="I46" s="20"/>
      <c r="J46" s="20"/>
      <c r="K46" s="20"/>
      <c r="L46" s="20"/>
      <c r="M46" s="20"/>
      <c r="N46" s="453"/>
      <c r="O46" s="20"/>
      <c r="P46" s="20"/>
      <c r="Q46" s="20"/>
      <c r="R46" s="20"/>
      <c r="S46" s="20"/>
      <c r="T46" s="20"/>
      <c r="U46" s="20"/>
      <c r="V46" s="20"/>
      <c r="W46" s="20"/>
      <c r="X46" s="20"/>
    </row>
    <row r="47" spans="2:24" x14ac:dyDescent="0.35">
      <c r="B47" s="453"/>
      <c r="C47" s="20"/>
      <c r="D47" s="20"/>
      <c r="E47" s="20"/>
      <c r="F47" s="20"/>
      <c r="G47" s="20"/>
      <c r="H47" s="20"/>
      <c r="I47" s="20"/>
      <c r="J47" s="20"/>
      <c r="K47" s="20"/>
      <c r="L47" s="20"/>
      <c r="M47" s="20"/>
      <c r="N47" s="453"/>
      <c r="O47" s="20"/>
      <c r="P47" s="20"/>
      <c r="Q47" s="20"/>
      <c r="R47" s="20"/>
      <c r="S47" s="20"/>
      <c r="T47" s="20"/>
      <c r="U47" s="20"/>
      <c r="V47" s="20"/>
      <c r="W47" s="20"/>
      <c r="X47" s="20"/>
    </row>
    <row r="48" spans="2:24" x14ac:dyDescent="0.35">
      <c r="B48" s="453"/>
      <c r="C48" s="20"/>
      <c r="D48" s="20"/>
      <c r="E48" s="20"/>
      <c r="F48" s="20"/>
      <c r="G48" s="20"/>
      <c r="H48" s="20"/>
      <c r="I48" s="20"/>
      <c r="J48" s="20"/>
      <c r="K48" s="20"/>
      <c r="L48" s="20"/>
      <c r="M48" s="20"/>
      <c r="N48" s="453"/>
      <c r="O48" s="20"/>
      <c r="P48" s="20"/>
      <c r="Q48" s="20"/>
      <c r="R48" s="20"/>
      <c r="S48" s="20"/>
      <c r="T48" s="20"/>
      <c r="U48" s="20"/>
      <c r="V48" s="20"/>
      <c r="W48" s="20"/>
      <c r="X48" s="20"/>
    </row>
    <row r="49" spans="2:25" x14ac:dyDescent="0.35">
      <c r="B49" s="453"/>
      <c r="C49" s="20"/>
      <c r="D49" s="20"/>
      <c r="E49" s="20"/>
      <c r="F49" s="20"/>
      <c r="G49" s="20"/>
      <c r="H49" s="20"/>
      <c r="I49" s="20"/>
      <c r="J49" s="20"/>
      <c r="K49" s="20"/>
      <c r="L49" s="20"/>
      <c r="M49" s="20"/>
      <c r="N49" s="453"/>
      <c r="O49" s="20"/>
      <c r="P49" s="20"/>
      <c r="Q49" s="20"/>
      <c r="R49" s="20"/>
      <c r="S49" s="20"/>
      <c r="T49" s="20"/>
      <c r="U49" s="20"/>
      <c r="V49" s="20"/>
      <c r="W49" s="20"/>
      <c r="X49" s="20"/>
    </row>
    <row r="50" spans="2:25" x14ac:dyDescent="0.35">
      <c r="B50" s="453"/>
      <c r="C50" s="20"/>
      <c r="D50" s="20"/>
      <c r="E50" s="20"/>
      <c r="F50" s="20"/>
      <c r="G50" s="20"/>
      <c r="H50" s="20"/>
      <c r="I50" s="20"/>
      <c r="J50" s="20"/>
      <c r="K50" s="20"/>
      <c r="L50" s="20"/>
      <c r="M50" s="20"/>
      <c r="N50" s="453"/>
      <c r="O50" s="20"/>
      <c r="P50" s="20"/>
      <c r="Q50" s="20"/>
      <c r="R50" s="20"/>
      <c r="S50" s="20"/>
      <c r="T50" s="20"/>
      <c r="U50" s="20"/>
      <c r="V50" s="20"/>
      <c r="W50" s="20"/>
      <c r="X50" s="20"/>
    </row>
    <row r="51" spans="2:25" x14ac:dyDescent="0.35">
      <c r="B51" s="84" t="s">
        <v>451</v>
      </c>
      <c r="C51" s="61"/>
      <c r="D51" s="61"/>
      <c r="E51" s="61"/>
      <c r="F51" s="61"/>
      <c r="G51" s="61"/>
      <c r="H51" s="61"/>
      <c r="I51" s="61"/>
      <c r="J51" s="65"/>
      <c r="K51" s="65"/>
      <c r="L51" s="65"/>
      <c r="M51" s="17"/>
      <c r="N51" s="85" t="s">
        <v>452</v>
      </c>
      <c r="O51" s="17"/>
      <c r="P51" s="17"/>
      <c r="Q51" s="17"/>
      <c r="R51" s="17"/>
      <c r="S51" s="152"/>
      <c r="T51" s="152"/>
      <c r="U51" s="152"/>
      <c r="V51" s="152"/>
      <c r="W51" s="152"/>
      <c r="X51" s="152"/>
      <c r="Y51" s="141" t="s">
        <v>2</v>
      </c>
    </row>
    <row r="52" spans="2:25" x14ac:dyDescent="0.35">
      <c r="B52" s="185" t="s">
        <v>70</v>
      </c>
      <c r="C52" s="123">
        <v>2016</v>
      </c>
      <c r="D52" s="140">
        <v>2017</v>
      </c>
      <c r="E52" s="140">
        <v>2018</v>
      </c>
      <c r="F52" s="123">
        <v>2019</v>
      </c>
      <c r="G52" s="123">
        <v>2020</v>
      </c>
      <c r="H52" s="123">
        <v>2021</v>
      </c>
      <c r="I52" s="123">
        <v>2022</v>
      </c>
      <c r="J52" s="123">
        <v>2023</v>
      </c>
      <c r="K52" s="123">
        <v>2024</v>
      </c>
      <c r="L52" s="123">
        <v>2025</v>
      </c>
      <c r="M52" s="17"/>
      <c r="N52" s="185" t="s">
        <v>70</v>
      </c>
      <c r="O52" s="124">
        <v>2016</v>
      </c>
      <c r="P52" s="123">
        <v>2017</v>
      </c>
      <c r="Q52" s="140">
        <v>2018</v>
      </c>
      <c r="R52" s="140">
        <v>2019</v>
      </c>
      <c r="S52" s="140">
        <v>2020</v>
      </c>
      <c r="T52" s="140">
        <v>2021</v>
      </c>
      <c r="U52" s="140">
        <v>2022</v>
      </c>
      <c r="V52" s="140">
        <v>2023</v>
      </c>
      <c r="W52" s="140">
        <v>2024</v>
      </c>
      <c r="X52" s="140">
        <v>2025</v>
      </c>
      <c r="Y52" s="670" t="s">
        <v>468</v>
      </c>
    </row>
    <row r="53" spans="2:25" x14ac:dyDescent="0.35">
      <c r="B53" s="238" t="s">
        <v>199</v>
      </c>
      <c r="C53" s="138">
        <f>C99</f>
        <v>82657363.456114396</v>
      </c>
      <c r="D53" s="138">
        <f t="shared" ref="D53:K53" si="6">D99</f>
        <v>58542054.572571449</v>
      </c>
      <c r="E53" s="138">
        <f t="shared" si="6"/>
        <v>0</v>
      </c>
      <c r="F53" s="138">
        <f t="shared" si="6"/>
        <v>0</v>
      </c>
      <c r="G53" s="138">
        <f t="shared" si="6"/>
        <v>0</v>
      </c>
      <c r="H53" s="138">
        <f t="shared" si="6"/>
        <v>0</v>
      </c>
      <c r="I53" s="138">
        <f t="shared" si="6"/>
        <v>0</v>
      </c>
      <c r="J53" s="138">
        <f t="shared" si="6"/>
        <v>0</v>
      </c>
      <c r="K53" s="138">
        <f t="shared" si="6"/>
        <v>0</v>
      </c>
      <c r="L53" s="138">
        <f>L99</f>
        <v>0</v>
      </c>
      <c r="M53" s="17"/>
      <c r="N53" s="238" t="str">
        <f>B53</f>
        <v>China</v>
      </c>
      <c r="O53" s="125">
        <f>O99</f>
        <v>1872.8083643261416</v>
      </c>
      <c r="P53" s="125">
        <f t="shared" ref="P53:W53" si="7">P99</f>
        <v>1492.797807283378</v>
      </c>
      <c r="Q53" s="125">
        <f t="shared" si="7"/>
        <v>10.921111333335626</v>
      </c>
      <c r="R53" s="125">
        <f t="shared" si="7"/>
        <v>13.552297526806322</v>
      </c>
      <c r="S53" s="125">
        <f t="shared" si="7"/>
        <v>8.8829694422876546</v>
      </c>
      <c r="T53" s="125">
        <f t="shared" si="7"/>
        <v>11.536689220288185</v>
      </c>
      <c r="U53" s="125">
        <f t="shared" si="7"/>
        <v>15.011959051941806</v>
      </c>
      <c r="V53" s="125">
        <f t="shared" si="7"/>
        <v>16.214403415477143</v>
      </c>
      <c r="W53" s="125">
        <f t="shared" si="7"/>
        <v>15.823849399009243</v>
      </c>
      <c r="X53" s="125">
        <f>X99</f>
        <v>15.568040542529685</v>
      </c>
      <c r="Y53" s="153">
        <f>(X53/S53)^(1/5)-1</f>
        <v>0.11875543240984299</v>
      </c>
    </row>
    <row r="54" spans="2:25" x14ac:dyDescent="0.35">
      <c r="B54" s="379" t="s">
        <v>224</v>
      </c>
      <c r="C54" s="240">
        <f>C55-C53</f>
        <v>93661641.888176903</v>
      </c>
      <c r="D54" s="240">
        <f t="shared" ref="D54:K54" si="8">D55-D53</f>
        <v>91297769.984606028</v>
      </c>
      <c r="E54" s="240">
        <f t="shared" si="8"/>
        <v>172290358.86698323</v>
      </c>
      <c r="F54" s="240">
        <f t="shared" si="8"/>
        <v>145717229.68883139</v>
      </c>
      <c r="G54" s="240">
        <f t="shared" si="8"/>
        <v>136820685.15370339</v>
      </c>
      <c r="H54" s="240">
        <f t="shared" si="8"/>
        <v>142171561.18982244</v>
      </c>
      <c r="I54" s="240">
        <f t="shared" si="8"/>
        <v>150783984.05943444</v>
      </c>
      <c r="J54" s="240">
        <f t="shared" si="8"/>
        <v>168725164.89261076</v>
      </c>
      <c r="K54" s="240">
        <f t="shared" si="8"/>
        <v>182503690.3951903</v>
      </c>
      <c r="L54" s="240">
        <f>L55-L53</f>
        <v>185295988.62558094</v>
      </c>
      <c r="M54" s="17"/>
      <c r="N54" s="239" t="str">
        <f>B54</f>
        <v>Rest of World</v>
      </c>
      <c r="O54" s="70">
        <f t="shared" ref="O54:W54" si="9">O55-O53</f>
        <v>5421.2649050731688</v>
      </c>
      <c r="P54" s="70">
        <f t="shared" si="9"/>
        <v>5858.5179730114214</v>
      </c>
      <c r="Q54" s="70">
        <f t="shared" si="9"/>
        <v>7359.1496941207215</v>
      </c>
      <c r="R54" s="70">
        <f t="shared" si="9"/>
        <v>6956.5311131523995</v>
      </c>
      <c r="S54" s="70">
        <f t="shared" si="9"/>
        <v>7312.3224696789639</v>
      </c>
      <c r="T54" s="70">
        <f t="shared" si="9"/>
        <v>7871.3837539779242</v>
      </c>
      <c r="U54" s="70">
        <f t="shared" si="9"/>
        <v>8816.9085830932163</v>
      </c>
      <c r="V54" s="70">
        <f t="shared" si="9"/>
        <v>10250.715318912527</v>
      </c>
      <c r="W54" s="70">
        <f t="shared" si="9"/>
        <v>11278.933125063541</v>
      </c>
      <c r="X54" s="70">
        <f>X55-X53</f>
        <v>12085.559022575326</v>
      </c>
      <c r="Y54" s="155">
        <f>(X54/S54)^(1/5)-1</f>
        <v>0.10571265883346581</v>
      </c>
    </row>
    <row r="55" spans="2:25" x14ac:dyDescent="0.35">
      <c r="B55" s="187" t="s">
        <v>226</v>
      </c>
      <c r="C55" s="380">
        <v>176319005.3442913</v>
      </c>
      <c r="D55" s="380">
        <v>149839824.55717748</v>
      </c>
      <c r="E55" s="380">
        <v>172290358.86698323</v>
      </c>
      <c r="F55" s="380">
        <v>145717229.68883139</v>
      </c>
      <c r="G55" s="380">
        <v>136820685.15370339</v>
      </c>
      <c r="H55" s="380">
        <v>142171561.18982244</v>
      </c>
      <c r="I55" s="380">
        <v>150783984.05943444</v>
      </c>
      <c r="J55" s="380">
        <v>168725164.89261076</v>
      </c>
      <c r="K55" s="146">
        <v>182503690.3951903</v>
      </c>
      <c r="L55" s="146">
        <v>185295988.62558094</v>
      </c>
      <c r="M55" s="61"/>
      <c r="N55" s="195" t="s">
        <v>79</v>
      </c>
      <c r="O55" s="126">
        <v>7294.0732693993104</v>
      </c>
      <c r="P55" s="126">
        <v>7351.3157802947999</v>
      </c>
      <c r="Q55" s="126">
        <v>7370.0708054540573</v>
      </c>
      <c r="R55" s="126">
        <v>6970.0834106792054</v>
      </c>
      <c r="S55" s="126">
        <v>7321.2054391212514</v>
      </c>
      <c r="T55" s="126">
        <v>7882.9204431982125</v>
      </c>
      <c r="U55" s="126">
        <v>8831.9205421451588</v>
      </c>
      <c r="V55" s="126">
        <v>10266.929722328005</v>
      </c>
      <c r="W55" s="126">
        <v>11294.756974462549</v>
      </c>
      <c r="X55" s="126">
        <v>12101.127063117856</v>
      </c>
      <c r="Y55" s="155">
        <f>(X55/S55)^(1/5)-1</f>
        <v>0.10572886119333047</v>
      </c>
    </row>
    <row r="56" spans="2:25" ht="14.5" customHeight="1" x14ac:dyDescent="0.35">
      <c r="B56" s="454" t="s">
        <v>273</v>
      </c>
      <c r="C56" s="455">
        <f t="shared" ref="C56:K56" si="10">IF(C53=0,"",C53/C55)</f>
        <v>0.46879440644933629</v>
      </c>
      <c r="D56" s="455">
        <f t="shared" si="10"/>
        <v>0.39069756485354362</v>
      </c>
      <c r="E56" s="455" t="str">
        <f t="shared" si="10"/>
        <v/>
      </c>
      <c r="F56" s="455" t="str">
        <f t="shared" si="10"/>
        <v/>
      </c>
      <c r="G56" s="455" t="str">
        <f t="shared" si="10"/>
        <v/>
      </c>
      <c r="H56" s="455" t="str">
        <f t="shared" si="10"/>
        <v/>
      </c>
      <c r="I56" s="455" t="str">
        <f t="shared" si="10"/>
        <v/>
      </c>
      <c r="J56" s="455" t="str">
        <f t="shared" si="10"/>
        <v/>
      </c>
      <c r="K56" s="455" t="str">
        <f t="shared" si="10"/>
        <v/>
      </c>
      <c r="L56" s="455" t="str">
        <f>IF(L53=0,"",L53/L55)</f>
        <v/>
      </c>
      <c r="M56" s="20"/>
      <c r="N56" s="454" t="s">
        <v>273</v>
      </c>
      <c r="O56" s="455">
        <f t="shared" ref="O56:W56" si="11">IF(O53=0,"",O53/O55)</f>
        <v>0.25675754755344993</v>
      </c>
      <c r="P56" s="455">
        <f t="shared" si="11"/>
        <v>0.20306539018291422</v>
      </c>
      <c r="Q56" s="455">
        <f t="shared" si="11"/>
        <v>1.4818190518948204E-3</v>
      </c>
      <c r="R56" s="455">
        <f t="shared" si="11"/>
        <v>1.9443522736101242E-3</v>
      </c>
      <c r="S56" s="455">
        <f t="shared" si="11"/>
        <v>1.2133206090381009E-3</v>
      </c>
      <c r="T56" s="455">
        <f t="shared" si="11"/>
        <v>1.4635044592188713E-3</v>
      </c>
      <c r="U56" s="455">
        <f t="shared" si="11"/>
        <v>1.6997389163892541E-3</v>
      </c>
      <c r="V56" s="455">
        <f t="shared" si="11"/>
        <v>1.5792845430912877E-3</v>
      </c>
      <c r="W56" s="455">
        <f t="shared" si="11"/>
        <v>1.400990692830928E-3</v>
      </c>
      <c r="X56" s="455">
        <f>IF(X53=0,"",X53/X55)</f>
        <v>1.2864950893688558E-3</v>
      </c>
    </row>
    <row r="57" spans="2:25" x14ac:dyDescent="0.35">
      <c r="B57" s="453"/>
      <c r="C57" s="20"/>
      <c r="D57" s="20"/>
      <c r="E57" s="20"/>
      <c r="F57" s="20"/>
      <c r="G57" s="20"/>
      <c r="H57" s="20"/>
      <c r="I57" s="20"/>
      <c r="J57" s="20"/>
      <c r="K57" s="20"/>
      <c r="L57" s="20"/>
      <c r="M57" s="20"/>
      <c r="N57" s="453"/>
      <c r="O57" s="20"/>
      <c r="P57" s="20"/>
      <c r="Q57" s="20"/>
      <c r="R57" s="20"/>
      <c r="S57" s="20"/>
      <c r="T57" s="20"/>
      <c r="U57" s="20"/>
      <c r="V57" s="20"/>
      <c r="W57" s="20"/>
      <c r="X57" s="20"/>
    </row>
    <row r="58" spans="2:25" x14ac:dyDescent="0.35">
      <c r="B58" s="453"/>
      <c r="C58" s="20"/>
      <c r="D58" s="20"/>
      <c r="E58" s="20"/>
      <c r="F58" s="20"/>
      <c r="G58" s="20"/>
      <c r="H58" s="20"/>
      <c r="I58" s="20"/>
      <c r="J58" s="20"/>
      <c r="K58" s="20"/>
      <c r="L58" s="20"/>
      <c r="M58" s="20"/>
      <c r="N58" s="453"/>
      <c r="O58" s="20"/>
      <c r="P58" s="20"/>
      <c r="Q58" s="20"/>
      <c r="R58" s="20"/>
      <c r="S58" s="20"/>
      <c r="T58" s="20"/>
      <c r="U58" s="20"/>
      <c r="V58" s="20"/>
      <c r="W58" s="20"/>
      <c r="X58" s="20"/>
    </row>
    <row r="59" spans="2:25" x14ac:dyDescent="0.35">
      <c r="B59" s="453"/>
      <c r="C59" s="20"/>
      <c r="D59" s="20"/>
      <c r="E59" s="20"/>
      <c r="F59" s="20"/>
      <c r="G59" s="20"/>
      <c r="H59" s="20"/>
      <c r="I59" s="20"/>
      <c r="J59" s="20"/>
      <c r="K59" s="20"/>
      <c r="L59" s="20"/>
      <c r="M59" s="20"/>
      <c r="N59" s="453"/>
      <c r="O59" s="20"/>
      <c r="P59" s="20"/>
      <c r="Q59" s="20"/>
      <c r="R59" s="20"/>
      <c r="S59" s="20"/>
      <c r="T59" s="20"/>
      <c r="U59" s="20"/>
      <c r="V59" s="20"/>
      <c r="W59" s="20"/>
      <c r="X59" s="20"/>
    </row>
    <row r="60" spans="2:25" x14ac:dyDescent="0.35">
      <c r="B60" s="453"/>
      <c r="C60" s="20"/>
      <c r="D60" s="20"/>
      <c r="E60" s="20"/>
      <c r="F60" s="20"/>
      <c r="G60" s="20"/>
      <c r="H60" s="20"/>
      <c r="I60" s="20"/>
      <c r="J60" s="20"/>
      <c r="K60" s="20"/>
      <c r="L60" s="20"/>
      <c r="M60" s="20"/>
      <c r="N60" s="453"/>
      <c r="O60" s="20"/>
      <c r="P60" s="20"/>
      <c r="Q60" s="20"/>
      <c r="R60" s="20"/>
      <c r="S60" s="20"/>
      <c r="T60" s="20"/>
      <c r="U60" s="20"/>
      <c r="V60" s="20"/>
      <c r="W60" s="20"/>
      <c r="X60" s="20"/>
    </row>
    <row r="61" spans="2:25" x14ac:dyDescent="0.35">
      <c r="B61" s="453"/>
      <c r="C61" s="20"/>
      <c r="D61" s="20"/>
      <c r="E61" s="20"/>
      <c r="F61" s="20"/>
      <c r="G61" s="20"/>
      <c r="H61" s="20"/>
      <c r="I61" s="20"/>
      <c r="J61" s="20"/>
      <c r="K61" s="20"/>
      <c r="L61" s="20"/>
      <c r="M61" s="20"/>
      <c r="N61" s="453"/>
      <c r="O61" s="20"/>
      <c r="P61" s="20"/>
      <c r="Q61" s="20"/>
      <c r="R61" s="20"/>
      <c r="S61" s="20"/>
      <c r="T61" s="20"/>
      <c r="U61" s="20"/>
      <c r="V61" s="20"/>
      <c r="W61" s="20"/>
      <c r="X61" s="20"/>
    </row>
    <row r="62" spans="2:25" x14ac:dyDescent="0.35">
      <c r="B62" s="453"/>
      <c r="C62" s="20"/>
      <c r="D62" s="20"/>
      <c r="E62" s="20"/>
      <c r="F62" s="20"/>
      <c r="G62" s="20"/>
      <c r="H62" s="20"/>
      <c r="I62" s="20"/>
      <c r="J62" s="20"/>
      <c r="K62" s="20"/>
      <c r="L62" s="20"/>
      <c r="M62" s="20"/>
      <c r="N62" s="453"/>
      <c r="O62" s="20"/>
      <c r="P62" s="20"/>
      <c r="Q62" s="20"/>
      <c r="R62" s="20"/>
      <c r="S62" s="20"/>
      <c r="T62" s="20"/>
      <c r="U62" s="20"/>
      <c r="V62" s="20"/>
      <c r="W62" s="20"/>
      <c r="X62" s="20"/>
    </row>
    <row r="63" spans="2:25" x14ac:dyDescent="0.35">
      <c r="B63" s="453"/>
      <c r="C63" s="20"/>
      <c r="D63" s="20"/>
      <c r="E63" s="20"/>
      <c r="F63" s="20"/>
      <c r="G63" s="20"/>
      <c r="H63" s="20"/>
      <c r="I63" s="20"/>
      <c r="J63" s="20"/>
      <c r="K63" s="20"/>
      <c r="L63" s="20"/>
      <c r="M63" s="20"/>
      <c r="N63" s="453"/>
      <c r="O63" s="20"/>
      <c r="P63" s="20"/>
      <c r="Q63" s="20"/>
      <c r="R63" s="20"/>
      <c r="S63" s="20"/>
      <c r="T63" s="20"/>
      <c r="U63" s="20"/>
      <c r="V63" s="20"/>
      <c r="W63" s="20"/>
      <c r="X63" s="20"/>
    </row>
    <row r="64" spans="2:25" x14ac:dyDescent="0.35">
      <c r="B64" s="453"/>
      <c r="C64" s="20"/>
      <c r="D64" s="20"/>
      <c r="E64" s="20"/>
      <c r="F64" s="20"/>
      <c r="G64" s="20"/>
      <c r="H64" s="20"/>
      <c r="I64" s="20"/>
      <c r="J64" s="20"/>
      <c r="K64" s="20"/>
      <c r="L64" s="20"/>
      <c r="M64" s="20"/>
      <c r="N64" s="453"/>
      <c r="O64" s="20"/>
      <c r="P64" s="20"/>
      <c r="Q64" s="20"/>
      <c r="R64" s="20"/>
      <c r="S64" s="20"/>
      <c r="T64" s="20"/>
      <c r="U64" s="20"/>
      <c r="V64" s="20"/>
      <c r="W64" s="20"/>
      <c r="X64" s="20"/>
    </row>
    <row r="65" spans="2:26" x14ac:dyDescent="0.35">
      <c r="B65" s="453"/>
      <c r="C65" s="20"/>
      <c r="D65" s="20"/>
      <c r="E65" s="20"/>
      <c r="F65" s="20"/>
      <c r="G65" s="20"/>
      <c r="H65" s="20"/>
      <c r="I65" s="20"/>
      <c r="J65" s="20"/>
      <c r="K65" s="20"/>
      <c r="L65" s="20"/>
      <c r="M65" s="20"/>
      <c r="N65" s="453"/>
      <c r="O65" s="20"/>
      <c r="P65" s="20"/>
      <c r="Q65" s="20"/>
      <c r="R65" s="20"/>
      <c r="S65" s="20"/>
      <c r="T65" s="20"/>
      <c r="U65" s="20"/>
      <c r="V65" s="20"/>
      <c r="W65" s="20"/>
      <c r="X65" s="20"/>
    </row>
    <row r="66" spans="2:26" x14ac:dyDescent="0.35">
      <c r="B66" s="453"/>
      <c r="C66" s="20"/>
      <c r="D66" s="20"/>
      <c r="E66" s="20"/>
      <c r="F66" s="20"/>
      <c r="G66" s="20"/>
      <c r="H66" s="20"/>
      <c r="I66" s="20"/>
      <c r="J66" s="20"/>
      <c r="K66" s="20"/>
      <c r="L66" s="20"/>
      <c r="M66" s="20"/>
      <c r="N66" s="453"/>
      <c r="O66" s="20"/>
      <c r="P66" s="20"/>
      <c r="Q66" s="20"/>
      <c r="R66" s="20"/>
      <c r="S66" s="20"/>
      <c r="T66" s="20"/>
      <c r="U66" s="20"/>
      <c r="V66" s="20"/>
      <c r="W66" s="20"/>
      <c r="X66" s="20"/>
    </row>
    <row r="67" spans="2:26" x14ac:dyDescent="0.35">
      <c r="B67" s="453"/>
      <c r="C67" s="20"/>
      <c r="D67" s="20"/>
      <c r="E67" s="20"/>
      <c r="F67" s="20"/>
      <c r="G67" s="20"/>
      <c r="H67" s="20"/>
      <c r="I67" s="20"/>
      <c r="J67" s="20"/>
      <c r="K67" s="20"/>
      <c r="L67" s="20"/>
      <c r="M67" s="20"/>
      <c r="N67" s="453"/>
      <c r="O67" s="20"/>
      <c r="P67" s="20"/>
      <c r="Q67" s="20"/>
      <c r="R67" s="20"/>
      <c r="S67" s="20"/>
      <c r="T67" s="20"/>
      <c r="U67" s="20"/>
      <c r="V67" s="20"/>
      <c r="W67" s="20"/>
      <c r="X67" s="20"/>
    </row>
    <row r="68" spans="2:26" x14ac:dyDescent="0.35">
      <c r="B68" s="453"/>
      <c r="C68" s="20"/>
      <c r="D68" s="20"/>
      <c r="E68" s="20"/>
      <c r="F68" s="20"/>
      <c r="G68" s="20"/>
      <c r="H68" s="20"/>
      <c r="I68" s="20"/>
      <c r="J68" s="20"/>
      <c r="K68" s="20"/>
      <c r="L68" s="20"/>
      <c r="M68" s="20"/>
      <c r="N68" s="453"/>
      <c r="O68" s="20"/>
      <c r="P68" s="20"/>
      <c r="Q68" s="20"/>
      <c r="R68" s="20"/>
      <c r="S68" s="20"/>
      <c r="T68" s="20"/>
      <c r="U68" s="20"/>
      <c r="V68" s="20"/>
      <c r="W68" s="20"/>
      <c r="X68" s="20"/>
    </row>
    <row r="69" spans="2:26" x14ac:dyDescent="0.35">
      <c r="B69" s="453"/>
      <c r="C69" s="20"/>
      <c r="D69" s="20"/>
      <c r="E69" s="20"/>
      <c r="F69" s="20"/>
      <c r="G69" s="20"/>
      <c r="H69" s="20"/>
      <c r="I69" s="20"/>
      <c r="J69" s="20"/>
      <c r="K69" s="20"/>
      <c r="L69" s="20"/>
      <c r="M69" s="20"/>
      <c r="N69" s="453"/>
      <c r="O69" s="20"/>
      <c r="P69" s="20"/>
      <c r="Q69" s="20"/>
      <c r="R69" s="20"/>
      <c r="S69" s="20"/>
      <c r="T69" s="20"/>
      <c r="U69" s="20"/>
      <c r="V69" s="20"/>
      <c r="W69" s="20"/>
      <c r="X69" s="20"/>
    </row>
    <row r="70" spans="2:26" x14ac:dyDescent="0.35">
      <c r="B70" s="453"/>
      <c r="C70" s="20"/>
      <c r="D70" s="20"/>
      <c r="E70" s="20"/>
      <c r="F70" s="20"/>
      <c r="G70" s="20"/>
      <c r="H70" s="20"/>
      <c r="I70" s="20"/>
      <c r="J70" s="20"/>
      <c r="K70" s="20"/>
      <c r="L70" s="20"/>
      <c r="M70" s="20"/>
      <c r="N70" s="453"/>
      <c r="O70" s="20"/>
      <c r="P70" s="20"/>
      <c r="Q70" s="20"/>
      <c r="R70" s="20"/>
      <c r="S70" s="20"/>
      <c r="T70" s="20"/>
      <c r="U70" s="20"/>
      <c r="V70" s="20"/>
      <c r="W70" s="20"/>
      <c r="X70" s="20"/>
    </row>
    <row r="71" spans="2:26" x14ac:dyDescent="0.35">
      <c r="B71" s="453"/>
      <c r="C71" s="20"/>
      <c r="D71" s="20"/>
      <c r="E71" s="20"/>
      <c r="F71" s="20"/>
      <c r="G71" s="20"/>
      <c r="H71" s="20"/>
      <c r="I71" s="20"/>
      <c r="J71" s="20"/>
      <c r="K71" s="20"/>
      <c r="L71" s="20"/>
      <c r="M71" s="20"/>
      <c r="N71" s="453"/>
      <c r="O71" s="20"/>
      <c r="P71" s="20"/>
      <c r="Q71" s="20"/>
      <c r="R71" s="20"/>
      <c r="S71" s="20"/>
      <c r="T71" s="20"/>
      <c r="U71" s="20"/>
      <c r="V71" s="20"/>
      <c r="W71" s="20"/>
      <c r="X71" s="20"/>
    </row>
    <row r="72" spans="2:26" x14ac:dyDescent="0.35">
      <c r="B72" s="453"/>
      <c r="C72" s="20"/>
      <c r="D72" s="20"/>
      <c r="E72" s="20"/>
      <c r="F72" s="20"/>
      <c r="G72" s="20"/>
      <c r="H72" s="20"/>
      <c r="I72" s="20"/>
      <c r="J72" s="20"/>
      <c r="K72" s="20"/>
      <c r="L72" s="20"/>
      <c r="M72" s="20"/>
      <c r="N72" s="453"/>
      <c r="O72" s="20"/>
      <c r="P72" s="20"/>
      <c r="Q72" s="20"/>
      <c r="R72" s="20"/>
      <c r="S72" s="20"/>
      <c r="T72" s="20"/>
      <c r="U72" s="20"/>
      <c r="V72" s="20"/>
      <c r="W72" s="20"/>
      <c r="X72" s="20"/>
    </row>
    <row r="73" spans="2:26" x14ac:dyDescent="0.35">
      <c r="B73" s="453"/>
      <c r="C73" s="20"/>
      <c r="D73" s="20"/>
      <c r="E73" s="20"/>
      <c r="F73" s="20"/>
      <c r="G73" s="20"/>
      <c r="H73" s="20"/>
      <c r="I73" s="20"/>
      <c r="J73" s="20"/>
      <c r="K73" s="20"/>
      <c r="L73" s="20"/>
      <c r="M73" s="20"/>
      <c r="N73" s="453"/>
      <c r="O73" s="20"/>
      <c r="P73" s="20"/>
      <c r="Q73" s="20"/>
      <c r="R73" s="20"/>
      <c r="S73" s="20"/>
      <c r="T73" s="20"/>
      <c r="U73" s="20"/>
      <c r="V73" s="20"/>
      <c r="W73" s="20"/>
      <c r="X73" s="20"/>
    </row>
    <row r="74" spans="2:26" x14ac:dyDescent="0.35">
      <c r="B74" s="453"/>
      <c r="C74" s="20"/>
      <c r="D74" s="20"/>
      <c r="E74" s="20"/>
      <c r="F74" s="20"/>
      <c r="G74" s="20"/>
      <c r="H74" s="20"/>
      <c r="I74" s="20"/>
      <c r="J74" s="20"/>
      <c r="K74" s="20"/>
      <c r="L74" s="20"/>
      <c r="M74" s="20"/>
      <c r="N74" s="453"/>
      <c r="O74" s="20"/>
      <c r="P74" s="20"/>
      <c r="Q74" s="20"/>
      <c r="R74" s="20"/>
      <c r="S74" s="20"/>
      <c r="T74" s="20"/>
      <c r="U74" s="20"/>
      <c r="V74" s="20"/>
      <c r="W74" s="20"/>
      <c r="X74" s="20"/>
    </row>
    <row r="75" spans="2:26" x14ac:dyDescent="0.35">
      <c r="B75" s="453"/>
      <c r="C75" s="20"/>
      <c r="D75" s="20"/>
      <c r="E75" s="20"/>
      <c r="F75" s="20"/>
      <c r="G75" s="20"/>
      <c r="H75" s="20"/>
      <c r="I75" s="20"/>
      <c r="J75" s="20"/>
      <c r="K75" s="20"/>
      <c r="L75" s="20"/>
      <c r="M75" s="20"/>
      <c r="N75" s="453"/>
      <c r="O75" s="20"/>
      <c r="P75" s="20"/>
      <c r="Q75" s="20"/>
      <c r="R75" s="20"/>
      <c r="S75" s="20"/>
      <c r="T75" s="20"/>
      <c r="U75" s="20"/>
      <c r="V75" s="20"/>
      <c r="W75" s="20"/>
      <c r="X75" s="20"/>
    </row>
    <row r="76" spans="2:26" x14ac:dyDescent="0.35">
      <c r="B76" s="453"/>
      <c r="C76" s="20"/>
      <c r="D76" s="20"/>
      <c r="E76" s="20"/>
      <c r="F76" s="20"/>
      <c r="G76" s="20"/>
      <c r="H76" s="20"/>
      <c r="I76" s="20"/>
      <c r="J76" s="20"/>
      <c r="K76" s="20"/>
      <c r="L76" s="20"/>
      <c r="M76" s="20"/>
      <c r="N76" s="453"/>
      <c r="O76" s="20"/>
      <c r="P76" s="20"/>
      <c r="Q76" s="20"/>
      <c r="R76" s="20"/>
      <c r="S76" s="20"/>
      <c r="T76" s="20"/>
      <c r="U76" s="20"/>
      <c r="V76" s="20"/>
      <c r="W76" s="20"/>
      <c r="X76" s="20"/>
    </row>
    <row r="77" spans="2:26" x14ac:dyDescent="0.35">
      <c r="B77" s="453"/>
      <c r="C77" s="20"/>
      <c r="D77" s="20"/>
      <c r="E77" s="20"/>
      <c r="F77" s="20"/>
      <c r="G77" s="20"/>
      <c r="H77" s="20"/>
      <c r="I77" s="20"/>
      <c r="J77" s="20"/>
      <c r="K77" s="20"/>
      <c r="L77" s="20"/>
      <c r="M77" s="20"/>
      <c r="N77" s="504"/>
      <c r="O77" s="505"/>
      <c r="P77" s="505"/>
      <c r="Q77" s="505"/>
      <c r="R77" s="505"/>
      <c r="S77" s="505"/>
      <c r="T77" s="505"/>
      <c r="U77" s="505"/>
      <c r="V77" s="20"/>
      <c r="W77" s="20"/>
      <c r="X77" s="20"/>
    </row>
    <row r="78" spans="2:26" x14ac:dyDescent="0.35">
      <c r="S78" s="152"/>
      <c r="T78" s="152"/>
      <c r="U78" s="152"/>
      <c r="V78" s="152"/>
      <c r="W78" s="152"/>
      <c r="X78" s="152"/>
      <c r="Z78" s="9"/>
    </row>
    <row r="79" spans="2:26" x14ac:dyDescent="0.35">
      <c r="S79" s="152"/>
      <c r="T79" s="152"/>
      <c r="U79" s="152"/>
      <c r="V79" s="152"/>
      <c r="W79" s="152"/>
      <c r="X79" s="152"/>
      <c r="Z79" s="9"/>
    </row>
    <row r="80" spans="2:26" x14ac:dyDescent="0.35">
      <c r="S80" s="152"/>
      <c r="T80" s="152"/>
      <c r="U80" s="152"/>
      <c r="V80" s="152"/>
      <c r="W80" s="152"/>
      <c r="X80" s="152"/>
      <c r="Z80" s="9"/>
    </row>
    <row r="81" spans="19:27" x14ac:dyDescent="0.35">
      <c r="S81" s="152"/>
      <c r="T81" s="152"/>
      <c r="U81" s="152"/>
      <c r="V81" s="152"/>
      <c r="W81" s="152"/>
      <c r="X81" s="152"/>
      <c r="Z81" s="9"/>
    </row>
    <row r="82" spans="19:27" x14ac:dyDescent="0.35">
      <c r="S82" s="152"/>
      <c r="T82" s="152"/>
      <c r="U82" s="152"/>
      <c r="V82" s="152"/>
      <c r="W82" s="152"/>
      <c r="X82" s="152"/>
      <c r="Z82" s="9"/>
    </row>
    <row r="83" spans="19:27" x14ac:dyDescent="0.35">
      <c r="S83" s="152"/>
      <c r="T83" s="152"/>
      <c r="U83" s="152"/>
      <c r="V83" s="152"/>
      <c r="W83" s="152"/>
      <c r="X83" s="152"/>
      <c r="Z83" s="9"/>
    </row>
    <row r="84" spans="19:27" x14ac:dyDescent="0.35">
      <c r="S84" s="152"/>
      <c r="T84" s="152"/>
      <c r="U84" s="152"/>
      <c r="V84" s="152"/>
      <c r="W84" s="152"/>
      <c r="X84" s="152"/>
      <c r="Z84" s="9"/>
    </row>
    <row r="85" spans="19:27" x14ac:dyDescent="0.35">
      <c r="S85" s="152"/>
      <c r="T85" s="152"/>
      <c r="U85" s="152"/>
      <c r="V85" s="152"/>
      <c r="W85" s="152"/>
      <c r="X85" s="152"/>
      <c r="Z85" s="9"/>
    </row>
    <row r="86" spans="19:27" x14ac:dyDescent="0.35">
      <c r="S86" s="152"/>
      <c r="T86" s="152"/>
      <c r="U86" s="152"/>
      <c r="V86" s="152"/>
      <c r="W86" s="152"/>
      <c r="X86" s="152"/>
      <c r="Z86" s="9"/>
    </row>
    <row r="87" spans="19:27" x14ac:dyDescent="0.35">
      <c r="S87" s="152"/>
      <c r="T87" s="152"/>
      <c r="U87" s="152"/>
      <c r="V87" s="152"/>
      <c r="W87" s="152"/>
      <c r="X87" s="152"/>
      <c r="Z87" s="9"/>
    </row>
    <row r="88" spans="19:27" x14ac:dyDescent="0.35">
      <c r="S88" s="152"/>
      <c r="T88" s="152"/>
      <c r="U88" s="152"/>
      <c r="V88" s="152"/>
      <c r="W88" s="152"/>
      <c r="X88" s="152"/>
      <c r="Z88" s="9"/>
    </row>
    <row r="89" spans="19:27" x14ac:dyDescent="0.35">
      <c r="S89" s="152"/>
      <c r="T89" s="152"/>
      <c r="U89" s="152"/>
      <c r="V89" s="152"/>
      <c r="W89" s="152"/>
      <c r="X89" s="152"/>
      <c r="Z89" s="9"/>
    </row>
    <row r="90" spans="19:27" x14ac:dyDescent="0.35">
      <c r="S90" s="152"/>
      <c r="T90" s="152"/>
      <c r="U90" s="152"/>
      <c r="V90" s="152"/>
      <c r="W90" s="152"/>
      <c r="X90" s="152"/>
      <c r="Z90" s="9"/>
    </row>
    <row r="91" spans="19:27" x14ac:dyDescent="0.35">
      <c r="S91" s="152"/>
      <c r="T91" s="152"/>
      <c r="U91" s="152"/>
      <c r="V91" s="152"/>
      <c r="W91" s="152"/>
      <c r="X91" s="152"/>
      <c r="Z91" s="9"/>
    </row>
    <row r="92" spans="19:27" x14ac:dyDescent="0.35">
      <c r="S92" s="152"/>
      <c r="T92" s="152"/>
      <c r="U92" s="152"/>
      <c r="V92" s="152"/>
      <c r="W92" s="152"/>
      <c r="X92" s="152"/>
      <c r="Z92" s="9"/>
    </row>
    <row r="93" spans="19:27" x14ac:dyDescent="0.35">
      <c r="S93" s="152"/>
      <c r="T93" s="152"/>
      <c r="U93" s="152"/>
      <c r="V93" s="152"/>
      <c r="W93" s="152"/>
      <c r="X93" s="152"/>
      <c r="Z93" s="9"/>
    </row>
    <row r="94" spans="19:27" ht="12.5" x14ac:dyDescent="0.25">
      <c r="AA94" s="160"/>
    </row>
    <row r="95" spans="19:27" ht="12.5" x14ac:dyDescent="0.25">
      <c r="AA95" s="160"/>
    </row>
    <row r="96" spans="19:27" ht="12.5" x14ac:dyDescent="0.25">
      <c r="AA96" s="160"/>
    </row>
    <row r="97" spans="2:30" x14ac:dyDescent="0.35">
      <c r="B97" s="84" t="s">
        <v>220</v>
      </c>
      <c r="C97" s="61"/>
      <c r="D97" s="61"/>
      <c r="E97" s="61"/>
      <c r="F97" s="61"/>
      <c r="G97" s="61"/>
      <c r="H97" s="61"/>
      <c r="I97" s="61"/>
      <c r="J97" s="65"/>
      <c r="K97" s="65"/>
      <c r="L97" s="65"/>
      <c r="N97" s="85" t="s">
        <v>219</v>
      </c>
      <c r="O97" s="17"/>
      <c r="P97" s="17"/>
      <c r="Q97" s="17"/>
      <c r="R97" s="17"/>
      <c r="S97" s="152"/>
      <c r="T97" s="152"/>
      <c r="U97" s="152"/>
      <c r="V97" s="152"/>
      <c r="W97" s="152"/>
      <c r="X97" s="152"/>
      <c r="Y97" s="141" t="s">
        <v>2</v>
      </c>
      <c r="AB97" s="184"/>
      <c r="AC97" s="184"/>
      <c r="AD97" s="184"/>
    </row>
    <row r="98" spans="2:30" x14ac:dyDescent="0.35">
      <c r="B98" s="185" t="s">
        <v>70</v>
      </c>
      <c r="C98" s="123">
        <v>2016</v>
      </c>
      <c r="D98" s="140">
        <v>2017</v>
      </c>
      <c r="E98" s="140">
        <v>2018</v>
      </c>
      <c r="F98" s="123">
        <v>2019</v>
      </c>
      <c r="G98" s="123">
        <v>2020</v>
      </c>
      <c r="H98" s="123">
        <v>2021</v>
      </c>
      <c r="I98" s="123">
        <v>2022</v>
      </c>
      <c r="J98" s="123">
        <v>2023</v>
      </c>
      <c r="K98" s="123">
        <v>2024</v>
      </c>
      <c r="L98" s="123">
        <v>2025</v>
      </c>
      <c r="N98" s="185" t="s">
        <v>70</v>
      </c>
      <c r="O98" s="124">
        <v>2016</v>
      </c>
      <c r="P98" s="123">
        <v>2017</v>
      </c>
      <c r="Q98" s="140">
        <v>2018</v>
      </c>
      <c r="R98" s="140">
        <v>2019</v>
      </c>
      <c r="S98" s="140">
        <v>2020</v>
      </c>
      <c r="T98" s="140">
        <v>2021</v>
      </c>
      <c r="U98" s="140">
        <v>2022</v>
      </c>
      <c r="V98" s="140">
        <v>2023</v>
      </c>
      <c r="W98" s="140">
        <v>2024</v>
      </c>
      <c r="X98" s="140">
        <v>2025</v>
      </c>
      <c r="Y98" s="670" t="s">
        <v>468</v>
      </c>
    </row>
    <row r="99" spans="2:30" x14ac:dyDescent="0.35">
      <c r="B99" s="238" t="s">
        <v>221</v>
      </c>
      <c r="C99" s="138">
        <f t="shared" ref="C99:J99" si="12">C139</f>
        <v>82657363.456114396</v>
      </c>
      <c r="D99" s="138">
        <f t="shared" si="12"/>
        <v>58542054.572571449</v>
      </c>
      <c r="E99" s="138">
        <f t="shared" si="12"/>
        <v>0</v>
      </c>
      <c r="F99" s="138">
        <f t="shared" si="12"/>
        <v>0</v>
      </c>
      <c r="G99" s="138">
        <f t="shared" si="12"/>
        <v>0</v>
      </c>
      <c r="H99" s="138">
        <f t="shared" si="12"/>
        <v>0</v>
      </c>
      <c r="I99" s="138">
        <f t="shared" si="12"/>
        <v>0</v>
      </c>
      <c r="J99" s="138">
        <f t="shared" si="12"/>
        <v>0</v>
      </c>
      <c r="K99" s="138">
        <f>K139</f>
        <v>0</v>
      </c>
      <c r="L99" s="138">
        <f>L139</f>
        <v>0</v>
      </c>
      <c r="N99" s="238" t="str">
        <f>B99</f>
        <v>Transceivers</v>
      </c>
      <c r="O99" s="656">
        <f t="shared" ref="O99:X99" si="13">C181</f>
        <v>1872.8083643261416</v>
      </c>
      <c r="P99" s="656">
        <f t="shared" si="13"/>
        <v>1492.797807283378</v>
      </c>
      <c r="Q99" s="656">
        <f t="shared" si="13"/>
        <v>10.921111333335626</v>
      </c>
      <c r="R99" s="656">
        <f t="shared" si="13"/>
        <v>13.552297526806322</v>
      </c>
      <c r="S99" s="656">
        <f t="shared" si="13"/>
        <v>8.8829694422876546</v>
      </c>
      <c r="T99" s="656">
        <f t="shared" si="13"/>
        <v>11.536689220288185</v>
      </c>
      <c r="U99" s="656">
        <f t="shared" si="13"/>
        <v>15.011959051941806</v>
      </c>
      <c r="V99" s="656">
        <f t="shared" si="13"/>
        <v>16.214403415477143</v>
      </c>
      <c r="W99" s="656">
        <f t="shared" si="13"/>
        <v>15.823849399009243</v>
      </c>
      <c r="X99" s="656">
        <f t="shared" si="13"/>
        <v>15.568040542529685</v>
      </c>
      <c r="Y99" s="153">
        <f t="shared" ref="Y99:Y104" si="14">(X99/S99)^(1/5)-1</f>
        <v>0.11875543240984299</v>
      </c>
      <c r="Z99" s="184"/>
    </row>
    <row r="100" spans="2:30" ht="14.25" customHeight="1" x14ac:dyDescent="0.35">
      <c r="B100" s="379" t="s">
        <v>439</v>
      </c>
      <c r="C100" s="10">
        <f>'WDM ports'!D60</f>
        <v>86832</v>
      </c>
      <c r="D100" s="10">
        <f>'WDM ports'!E60</f>
        <v>100800</v>
      </c>
      <c r="E100" s="10">
        <f>'WDM ports'!F60</f>
        <v>0</v>
      </c>
      <c r="F100" s="10">
        <f>'WDM ports'!G60</f>
        <v>0</v>
      </c>
      <c r="G100" s="10">
        <f>'WDM ports'!H60</f>
        <v>0</v>
      </c>
      <c r="H100" s="10">
        <f>'WDM ports'!I60</f>
        <v>0</v>
      </c>
      <c r="I100" s="10">
        <f>'WDM ports'!J60</f>
        <v>0</v>
      </c>
      <c r="J100" s="10">
        <f>'WDM ports'!K60</f>
        <v>0</v>
      </c>
      <c r="K100" s="10">
        <f>'WDM ports'!L60</f>
        <v>0</v>
      </c>
      <c r="L100" s="10">
        <f>'WDM ports'!M60</f>
        <v>0</v>
      </c>
      <c r="N100" s="379" t="str">
        <f>B100</f>
        <v>Modulators, ≥100G</v>
      </c>
      <c r="O100" s="328">
        <f>'WDM ports'!D71</f>
        <v>108.51548593748967</v>
      </c>
      <c r="P100" s="328">
        <f>'WDM ports'!E71</f>
        <v>113.84699578253594</v>
      </c>
      <c r="Q100" s="328">
        <f>'WDM ports'!F71</f>
        <v>0</v>
      </c>
      <c r="R100" s="328">
        <f>'WDM ports'!G71</f>
        <v>0</v>
      </c>
      <c r="S100" s="328">
        <f>'WDM ports'!H71</f>
        <v>0</v>
      </c>
      <c r="T100" s="328">
        <f>'WDM ports'!I71</f>
        <v>0</v>
      </c>
      <c r="U100" s="328">
        <f>'WDM ports'!J71</f>
        <v>0</v>
      </c>
      <c r="V100" s="328">
        <f>'WDM ports'!K71</f>
        <v>0</v>
      </c>
      <c r="W100" s="328">
        <f>'WDM ports'!L71</f>
        <v>0</v>
      </c>
      <c r="X100" s="328">
        <f>'WDM ports'!M71</f>
        <v>0</v>
      </c>
      <c r="Y100" s="154" t="e">
        <f t="shared" si="14"/>
        <v>#DIV/0!</v>
      </c>
      <c r="Z100" s="184"/>
    </row>
    <row r="101" spans="2:30" ht="14.25" customHeight="1" x14ac:dyDescent="0.35">
      <c r="B101" s="379" t="s">
        <v>438</v>
      </c>
      <c r="C101" s="10">
        <f>C100</f>
        <v>86832</v>
      </c>
      <c r="D101" s="10">
        <f t="shared" ref="D101:K101" si="15">D100</f>
        <v>100800</v>
      </c>
      <c r="E101" s="10">
        <f t="shared" si="15"/>
        <v>0</v>
      </c>
      <c r="F101" s="10">
        <f t="shared" si="15"/>
        <v>0</v>
      </c>
      <c r="G101" s="10">
        <f t="shared" si="15"/>
        <v>0</v>
      </c>
      <c r="H101" s="10">
        <f t="shared" si="15"/>
        <v>0</v>
      </c>
      <c r="I101" s="10">
        <f t="shared" si="15"/>
        <v>0</v>
      </c>
      <c r="J101" s="10">
        <f t="shared" si="15"/>
        <v>0</v>
      </c>
      <c r="K101" s="10">
        <f t="shared" si="15"/>
        <v>0</v>
      </c>
      <c r="L101" s="10">
        <f>L100</f>
        <v>0</v>
      </c>
      <c r="N101" s="379" t="str">
        <f>B101</f>
        <v>Coherent Receivers, ≥100G</v>
      </c>
      <c r="O101" s="328">
        <f>'WDM ports'!D72</f>
        <v>84.103078082873651</v>
      </c>
      <c r="P101" s="328">
        <f>'WDM ports'!E72</f>
        <v>90.45808679506095</v>
      </c>
      <c r="Q101" s="328">
        <f>'WDM ports'!F72</f>
        <v>0</v>
      </c>
      <c r="R101" s="328">
        <f>'WDM ports'!G72</f>
        <v>0</v>
      </c>
      <c r="S101" s="328">
        <f>'WDM ports'!H72</f>
        <v>0</v>
      </c>
      <c r="T101" s="328">
        <f>'WDM ports'!I72</f>
        <v>0</v>
      </c>
      <c r="U101" s="328">
        <f>'WDM ports'!J72</f>
        <v>0</v>
      </c>
      <c r="V101" s="328">
        <f>'WDM ports'!K72</f>
        <v>0</v>
      </c>
      <c r="W101" s="328">
        <f>'WDM ports'!L72</f>
        <v>0</v>
      </c>
      <c r="X101" s="328">
        <f>'WDM ports'!M72</f>
        <v>0</v>
      </c>
      <c r="Y101" s="154" t="e">
        <f t="shared" si="14"/>
        <v>#DIV/0!</v>
      </c>
      <c r="Z101" s="184"/>
    </row>
    <row r="102" spans="2:30" ht="14.25" customHeight="1" x14ac:dyDescent="0.35">
      <c r="B102" s="379" t="s">
        <v>110</v>
      </c>
      <c r="C102" s="10">
        <f>'WDM ports'!D61</f>
        <v>130248</v>
      </c>
      <c r="D102" s="10">
        <f>'WDM ports'!E61</f>
        <v>151200</v>
      </c>
      <c r="E102" s="10">
        <f>'WDM ports'!F61</f>
        <v>0</v>
      </c>
      <c r="F102" s="10">
        <f>'WDM ports'!G61</f>
        <v>0</v>
      </c>
      <c r="G102" s="10">
        <f>'WDM ports'!H61</f>
        <v>0</v>
      </c>
      <c r="H102" s="10">
        <f>'WDM ports'!I61</f>
        <v>0</v>
      </c>
      <c r="I102" s="10">
        <f>'WDM ports'!J61</f>
        <v>0</v>
      </c>
      <c r="J102" s="10">
        <f>'WDM ports'!K61</f>
        <v>0</v>
      </c>
      <c r="K102" s="10">
        <f>'WDM ports'!L61</f>
        <v>0</v>
      </c>
      <c r="L102" s="10">
        <f>'WDM ports'!M61</f>
        <v>0</v>
      </c>
      <c r="N102" s="379" t="str">
        <f>B102</f>
        <v>Tunable lasers</v>
      </c>
      <c r="O102" s="328">
        <f>'WDM ports'!D73</f>
        <v>68.269593302627982</v>
      </c>
      <c r="P102" s="328">
        <f>'WDM ports'!E73</f>
        <v>75.512721226351388</v>
      </c>
      <c r="Q102" s="328">
        <f>'WDM ports'!F73</f>
        <v>0</v>
      </c>
      <c r="R102" s="328">
        <f>'WDM ports'!G73</f>
        <v>0</v>
      </c>
      <c r="S102" s="328">
        <f>'WDM ports'!H73</f>
        <v>0</v>
      </c>
      <c r="T102" s="328">
        <f>'WDM ports'!I73</f>
        <v>0</v>
      </c>
      <c r="U102" s="328">
        <f>'WDM ports'!J73</f>
        <v>0</v>
      </c>
      <c r="V102" s="328">
        <f>'WDM ports'!K73</f>
        <v>0</v>
      </c>
      <c r="W102" s="328">
        <f>'WDM ports'!L73</f>
        <v>0</v>
      </c>
      <c r="X102" s="328">
        <f>'WDM ports'!M73</f>
        <v>0</v>
      </c>
      <c r="Y102" s="154" t="e">
        <f t="shared" si="14"/>
        <v>#DIV/0!</v>
      </c>
      <c r="Z102" s="184"/>
    </row>
    <row r="103" spans="2:30" ht="14.25" customHeight="1" x14ac:dyDescent="0.35">
      <c r="B103" s="35" t="s">
        <v>107</v>
      </c>
      <c r="C103" s="836">
        <v>592.61</v>
      </c>
      <c r="D103" s="836">
        <v>1810.08</v>
      </c>
      <c r="E103" s="836">
        <v>4428.8500000000004</v>
      </c>
      <c r="F103" s="836">
        <v>18609.12</v>
      </c>
      <c r="G103" s="836">
        <v>19473.188000000002</v>
      </c>
      <c r="H103" s="836">
        <v>31657.330800000003</v>
      </c>
      <c r="I103" s="836">
        <v>39421.114000000009</v>
      </c>
      <c r="J103" s="836">
        <v>48630.604110000015</v>
      </c>
      <c r="K103" s="836">
        <v>60755.454558000012</v>
      </c>
      <c r="L103" s="836">
        <v>72789.745557438029</v>
      </c>
      <c r="M103" s="837"/>
      <c r="N103" s="838" t="str">
        <f>B103</f>
        <v>WSS</v>
      </c>
      <c r="O103" s="839">
        <v>2.5566299174397882</v>
      </c>
      <c r="P103" s="839">
        <v>7.5027701977813033</v>
      </c>
      <c r="Q103" s="839">
        <v>18.265915079081882</v>
      </c>
      <c r="R103" s="839">
        <v>62.241884661578148</v>
      </c>
      <c r="S103" s="839">
        <v>59.296239103569903</v>
      </c>
      <c r="T103" s="839">
        <v>89.048985708017725</v>
      </c>
      <c r="U103" s="839">
        <v>103.95701548296402</v>
      </c>
      <c r="V103" s="839">
        <v>122.5274378991907</v>
      </c>
      <c r="W103" s="839">
        <v>148.4484411429024</v>
      </c>
      <c r="X103" s="839">
        <v>169.58939160842795</v>
      </c>
      <c r="Y103" s="155">
        <f t="shared" si="14"/>
        <v>0.23388392605081365</v>
      </c>
    </row>
    <row r="104" spans="2:30" ht="14.25" customHeight="1" x14ac:dyDescent="0.35">
      <c r="B104" s="187" t="s">
        <v>79</v>
      </c>
      <c r="C104" s="194">
        <f>SUM(C99:C103)</f>
        <v>82961868.066114396</v>
      </c>
      <c r="D104" s="194">
        <f t="shared" ref="D104:K104" si="16">SUM(D99:D103)</f>
        <v>58896664.652571447</v>
      </c>
      <c r="E104" s="194">
        <f t="shared" si="16"/>
        <v>4428.8500000000004</v>
      </c>
      <c r="F104" s="194">
        <f t="shared" si="16"/>
        <v>18609.12</v>
      </c>
      <c r="G104" s="194">
        <f t="shared" si="16"/>
        <v>19473.188000000002</v>
      </c>
      <c r="H104" s="194">
        <f t="shared" si="16"/>
        <v>31657.330800000003</v>
      </c>
      <c r="I104" s="194">
        <f t="shared" si="16"/>
        <v>39421.114000000009</v>
      </c>
      <c r="J104" s="194">
        <f t="shared" si="16"/>
        <v>48630.604110000015</v>
      </c>
      <c r="K104" s="146">
        <f t="shared" si="16"/>
        <v>60755.454558000012</v>
      </c>
      <c r="L104" s="146">
        <f>SUM(L99:L103)</f>
        <v>72789.745557438029</v>
      </c>
      <c r="M104" s="61"/>
      <c r="N104" s="195" t="s">
        <v>79</v>
      </c>
      <c r="O104" s="126">
        <f>SUM(O99:O103)</f>
        <v>2136.2531515665728</v>
      </c>
      <c r="P104" s="126">
        <f t="shared" ref="P104:X104" si="17">SUM(P99:P103)</f>
        <v>1780.1183812851077</v>
      </c>
      <c r="Q104" s="126">
        <f t="shared" si="17"/>
        <v>29.187026412417509</v>
      </c>
      <c r="R104" s="126">
        <f t="shared" si="17"/>
        <v>75.794182188384468</v>
      </c>
      <c r="S104" s="126">
        <f t="shared" si="17"/>
        <v>68.179208545857563</v>
      </c>
      <c r="T104" s="126">
        <f t="shared" si="17"/>
        <v>100.58567492830591</v>
      </c>
      <c r="U104" s="126">
        <f t="shared" si="17"/>
        <v>118.96897453490583</v>
      </c>
      <c r="V104" s="126">
        <f t="shared" si="17"/>
        <v>138.74184131466785</v>
      </c>
      <c r="W104" s="126">
        <f t="shared" si="17"/>
        <v>164.27229054191164</v>
      </c>
      <c r="X104" s="126">
        <f t="shared" si="17"/>
        <v>185.15743215095762</v>
      </c>
      <c r="Y104" s="155">
        <f t="shared" si="14"/>
        <v>0.22117481424662722</v>
      </c>
    </row>
    <row r="105" spans="2:30" s="502" customFormat="1" ht="12.75" customHeight="1" x14ac:dyDescent="0.25">
      <c r="B105" s="502" t="s">
        <v>222</v>
      </c>
      <c r="C105" s="747">
        <v>0.01</v>
      </c>
      <c r="D105" s="747">
        <v>0.03</v>
      </c>
      <c r="E105" s="747">
        <v>0.05</v>
      </c>
      <c r="F105" s="747">
        <v>0.12</v>
      </c>
      <c r="G105" s="747">
        <v>0.14000000000000001</v>
      </c>
      <c r="H105" s="747">
        <v>0.18</v>
      </c>
      <c r="I105" s="747">
        <v>0.2</v>
      </c>
      <c r="J105" s="747">
        <v>0.22</v>
      </c>
      <c r="K105" s="747">
        <v>0.24</v>
      </c>
      <c r="L105" s="747">
        <v>0.26</v>
      </c>
      <c r="M105" s="503"/>
      <c r="N105" s="508" t="s">
        <v>222</v>
      </c>
      <c r="O105" s="747">
        <f t="shared" ref="O105:X105" si="18">C105</f>
        <v>0.01</v>
      </c>
      <c r="P105" s="747">
        <f t="shared" si="18"/>
        <v>0.03</v>
      </c>
      <c r="Q105" s="747">
        <f t="shared" si="18"/>
        <v>0.05</v>
      </c>
      <c r="R105" s="747">
        <f t="shared" si="18"/>
        <v>0.12</v>
      </c>
      <c r="S105" s="747">
        <f t="shared" si="18"/>
        <v>0.14000000000000001</v>
      </c>
      <c r="T105" s="747">
        <f t="shared" si="18"/>
        <v>0.18</v>
      </c>
      <c r="U105" s="747">
        <f t="shared" si="18"/>
        <v>0.2</v>
      </c>
      <c r="V105" s="747">
        <f t="shared" si="18"/>
        <v>0.22</v>
      </c>
      <c r="W105" s="747">
        <f t="shared" si="18"/>
        <v>0.24</v>
      </c>
      <c r="X105" s="747">
        <f t="shared" si="18"/>
        <v>0.26</v>
      </c>
    </row>
    <row r="106" spans="2:30" s="502" customFormat="1" ht="12.75" customHeight="1" x14ac:dyDescent="0.25">
      <c r="C106" s="503"/>
      <c r="D106" s="503"/>
      <c r="E106" s="503"/>
      <c r="F106" s="503"/>
      <c r="G106" s="503"/>
      <c r="H106" s="503"/>
      <c r="I106" s="503"/>
      <c r="J106" s="503"/>
      <c r="K106" s="503"/>
      <c r="L106" s="503"/>
      <c r="M106" s="503"/>
      <c r="O106" s="503"/>
      <c r="P106" s="503"/>
      <c r="Q106" s="503"/>
      <c r="R106" s="503"/>
      <c r="S106" s="503"/>
      <c r="T106" s="503"/>
      <c r="U106" s="503"/>
      <c r="V106" s="503"/>
      <c r="W106" s="503"/>
      <c r="X106" s="503"/>
    </row>
    <row r="107" spans="2:30" x14ac:dyDescent="0.35">
      <c r="B107" s="17"/>
      <c r="C107" s="17"/>
      <c r="D107" s="17"/>
      <c r="E107" s="17"/>
      <c r="F107" s="17"/>
      <c r="G107" s="17"/>
      <c r="H107" s="17"/>
      <c r="I107" s="17"/>
      <c r="J107" s="17"/>
      <c r="K107" s="17"/>
      <c r="L107" s="17"/>
      <c r="M107" s="17"/>
      <c r="N107" s="17"/>
      <c r="O107" s="17"/>
      <c r="P107" s="17"/>
      <c r="Q107" s="17"/>
    </row>
    <row r="108" spans="2:30" x14ac:dyDescent="0.35">
      <c r="B108" s="17"/>
      <c r="C108" s="17"/>
      <c r="D108" s="17"/>
      <c r="E108" s="17"/>
      <c r="F108" s="17"/>
      <c r="G108" s="17"/>
      <c r="H108" s="17"/>
      <c r="I108" s="17"/>
      <c r="J108" s="17"/>
      <c r="K108" s="17"/>
      <c r="L108" s="17"/>
      <c r="M108" s="17"/>
      <c r="N108" s="17"/>
      <c r="O108" s="17"/>
      <c r="P108" s="17"/>
      <c r="Q108" s="17"/>
    </row>
    <row r="109" spans="2:30" x14ac:dyDescent="0.35">
      <c r="B109" s="17"/>
      <c r="C109" s="17"/>
      <c r="D109" s="17"/>
      <c r="E109" s="17"/>
      <c r="F109" s="17"/>
      <c r="G109" s="17"/>
      <c r="H109" s="17"/>
      <c r="I109" s="17"/>
      <c r="J109" s="17"/>
      <c r="K109" s="17"/>
      <c r="L109" s="17"/>
      <c r="M109" s="17"/>
      <c r="N109" s="17"/>
      <c r="O109" s="17"/>
      <c r="P109" s="17"/>
      <c r="Q109" s="17"/>
    </row>
    <row r="110" spans="2:30" x14ac:dyDescent="0.35">
      <c r="B110" s="17"/>
      <c r="C110" s="17"/>
      <c r="D110" s="17"/>
      <c r="E110" s="17"/>
      <c r="F110" s="17"/>
      <c r="G110" s="17"/>
      <c r="H110" s="17"/>
      <c r="I110" s="17"/>
      <c r="J110" s="17"/>
      <c r="K110" s="17"/>
      <c r="L110" s="17"/>
      <c r="M110" s="17"/>
      <c r="N110" s="17"/>
      <c r="O110" s="17"/>
      <c r="P110" s="17"/>
      <c r="Q110" s="17"/>
    </row>
    <row r="111" spans="2:30" x14ac:dyDescent="0.35">
      <c r="B111" s="17"/>
      <c r="C111" s="17"/>
      <c r="D111" s="17"/>
      <c r="E111" s="17"/>
      <c r="F111" s="17"/>
      <c r="G111" s="17"/>
      <c r="H111" s="17"/>
      <c r="I111" s="17"/>
      <c r="J111" s="17"/>
      <c r="K111" s="17"/>
      <c r="L111" s="17"/>
      <c r="M111" s="17"/>
      <c r="N111" s="17"/>
      <c r="O111" s="17"/>
      <c r="P111" s="17"/>
      <c r="Q111" s="17"/>
    </row>
    <row r="112" spans="2:30" x14ac:dyDescent="0.35">
      <c r="B112" s="17"/>
      <c r="C112" s="17"/>
      <c r="D112" s="17"/>
      <c r="E112" s="17"/>
      <c r="F112" s="17"/>
      <c r="G112" s="17"/>
      <c r="H112" s="17"/>
      <c r="I112" s="17"/>
      <c r="J112" s="17"/>
      <c r="K112" s="17"/>
      <c r="L112" s="17"/>
      <c r="M112" s="17"/>
      <c r="N112" s="17"/>
      <c r="O112" s="17"/>
      <c r="P112" s="17"/>
      <c r="Q112" s="17"/>
    </row>
    <row r="113" spans="2:17" x14ac:dyDescent="0.35">
      <c r="B113" s="17"/>
      <c r="C113" s="17"/>
      <c r="D113" s="17"/>
      <c r="E113" s="17"/>
      <c r="F113" s="17"/>
      <c r="G113" s="17"/>
      <c r="H113" s="17"/>
      <c r="I113" s="17"/>
      <c r="J113" s="17"/>
      <c r="K113" s="17"/>
      <c r="L113" s="17"/>
      <c r="M113" s="17"/>
      <c r="N113" s="17"/>
      <c r="O113" s="17"/>
      <c r="P113" s="17"/>
      <c r="Q113" s="17"/>
    </row>
    <row r="114" spans="2:17" x14ac:dyDescent="0.35">
      <c r="B114" s="17"/>
      <c r="C114" s="17"/>
      <c r="D114" s="17"/>
      <c r="E114" s="17"/>
      <c r="F114" s="17" t="s">
        <v>131</v>
      </c>
      <c r="G114" s="17"/>
      <c r="H114" s="17"/>
      <c r="I114" s="17"/>
      <c r="J114" s="17"/>
      <c r="K114" s="17"/>
      <c r="L114" s="17"/>
      <c r="M114" s="17"/>
      <c r="N114" s="17"/>
      <c r="O114" s="17"/>
      <c r="P114" s="17"/>
      <c r="Q114" s="17"/>
    </row>
    <row r="115" spans="2:17" x14ac:dyDescent="0.35">
      <c r="B115" s="17"/>
      <c r="C115" s="17"/>
      <c r="D115" s="17"/>
      <c r="E115" s="17"/>
      <c r="F115" s="17"/>
      <c r="G115" s="17"/>
      <c r="H115" s="17"/>
      <c r="I115" s="17"/>
      <c r="J115" s="17"/>
      <c r="K115" s="17"/>
      <c r="L115" s="17"/>
      <c r="M115" s="17"/>
      <c r="N115" s="17"/>
      <c r="O115" s="17"/>
      <c r="P115" s="17"/>
      <c r="Q115" s="17"/>
    </row>
    <row r="116" spans="2:17" x14ac:dyDescent="0.35">
      <c r="B116" s="17"/>
      <c r="C116" s="17"/>
      <c r="D116" s="17"/>
      <c r="E116" s="17"/>
      <c r="F116" s="17"/>
      <c r="G116" s="17"/>
      <c r="H116" s="17"/>
      <c r="I116" s="17"/>
      <c r="J116" s="17"/>
      <c r="K116" s="17"/>
      <c r="L116" s="17"/>
      <c r="M116" s="17"/>
      <c r="N116" s="17"/>
      <c r="O116" s="17"/>
      <c r="P116" s="17"/>
      <c r="Q116" s="17"/>
    </row>
    <row r="117" spans="2:17" x14ac:dyDescent="0.35">
      <c r="B117" s="17"/>
      <c r="C117" s="17"/>
      <c r="D117" s="17"/>
      <c r="E117" s="17"/>
      <c r="F117" s="17"/>
      <c r="G117" s="17"/>
      <c r="H117" s="17"/>
      <c r="I117" s="17"/>
      <c r="J117" s="17"/>
      <c r="K117" s="17"/>
      <c r="L117" s="17"/>
      <c r="M117" s="17"/>
      <c r="N117" s="17"/>
      <c r="O117" s="17"/>
      <c r="P117" s="17"/>
      <c r="Q117" s="17"/>
    </row>
    <row r="118" spans="2:17" x14ac:dyDescent="0.35">
      <c r="B118" s="17"/>
      <c r="C118" s="17"/>
      <c r="D118" s="17"/>
      <c r="E118" s="17"/>
      <c r="F118" s="17"/>
      <c r="G118" s="17"/>
      <c r="H118" s="17"/>
      <c r="I118" s="17"/>
      <c r="J118" s="17"/>
      <c r="K118" s="17"/>
      <c r="L118" s="17"/>
      <c r="M118" s="17"/>
      <c r="N118" s="17"/>
      <c r="O118" s="17"/>
      <c r="P118" s="17"/>
      <c r="Q118" s="17"/>
    </row>
    <row r="119" spans="2:17" x14ac:dyDescent="0.35">
      <c r="B119" s="17"/>
      <c r="C119" s="17"/>
      <c r="D119" s="17"/>
      <c r="E119" s="17"/>
      <c r="F119" s="17"/>
      <c r="G119" s="17"/>
      <c r="H119" s="17"/>
      <c r="I119" s="17"/>
      <c r="J119" s="17"/>
      <c r="K119" s="17"/>
      <c r="L119" s="17"/>
      <c r="M119" s="17"/>
      <c r="N119" s="17"/>
      <c r="O119" s="17"/>
      <c r="P119" s="17"/>
      <c r="Q119" s="17"/>
    </row>
    <row r="120" spans="2:17" x14ac:dyDescent="0.35">
      <c r="B120" s="17"/>
      <c r="C120" s="17"/>
      <c r="D120" s="17"/>
      <c r="E120" s="17"/>
      <c r="F120" s="17"/>
      <c r="G120" s="17"/>
      <c r="H120" s="17"/>
      <c r="I120" s="17"/>
      <c r="J120" s="17"/>
      <c r="K120" s="17"/>
      <c r="L120" s="17"/>
      <c r="M120" s="17"/>
      <c r="N120" s="17"/>
      <c r="O120" s="17"/>
      <c r="P120" s="17"/>
      <c r="Q120" s="17"/>
    </row>
    <row r="121" spans="2:17" x14ac:dyDescent="0.35">
      <c r="B121" s="17"/>
      <c r="C121" s="17"/>
      <c r="D121" s="17"/>
      <c r="E121" s="17"/>
      <c r="F121" s="17"/>
      <c r="G121" s="17"/>
      <c r="H121" s="17"/>
      <c r="I121" s="17"/>
      <c r="J121" s="17"/>
      <c r="K121" s="17"/>
      <c r="L121" s="17"/>
      <c r="M121" s="17"/>
      <c r="N121" s="17"/>
      <c r="O121" s="17"/>
      <c r="P121" s="17"/>
      <c r="Q121" s="17"/>
    </row>
    <row r="122" spans="2:17" x14ac:dyDescent="0.35">
      <c r="B122" s="17"/>
      <c r="C122" s="17"/>
      <c r="D122" s="17"/>
      <c r="E122" s="17"/>
      <c r="F122" s="17"/>
      <c r="G122" s="17"/>
      <c r="H122" s="17"/>
      <c r="I122" s="17"/>
      <c r="J122" s="17"/>
      <c r="K122" s="17"/>
      <c r="L122" s="17"/>
      <c r="M122" s="17"/>
      <c r="N122" s="17"/>
      <c r="O122" s="17"/>
      <c r="P122" s="17"/>
      <c r="Q122" s="17"/>
    </row>
    <row r="123" spans="2:17" x14ac:dyDescent="0.35">
      <c r="B123" s="17"/>
      <c r="C123" s="17"/>
      <c r="D123" s="17"/>
      <c r="E123" s="17"/>
      <c r="F123" s="17"/>
      <c r="G123" s="17"/>
      <c r="H123" s="17"/>
      <c r="I123" s="17"/>
      <c r="J123" s="17"/>
      <c r="K123" s="17"/>
      <c r="L123" s="17"/>
      <c r="M123" s="17"/>
      <c r="N123" s="17"/>
      <c r="O123" s="17"/>
      <c r="P123" s="17"/>
      <c r="Q123" s="17"/>
    </row>
    <row r="124" spans="2:17" x14ac:dyDescent="0.35">
      <c r="B124" s="17"/>
      <c r="C124" s="17"/>
      <c r="D124" s="17"/>
      <c r="E124" s="17"/>
      <c r="F124" s="17"/>
      <c r="G124" s="17"/>
      <c r="H124" s="17"/>
      <c r="I124" s="17"/>
      <c r="J124" s="17"/>
      <c r="K124" s="17"/>
      <c r="L124" s="17"/>
      <c r="M124" s="17"/>
      <c r="N124" s="17"/>
      <c r="O124" s="17"/>
      <c r="P124" s="17"/>
      <c r="Q124" s="17"/>
    </row>
    <row r="125" spans="2:17" x14ac:dyDescent="0.35">
      <c r="B125" s="17"/>
      <c r="C125" s="17"/>
      <c r="D125" s="17"/>
      <c r="E125" s="17"/>
      <c r="F125" s="17"/>
      <c r="G125" s="17"/>
      <c r="H125" s="17"/>
      <c r="I125" s="17"/>
      <c r="J125" s="17"/>
      <c r="K125" s="17"/>
      <c r="L125" s="17"/>
      <c r="M125" s="17"/>
      <c r="N125" s="17"/>
      <c r="O125" s="17"/>
      <c r="P125" s="17"/>
      <c r="Q125" s="17"/>
    </row>
    <row r="126" spans="2:17" x14ac:dyDescent="0.35">
      <c r="B126" s="17"/>
      <c r="C126" s="17"/>
      <c r="D126" s="17"/>
      <c r="E126" s="17"/>
      <c r="F126" s="17"/>
      <c r="G126" s="17"/>
      <c r="H126" s="17"/>
      <c r="I126" s="17"/>
      <c r="J126" s="17"/>
      <c r="K126" s="17"/>
      <c r="L126" s="17"/>
      <c r="M126" s="17"/>
      <c r="N126" s="17"/>
      <c r="O126" s="17"/>
      <c r="P126" s="17"/>
      <c r="Q126" s="17"/>
    </row>
    <row r="127" spans="2:17" x14ac:dyDescent="0.35">
      <c r="B127" s="17"/>
      <c r="C127" s="17"/>
      <c r="D127" s="17"/>
      <c r="E127" s="17"/>
      <c r="F127" s="17"/>
      <c r="G127" s="17"/>
      <c r="H127" s="17"/>
      <c r="I127" s="17"/>
      <c r="J127" s="17"/>
      <c r="K127" s="17"/>
      <c r="L127" s="17"/>
      <c r="M127" s="17"/>
      <c r="N127" s="17"/>
      <c r="O127" s="17"/>
      <c r="P127" s="17"/>
      <c r="Q127" s="17"/>
    </row>
    <row r="128" spans="2:17" x14ac:dyDescent="0.35">
      <c r="B128" s="17"/>
      <c r="C128" s="17"/>
      <c r="D128" s="17"/>
      <c r="E128" s="17"/>
      <c r="F128" s="17"/>
      <c r="G128" s="17"/>
      <c r="H128" s="17"/>
      <c r="I128" s="17"/>
      <c r="J128" s="17"/>
      <c r="K128" s="17"/>
      <c r="L128" s="17"/>
      <c r="M128" s="17"/>
      <c r="N128" s="17"/>
      <c r="O128" s="17"/>
      <c r="P128" s="17"/>
      <c r="Q128" s="17"/>
    </row>
    <row r="129" spans="2:24" x14ac:dyDescent="0.35">
      <c r="B129" s="63"/>
      <c r="C129" s="17"/>
      <c r="D129" s="17"/>
      <c r="E129" s="31"/>
      <c r="F129" s="31"/>
      <c r="G129" s="31"/>
      <c r="H129" s="31"/>
      <c r="I129" s="31"/>
      <c r="J129" s="30"/>
      <c r="K129" s="30"/>
      <c r="L129" s="30"/>
      <c r="M129" s="30"/>
      <c r="N129" s="30"/>
    </row>
    <row r="130" spans="2:24" x14ac:dyDescent="0.35">
      <c r="B130" s="85" t="s">
        <v>397</v>
      </c>
      <c r="M130" s="186" t="s">
        <v>2</v>
      </c>
    </row>
    <row r="131" spans="2:24" x14ac:dyDescent="0.35">
      <c r="B131" s="185" t="s">
        <v>3</v>
      </c>
      <c r="C131" s="123">
        <v>2016</v>
      </c>
      <c r="D131" s="140">
        <v>2017</v>
      </c>
      <c r="E131" s="123">
        <v>2018</v>
      </c>
      <c r="F131" s="123">
        <v>2019</v>
      </c>
      <c r="G131" s="123">
        <v>2020</v>
      </c>
      <c r="H131" s="123">
        <v>2021</v>
      </c>
      <c r="I131" s="123">
        <v>2022</v>
      </c>
      <c r="J131" s="123">
        <v>2023</v>
      </c>
      <c r="K131" s="123">
        <v>2024</v>
      </c>
      <c r="L131" s="123">
        <v>2025</v>
      </c>
      <c r="M131" s="670" t="s">
        <v>468</v>
      </c>
    </row>
    <row r="132" spans="2:24" x14ac:dyDescent="0.35">
      <c r="B132" s="34" t="s">
        <v>4</v>
      </c>
      <c r="C132" s="25">
        <f>'Ethernet-Total'!E48-C137</f>
        <v>6868740.9733608188</v>
      </c>
      <c r="D132" s="25">
        <f>'Ethernet-Total'!F48-D137</f>
        <v>7233287.7086245911</v>
      </c>
      <c r="E132" s="25">
        <f>'Ethernet-Total'!G48-N132</f>
        <v>0</v>
      </c>
      <c r="F132" s="25">
        <f>'Ethernet-Total'!H48-F137</f>
        <v>0</v>
      </c>
      <c r="G132" s="25">
        <f>'Ethernet-Total'!I48-G137</f>
        <v>0</v>
      </c>
      <c r="H132" s="25">
        <f>'Ethernet-Total'!J48-H137</f>
        <v>0</v>
      </c>
      <c r="I132" s="25">
        <f>'Ethernet-Total'!K48-I137</f>
        <v>0</v>
      </c>
      <c r="J132" s="25">
        <f>'Ethernet-Total'!L48-J137</f>
        <v>0</v>
      </c>
      <c r="K132" s="25">
        <f>'Ethernet-Total'!M48-K137</f>
        <v>0</v>
      </c>
      <c r="L132" s="25">
        <f>'Ethernet-Total'!N48-L137</f>
        <v>0</v>
      </c>
      <c r="M132" s="153" t="e">
        <f>(L132/G132)^(1/5)-1</f>
        <v>#DIV/0!</v>
      </c>
    </row>
    <row r="133" spans="2:24" x14ac:dyDescent="0.35">
      <c r="B133" s="34" t="s">
        <v>5</v>
      </c>
      <c r="C133" s="383">
        <v>391882.55</v>
      </c>
      <c r="D133" s="383">
        <v>385244.85000000003</v>
      </c>
      <c r="E133" s="383">
        <v>391958.50000000006</v>
      </c>
      <c r="F133" s="383">
        <v>384386.72789471393</v>
      </c>
      <c r="G133" s="383">
        <v>221305.85</v>
      </c>
      <c r="H133" s="383">
        <v>248811.66500000001</v>
      </c>
      <c r="I133" s="383">
        <v>274616.74674999999</v>
      </c>
      <c r="J133" s="383">
        <v>278374.46647500002</v>
      </c>
      <c r="K133" s="383">
        <v>280009.66606375005</v>
      </c>
      <c r="L133" s="383">
        <v>290632.6408461876</v>
      </c>
      <c r="M133" s="154">
        <f t="shared" ref="M133:M139" si="19">(L133/G133)^(1/5)-1</f>
        <v>5.6015514707081548E-2</v>
      </c>
    </row>
    <row r="134" spans="2:24" x14ac:dyDescent="0.35">
      <c r="B134" s="34" t="s">
        <v>7</v>
      </c>
      <c r="C134" s="25">
        <f>'AOC-EOM'!E18</f>
        <v>810134.53714285721</v>
      </c>
      <c r="D134" s="25">
        <f>'AOC-EOM'!F18</f>
        <v>1855026.5199999996</v>
      </c>
      <c r="E134" s="25">
        <f>'AOC-EOM'!G18</f>
        <v>0</v>
      </c>
      <c r="F134" s="25">
        <f>'AOC-EOM'!H18</f>
        <v>0</v>
      </c>
      <c r="G134" s="25">
        <f>'AOC-EOM'!I18</f>
        <v>0</v>
      </c>
      <c r="H134" s="25">
        <f>'AOC-EOM'!J18</f>
        <v>0</v>
      </c>
      <c r="I134" s="25">
        <f>'AOC-EOM'!K18</f>
        <v>0</v>
      </c>
      <c r="J134" s="25">
        <f>'AOC-EOM'!L18</f>
        <v>0</v>
      </c>
      <c r="K134" s="25">
        <f>'AOC-EOM'!M18</f>
        <v>0</v>
      </c>
      <c r="L134" s="25">
        <f>'AOC-EOM'!N18</f>
        <v>0</v>
      </c>
      <c r="M134" s="154" t="e">
        <f t="shared" si="19"/>
        <v>#DIV/0!</v>
      </c>
    </row>
    <row r="135" spans="2:24" ht="14.5" customHeight="1" x14ac:dyDescent="0.35">
      <c r="B135" s="34" t="s">
        <v>6</v>
      </c>
      <c r="C135" s="25">
        <f>'CWDM and DWDM'!F16</f>
        <v>318236.98642946867</v>
      </c>
      <c r="D135" s="25">
        <f>'CWDM and DWDM'!G16</f>
        <v>257191.94009730837</v>
      </c>
      <c r="E135" s="25">
        <f>'CWDM and DWDM'!H16</f>
        <v>0</v>
      </c>
      <c r="F135" s="25">
        <f>'CWDM and DWDM'!I16</f>
        <v>0</v>
      </c>
      <c r="G135" s="25">
        <f>'CWDM and DWDM'!J16</f>
        <v>0</v>
      </c>
      <c r="H135" s="25">
        <f>'CWDM and DWDM'!K16</f>
        <v>0</v>
      </c>
      <c r="I135" s="25">
        <f>'CWDM and DWDM'!L16</f>
        <v>0</v>
      </c>
      <c r="J135" s="25">
        <f>'CWDM and DWDM'!M16</f>
        <v>0</v>
      </c>
      <c r="K135" s="25">
        <f>'CWDM and DWDM'!N16</f>
        <v>0</v>
      </c>
      <c r="L135" s="25">
        <f>'CWDM and DWDM'!O16</f>
        <v>0</v>
      </c>
      <c r="M135" s="154" t="e">
        <f t="shared" si="19"/>
        <v>#DIV/0!</v>
      </c>
    </row>
    <row r="136" spans="2:24" x14ac:dyDescent="0.35">
      <c r="B136" s="34" t="s">
        <v>354</v>
      </c>
      <c r="C136" s="25">
        <f>Wireless!E20</f>
        <v>11390120.661512379</v>
      </c>
      <c r="D136" s="25">
        <f>Wireless!F20</f>
        <v>7193790.5449723806</v>
      </c>
      <c r="E136" s="25">
        <f>Wireless!G20</f>
        <v>0</v>
      </c>
      <c r="F136" s="25">
        <f>Wireless!H20</f>
        <v>0</v>
      </c>
      <c r="G136" s="25">
        <f>Wireless!I20</f>
        <v>0</v>
      </c>
      <c r="H136" s="25">
        <f>Wireless!J20</f>
        <v>0</v>
      </c>
      <c r="I136" s="25">
        <f>Wireless!K20</f>
        <v>0</v>
      </c>
      <c r="J136" s="25">
        <f>Wireless!L20</f>
        <v>0</v>
      </c>
      <c r="K136" s="25">
        <f>Wireless!M20</f>
        <v>0</v>
      </c>
      <c r="L136" s="25">
        <f>Wireless!N20</f>
        <v>0</v>
      </c>
      <c r="M136" s="154" t="e">
        <f t="shared" si="19"/>
        <v>#DIV/0!</v>
      </c>
    </row>
    <row r="137" spans="2:24" x14ac:dyDescent="0.35">
      <c r="B137" s="34" t="s">
        <v>416</v>
      </c>
      <c r="C137" s="25">
        <f>Wireless!E27</f>
        <v>320980.17013724998</v>
      </c>
      <c r="D137" s="25">
        <f>Wireless!F27</f>
        <v>543319.73713999998</v>
      </c>
      <c r="E137" s="25">
        <f>Wireless!G27</f>
        <v>0</v>
      </c>
      <c r="F137" s="25">
        <f>Wireless!H27</f>
        <v>0</v>
      </c>
      <c r="G137" s="25">
        <f>Wireless!I27</f>
        <v>0</v>
      </c>
      <c r="H137" s="25">
        <f>Wireless!J27</f>
        <v>0</v>
      </c>
      <c r="I137" s="25">
        <f>Wireless!K27</f>
        <v>0</v>
      </c>
      <c r="J137" s="25">
        <f>Wireless!L27</f>
        <v>0</v>
      </c>
      <c r="K137" s="25">
        <f>Wireless!M27</f>
        <v>0</v>
      </c>
      <c r="L137" s="25">
        <f>Wireless!N27</f>
        <v>0</v>
      </c>
      <c r="M137" s="154" t="e">
        <f t="shared" si="19"/>
        <v>#DIV/0!</v>
      </c>
    </row>
    <row r="138" spans="2:24" x14ac:dyDescent="0.35">
      <c r="B138" s="35" t="s">
        <v>8</v>
      </c>
      <c r="C138" s="28">
        <f>FTTx!D16</f>
        <v>70628025.638035297</v>
      </c>
      <c r="D138" s="28">
        <f>FTTx!E16</f>
        <v>50547752.350361757</v>
      </c>
      <c r="E138" s="28">
        <f>FTTx!F16</f>
        <v>0</v>
      </c>
      <c r="F138" s="28">
        <f>FTTx!G16</f>
        <v>0</v>
      </c>
      <c r="G138" s="28">
        <f>FTTx!H16</f>
        <v>0</v>
      </c>
      <c r="H138" s="28">
        <f>FTTx!I16</f>
        <v>0</v>
      </c>
      <c r="I138" s="28">
        <f>FTTx!J16</f>
        <v>0</v>
      </c>
      <c r="J138" s="28">
        <f>FTTx!K16</f>
        <v>0</v>
      </c>
      <c r="K138" s="28">
        <f>FTTx!L16</f>
        <v>0</v>
      </c>
      <c r="L138" s="28">
        <f>FTTx!M16</f>
        <v>0</v>
      </c>
      <c r="M138" s="154" t="e">
        <f t="shared" si="19"/>
        <v>#DIV/0!</v>
      </c>
    </row>
    <row r="139" spans="2:24" x14ac:dyDescent="0.35">
      <c r="B139" s="187" t="s">
        <v>9</v>
      </c>
      <c r="C139" s="382">
        <f t="shared" ref="C139:K139" si="20">SUM(C135:C138)</f>
        <v>82657363.456114396</v>
      </c>
      <c r="D139" s="382">
        <f t="shared" si="20"/>
        <v>58542054.572571449</v>
      </c>
      <c r="E139" s="382">
        <f t="shared" si="20"/>
        <v>0</v>
      </c>
      <c r="F139" s="382">
        <f t="shared" si="20"/>
        <v>0</v>
      </c>
      <c r="G139" s="382">
        <f t="shared" si="20"/>
        <v>0</v>
      </c>
      <c r="H139" s="382">
        <f t="shared" si="20"/>
        <v>0</v>
      </c>
      <c r="I139" s="382">
        <f t="shared" si="20"/>
        <v>0</v>
      </c>
      <c r="J139" s="382">
        <f t="shared" si="20"/>
        <v>0</v>
      </c>
      <c r="K139" s="382">
        <f t="shared" si="20"/>
        <v>0</v>
      </c>
      <c r="L139" s="382">
        <f>SUM(L135:L138)</f>
        <v>0</v>
      </c>
      <c r="M139" s="159" t="e">
        <f t="shared" si="19"/>
        <v>#DIV/0!</v>
      </c>
    </row>
    <row r="140" spans="2:24" x14ac:dyDescent="0.35">
      <c r="B140" s="151" t="s">
        <v>125</v>
      </c>
      <c r="C140" s="123">
        <v>2016</v>
      </c>
      <c r="D140" s="140">
        <v>2017</v>
      </c>
      <c r="E140" s="123">
        <v>2018</v>
      </c>
      <c r="F140" s="123">
        <v>2019</v>
      </c>
      <c r="G140" s="123">
        <v>2020</v>
      </c>
      <c r="H140" s="123">
        <v>2021</v>
      </c>
      <c r="I140" s="123">
        <v>2022</v>
      </c>
      <c r="J140" s="123">
        <v>2023</v>
      </c>
      <c r="K140" s="123">
        <v>2024</v>
      </c>
      <c r="L140" s="123">
        <v>2025</v>
      </c>
      <c r="M140" s="263"/>
    </row>
    <row r="141" spans="2:24" x14ac:dyDescent="0.35">
      <c r="B141" s="34" t="str">
        <f t="shared" ref="B141:B148" si="21">B132</f>
        <v xml:space="preserve">Ethernet </v>
      </c>
      <c r="C141" s="145"/>
      <c r="D141" s="145">
        <f>D132/C132-1</f>
        <v>5.3073297810705355E-2</v>
      </c>
      <c r="E141" s="145">
        <f t="shared" ref="E141:L141" si="22">E132/D132-1</f>
        <v>-1</v>
      </c>
      <c r="F141" s="145" t="e">
        <f t="shared" si="22"/>
        <v>#DIV/0!</v>
      </c>
      <c r="G141" s="145" t="e">
        <f t="shared" si="22"/>
        <v>#DIV/0!</v>
      </c>
      <c r="H141" s="145" t="e">
        <f t="shared" si="22"/>
        <v>#DIV/0!</v>
      </c>
      <c r="I141" s="145" t="e">
        <f t="shared" si="22"/>
        <v>#DIV/0!</v>
      </c>
      <c r="J141" s="145" t="e">
        <f t="shared" si="22"/>
        <v>#DIV/0!</v>
      </c>
      <c r="K141" s="145" t="e">
        <f t="shared" si="22"/>
        <v>#DIV/0!</v>
      </c>
      <c r="L141" s="145" t="e">
        <f t="shared" si="22"/>
        <v>#DIV/0!</v>
      </c>
      <c r="M141" s="263"/>
      <c r="O141" s="32"/>
      <c r="P141" s="21"/>
      <c r="Q141" s="21"/>
      <c r="S141" s="60"/>
      <c r="T141" s="60"/>
      <c r="U141" s="60"/>
      <c r="V141" s="60"/>
      <c r="W141" s="60"/>
      <c r="X141" s="60"/>
    </row>
    <row r="142" spans="2:24" x14ac:dyDescent="0.35">
      <c r="B142" s="34" t="str">
        <f t="shared" si="21"/>
        <v>Fibre Channel</v>
      </c>
      <c r="C142" s="145"/>
      <c r="D142" s="145">
        <f t="shared" ref="D142:L142" si="23">D133/C133-1</f>
        <v>-1.6937983076817154E-2</v>
      </c>
      <c r="E142" s="145">
        <f t="shared" si="23"/>
        <v>1.7426968848512914E-2</v>
      </c>
      <c r="F142" s="145">
        <f t="shared" si="23"/>
        <v>-1.931779028975289E-2</v>
      </c>
      <c r="G142" s="145">
        <f t="shared" si="23"/>
        <v>-0.42426250975913726</v>
      </c>
      <c r="H142" s="145">
        <f t="shared" si="23"/>
        <v>0.12428869367890627</v>
      </c>
      <c r="I142" s="145">
        <f t="shared" si="23"/>
        <v>0.10371331163271624</v>
      </c>
      <c r="J142" s="145">
        <f t="shared" si="23"/>
        <v>1.3683505355996717E-2</v>
      </c>
      <c r="K142" s="145">
        <f t="shared" si="23"/>
        <v>5.8741004857816304E-3</v>
      </c>
      <c r="L142" s="145">
        <f t="shared" si="23"/>
        <v>3.7937885972904262E-2</v>
      </c>
      <c r="M142" s="263"/>
      <c r="O142" s="32"/>
      <c r="P142" s="21"/>
      <c r="Q142" s="21"/>
      <c r="S142" s="60"/>
      <c r="T142" s="60"/>
      <c r="U142" s="60"/>
      <c r="V142" s="60"/>
      <c r="W142" s="60"/>
      <c r="X142" s="60"/>
    </row>
    <row r="143" spans="2:24" x14ac:dyDescent="0.35">
      <c r="B143" s="34" t="str">
        <f t="shared" si="21"/>
        <v>Optical Interconnects</v>
      </c>
      <c r="C143" s="145"/>
      <c r="D143" s="145">
        <f t="shared" ref="D143:L143" si="24">D134/C134-1</f>
        <v>1.2897758766614444</v>
      </c>
      <c r="E143" s="145">
        <f t="shared" si="24"/>
        <v>-1</v>
      </c>
      <c r="F143" s="145" t="e">
        <f t="shared" si="24"/>
        <v>#DIV/0!</v>
      </c>
      <c r="G143" s="145" t="e">
        <f t="shared" si="24"/>
        <v>#DIV/0!</v>
      </c>
      <c r="H143" s="145" t="e">
        <f t="shared" si="24"/>
        <v>#DIV/0!</v>
      </c>
      <c r="I143" s="145" t="e">
        <f t="shared" si="24"/>
        <v>#DIV/0!</v>
      </c>
      <c r="J143" s="145" t="e">
        <f t="shared" si="24"/>
        <v>#DIV/0!</v>
      </c>
      <c r="K143" s="145" t="e">
        <f t="shared" si="24"/>
        <v>#DIV/0!</v>
      </c>
      <c r="L143" s="145" t="e">
        <f t="shared" si="24"/>
        <v>#DIV/0!</v>
      </c>
      <c r="M143" s="263"/>
      <c r="O143" s="32"/>
      <c r="P143" s="21"/>
      <c r="Q143" s="21"/>
      <c r="S143" s="60"/>
      <c r="T143" s="60"/>
      <c r="U143" s="60"/>
      <c r="V143" s="60"/>
      <c r="W143" s="60"/>
      <c r="X143" s="60"/>
    </row>
    <row r="144" spans="2:24" x14ac:dyDescent="0.35">
      <c r="B144" s="34" t="str">
        <f t="shared" si="21"/>
        <v>CWDM / DWDM</v>
      </c>
      <c r="C144" s="145"/>
      <c r="D144" s="145">
        <f t="shared" ref="D144:L144" si="25">D135/C135-1</f>
        <v>-0.19182260056277212</v>
      </c>
      <c r="E144" s="145">
        <f t="shared" si="25"/>
        <v>-1</v>
      </c>
      <c r="F144" s="145" t="e">
        <f t="shared" si="25"/>
        <v>#DIV/0!</v>
      </c>
      <c r="G144" s="145" t="e">
        <f t="shared" si="25"/>
        <v>#DIV/0!</v>
      </c>
      <c r="H144" s="145" t="e">
        <f t="shared" si="25"/>
        <v>#DIV/0!</v>
      </c>
      <c r="I144" s="145" t="e">
        <f t="shared" si="25"/>
        <v>#DIV/0!</v>
      </c>
      <c r="J144" s="145" t="e">
        <f t="shared" si="25"/>
        <v>#DIV/0!</v>
      </c>
      <c r="K144" s="145" t="e">
        <f t="shared" si="25"/>
        <v>#DIV/0!</v>
      </c>
      <c r="L144" s="145" t="e">
        <f t="shared" si="25"/>
        <v>#DIV/0!</v>
      </c>
      <c r="M144" s="263"/>
      <c r="O144" s="32"/>
      <c r="P144" s="21"/>
      <c r="Q144" s="21"/>
      <c r="S144" s="60"/>
      <c r="T144" s="60"/>
      <c r="U144" s="60"/>
      <c r="V144" s="60"/>
      <c r="W144" s="60"/>
      <c r="X144" s="60"/>
    </row>
    <row r="145" spans="2:24" x14ac:dyDescent="0.35">
      <c r="B145" s="34" t="str">
        <f t="shared" si="21"/>
        <v>Wireless fronthaul</v>
      </c>
      <c r="C145" s="145"/>
      <c r="D145" s="145">
        <f t="shared" ref="D145:L145" si="26">D136/C136-1</f>
        <v>-0.36841840760471889</v>
      </c>
      <c r="E145" s="145">
        <f t="shared" si="26"/>
        <v>-1</v>
      </c>
      <c r="F145" s="145" t="e">
        <f t="shared" si="26"/>
        <v>#DIV/0!</v>
      </c>
      <c r="G145" s="145" t="e">
        <f t="shared" si="26"/>
        <v>#DIV/0!</v>
      </c>
      <c r="H145" s="145" t="e">
        <f t="shared" si="26"/>
        <v>#DIV/0!</v>
      </c>
      <c r="I145" s="145" t="e">
        <f t="shared" si="26"/>
        <v>#DIV/0!</v>
      </c>
      <c r="J145" s="145" t="e">
        <f t="shared" si="26"/>
        <v>#DIV/0!</v>
      </c>
      <c r="K145" s="145" t="e">
        <f t="shared" si="26"/>
        <v>#DIV/0!</v>
      </c>
      <c r="L145" s="145" t="e">
        <f t="shared" si="26"/>
        <v>#DIV/0!</v>
      </c>
      <c r="M145" s="263"/>
      <c r="O145" s="32"/>
      <c r="P145" s="21"/>
      <c r="Q145" s="21"/>
      <c r="S145" s="60"/>
      <c r="T145" s="60"/>
      <c r="U145" s="60"/>
      <c r="V145" s="60"/>
      <c r="W145" s="60"/>
      <c r="X145" s="60"/>
    </row>
    <row r="146" spans="2:24" x14ac:dyDescent="0.35">
      <c r="B146" s="34" t="str">
        <f t="shared" si="21"/>
        <v>Wireless backhaul</v>
      </c>
      <c r="C146" s="145"/>
      <c r="D146" s="145">
        <f t="shared" ref="D146:L146" si="27">D137/C137-1</f>
        <v>0.69268941725489896</v>
      </c>
      <c r="E146" s="145">
        <f t="shared" si="27"/>
        <v>-1</v>
      </c>
      <c r="F146" s="145" t="e">
        <f t="shared" si="27"/>
        <v>#DIV/0!</v>
      </c>
      <c r="G146" s="145" t="e">
        <f t="shared" si="27"/>
        <v>#DIV/0!</v>
      </c>
      <c r="H146" s="145" t="e">
        <f t="shared" si="27"/>
        <v>#DIV/0!</v>
      </c>
      <c r="I146" s="145" t="e">
        <f t="shared" si="27"/>
        <v>#DIV/0!</v>
      </c>
      <c r="J146" s="145" t="e">
        <f t="shared" si="27"/>
        <v>#DIV/0!</v>
      </c>
      <c r="K146" s="145" t="e">
        <f t="shared" si="27"/>
        <v>#DIV/0!</v>
      </c>
      <c r="L146" s="145" t="e">
        <f t="shared" si="27"/>
        <v>#DIV/0!</v>
      </c>
      <c r="M146" s="263"/>
      <c r="O146" s="32"/>
      <c r="P146" s="21"/>
      <c r="Q146" s="21"/>
      <c r="S146" s="60"/>
      <c r="T146" s="60"/>
      <c r="U146" s="60"/>
      <c r="V146" s="60"/>
      <c r="W146" s="60"/>
      <c r="X146" s="60"/>
    </row>
    <row r="147" spans="2:24" x14ac:dyDescent="0.35">
      <c r="B147" s="34" t="str">
        <f t="shared" si="21"/>
        <v>FTTx</v>
      </c>
      <c r="C147" s="145"/>
      <c r="D147" s="145">
        <f t="shared" ref="D147:L147" si="28">D138/C138-1</f>
        <v>-0.28431027352490101</v>
      </c>
      <c r="E147" s="145">
        <f t="shared" si="28"/>
        <v>-1</v>
      </c>
      <c r="F147" s="145" t="e">
        <f t="shared" si="28"/>
        <v>#DIV/0!</v>
      </c>
      <c r="G147" s="145" t="e">
        <f t="shared" si="28"/>
        <v>#DIV/0!</v>
      </c>
      <c r="H147" s="145" t="e">
        <f t="shared" si="28"/>
        <v>#DIV/0!</v>
      </c>
      <c r="I147" s="145" t="e">
        <f t="shared" si="28"/>
        <v>#DIV/0!</v>
      </c>
      <c r="J147" s="145" t="e">
        <f t="shared" si="28"/>
        <v>#DIV/0!</v>
      </c>
      <c r="K147" s="145" t="e">
        <f t="shared" si="28"/>
        <v>#DIV/0!</v>
      </c>
      <c r="L147" s="145" t="e">
        <f t="shared" si="28"/>
        <v>#DIV/0!</v>
      </c>
      <c r="M147" s="263"/>
      <c r="O147" s="32"/>
      <c r="P147" s="21"/>
      <c r="Q147" s="21"/>
      <c r="S147" s="60"/>
      <c r="T147" s="60"/>
      <c r="U147" s="60"/>
      <c r="V147" s="60"/>
      <c r="W147" s="60"/>
      <c r="X147" s="60"/>
    </row>
    <row r="148" spans="2:24" x14ac:dyDescent="0.35">
      <c r="B148" s="189" t="str">
        <f t="shared" si="21"/>
        <v>TOTAL</v>
      </c>
      <c r="C148" s="137"/>
      <c r="D148" s="137">
        <f t="shared" ref="D148:L148" si="29">D139/C139-1</f>
        <v>-0.29175027940912468</v>
      </c>
      <c r="E148" s="243">
        <f t="shared" si="29"/>
        <v>-1</v>
      </c>
      <c r="F148" s="243" t="e">
        <f t="shared" si="29"/>
        <v>#DIV/0!</v>
      </c>
      <c r="G148" s="137" t="e">
        <f t="shared" si="29"/>
        <v>#DIV/0!</v>
      </c>
      <c r="H148" s="137" t="e">
        <f t="shared" si="29"/>
        <v>#DIV/0!</v>
      </c>
      <c r="I148" s="137" t="e">
        <f t="shared" si="29"/>
        <v>#DIV/0!</v>
      </c>
      <c r="J148" s="137" t="e">
        <f t="shared" si="29"/>
        <v>#DIV/0!</v>
      </c>
      <c r="K148" s="137" t="e">
        <f t="shared" si="29"/>
        <v>#DIV/0!</v>
      </c>
      <c r="L148" s="137" t="e">
        <f t="shared" si="29"/>
        <v>#DIV/0!</v>
      </c>
      <c r="M148" s="263"/>
      <c r="O148" s="32"/>
      <c r="P148" s="21"/>
      <c r="Q148" s="21"/>
      <c r="S148" s="60"/>
      <c r="T148" s="60"/>
      <c r="U148" s="60"/>
      <c r="V148" s="60"/>
      <c r="W148" s="60"/>
      <c r="X148" s="60"/>
    </row>
    <row r="149" spans="2:24" x14ac:dyDescent="0.35">
      <c r="B149" s="31"/>
      <c r="C149" s="32"/>
      <c r="D149" s="32"/>
      <c r="E149" s="51"/>
      <c r="F149" s="51"/>
      <c r="G149" s="51"/>
      <c r="H149" s="51"/>
      <c r="I149" s="51"/>
      <c r="J149" s="40"/>
      <c r="K149" s="40"/>
      <c r="L149" s="40"/>
      <c r="M149" s="40"/>
      <c r="N149" s="32"/>
      <c r="O149" s="32"/>
      <c r="P149" s="21"/>
      <c r="Q149" s="21"/>
      <c r="S149" s="60"/>
      <c r="T149" s="60"/>
      <c r="U149" s="60"/>
      <c r="V149" s="60"/>
      <c r="W149" s="60"/>
      <c r="X149" s="60"/>
    </row>
    <row r="150" spans="2:24" x14ac:dyDescent="0.35">
      <c r="B150" s="84"/>
      <c r="D150" s="84"/>
      <c r="E150" s="17"/>
      <c r="F150" s="17"/>
      <c r="G150" s="17"/>
      <c r="H150" s="17"/>
      <c r="I150" s="17"/>
      <c r="J150" s="17"/>
      <c r="K150" s="17"/>
      <c r="L150" s="17"/>
      <c r="M150" s="17"/>
      <c r="O150" s="19"/>
      <c r="P150" s="19"/>
      <c r="Q150" s="19"/>
    </row>
    <row r="151" spans="2:24" x14ac:dyDescent="0.35">
      <c r="B151" s="17"/>
      <c r="C151" s="17"/>
      <c r="D151" s="17"/>
      <c r="E151" s="17"/>
      <c r="F151" s="17"/>
      <c r="G151" s="17"/>
      <c r="H151" s="17"/>
      <c r="I151" s="17"/>
      <c r="J151" s="17"/>
      <c r="K151" s="17"/>
      <c r="L151" s="17"/>
      <c r="M151" s="17"/>
      <c r="N151" s="17"/>
      <c r="O151" s="17"/>
      <c r="P151" s="17"/>
      <c r="Q151" s="17"/>
    </row>
    <row r="152" spans="2:24" x14ac:dyDescent="0.35">
      <c r="B152" s="17"/>
      <c r="C152" s="17"/>
      <c r="D152" s="17"/>
      <c r="E152" s="17"/>
      <c r="F152" s="17"/>
      <c r="G152" s="17"/>
      <c r="H152" s="17"/>
      <c r="I152" s="17"/>
      <c r="J152" s="17"/>
      <c r="K152" s="17"/>
      <c r="L152" s="17"/>
      <c r="M152" s="17"/>
      <c r="N152" s="17"/>
      <c r="O152" s="17"/>
      <c r="P152" s="17"/>
      <c r="Q152" s="17"/>
    </row>
    <row r="153" spans="2:24" x14ac:dyDescent="0.35">
      <c r="B153" s="17"/>
      <c r="C153" s="17"/>
      <c r="D153" s="17"/>
      <c r="E153" s="17"/>
      <c r="F153" s="17"/>
      <c r="G153" s="17"/>
      <c r="H153" s="17"/>
      <c r="I153" s="17"/>
      <c r="J153" s="17"/>
      <c r="K153" s="17"/>
      <c r="L153" s="17"/>
      <c r="M153" s="17"/>
      <c r="N153" s="17"/>
      <c r="O153" s="17"/>
      <c r="P153" s="17"/>
      <c r="Q153" s="17"/>
    </row>
    <row r="154" spans="2:24" x14ac:dyDescent="0.35">
      <c r="B154" s="17"/>
      <c r="C154" s="17"/>
      <c r="D154" s="17"/>
      <c r="E154" s="17"/>
      <c r="F154" s="17"/>
      <c r="G154" s="17"/>
      <c r="H154" s="17"/>
      <c r="I154" s="17"/>
      <c r="J154" s="17"/>
      <c r="K154" s="17"/>
      <c r="L154" s="17"/>
      <c r="M154" s="17"/>
      <c r="N154" s="17"/>
      <c r="O154" s="17"/>
      <c r="P154" s="17"/>
      <c r="Q154" s="17"/>
    </row>
    <row r="155" spans="2:24" x14ac:dyDescent="0.35">
      <c r="B155" s="17"/>
      <c r="C155" s="17"/>
      <c r="D155" s="17"/>
      <c r="E155" s="17"/>
      <c r="F155" s="17"/>
      <c r="G155" s="17"/>
      <c r="H155" s="17"/>
      <c r="I155" s="17"/>
      <c r="J155" s="17"/>
      <c r="K155" s="17"/>
      <c r="L155" s="17"/>
      <c r="M155" s="17"/>
      <c r="N155" s="17"/>
      <c r="O155" s="17"/>
      <c r="P155" s="17"/>
      <c r="Q155" s="17"/>
    </row>
    <row r="156" spans="2:24" x14ac:dyDescent="0.35">
      <c r="B156" s="17"/>
      <c r="C156" s="17"/>
      <c r="D156" s="17"/>
      <c r="E156" s="17"/>
      <c r="F156" s="17" t="s">
        <v>131</v>
      </c>
      <c r="G156" s="17"/>
      <c r="H156" s="17"/>
      <c r="I156" s="17"/>
      <c r="J156" s="17"/>
      <c r="K156" s="17"/>
      <c r="L156" s="17"/>
      <c r="M156" s="17"/>
      <c r="N156" s="17"/>
      <c r="O156" s="17"/>
      <c r="P156" s="17"/>
      <c r="Q156" s="17"/>
    </row>
    <row r="157" spans="2:24" x14ac:dyDescent="0.35">
      <c r="B157" s="17"/>
      <c r="C157" s="17"/>
      <c r="D157" s="17"/>
      <c r="E157" s="17"/>
      <c r="F157" s="17"/>
      <c r="G157" s="17"/>
      <c r="H157" s="17"/>
      <c r="I157" s="17"/>
      <c r="J157" s="17"/>
      <c r="K157" s="17"/>
      <c r="L157" s="17"/>
      <c r="M157" s="17"/>
      <c r="N157" s="17"/>
      <c r="O157" s="17"/>
      <c r="P157" s="17"/>
      <c r="Q157" s="17"/>
    </row>
    <row r="158" spans="2:24" x14ac:dyDescent="0.35">
      <c r="B158" s="17"/>
      <c r="C158" s="17"/>
      <c r="D158" s="17"/>
      <c r="E158" s="17"/>
      <c r="F158" s="17"/>
      <c r="G158" s="17"/>
      <c r="H158" s="17"/>
      <c r="I158" s="17"/>
      <c r="J158" s="17"/>
      <c r="K158" s="17"/>
      <c r="L158" s="17"/>
      <c r="M158" s="17"/>
      <c r="N158" s="17"/>
      <c r="O158" s="17"/>
      <c r="P158" s="17"/>
      <c r="Q158" s="17"/>
    </row>
    <row r="159" spans="2:24" x14ac:dyDescent="0.35">
      <c r="B159" s="17"/>
      <c r="C159" s="17"/>
      <c r="D159" s="17"/>
      <c r="E159" s="17"/>
      <c r="F159" s="17"/>
      <c r="G159" s="17"/>
      <c r="H159" s="17"/>
      <c r="I159" s="17"/>
      <c r="J159" s="17"/>
      <c r="K159" s="17"/>
      <c r="L159" s="17"/>
      <c r="M159" s="17"/>
      <c r="N159" s="17"/>
      <c r="O159" s="17"/>
      <c r="P159" s="17"/>
      <c r="Q159" s="17"/>
    </row>
    <row r="160" spans="2:24" x14ac:dyDescent="0.35">
      <c r="B160" s="17"/>
      <c r="C160" s="17"/>
      <c r="D160" s="17"/>
      <c r="E160" s="17"/>
      <c r="F160" s="17"/>
      <c r="G160" s="17"/>
      <c r="H160" s="17"/>
      <c r="I160" s="17"/>
      <c r="J160" s="17"/>
      <c r="K160" s="17"/>
      <c r="L160" s="17"/>
      <c r="M160" s="17"/>
      <c r="N160" s="17"/>
      <c r="O160" s="17"/>
      <c r="P160" s="17"/>
      <c r="Q160" s="17"/>
    </row>
    <row r="161" spans="2:21" x14ac:dyDescent="0.35">
      <c r="B161" s="17"/>
      <c r="C161" s="17"/>
      <c r="D161" s="17"/>
      <c r="E161" s="17"/>
      <c r="F161" s="17"/>
      <c r="G161" s="17"/>
      <c r="H161" s="17"/>
      <c r="I161" s="17"/>
      <c r="J161" s="17"/>
      <c r="K161" s="17"/>
      <c r="L161" s="17"/>
      <c r="M161" s="17"/>
      <c r="N161" s="17"/>
      <c r="O161" s="17"/>
      <c r="P161" s="17"/>
      <c r="Q161" s="17"/>
    </row>
    <row r="162" spans="2:21" x14ac:dyDescent="0.35">
      <c r="B162" s="17"/>
      <c r="C162" s="17"/>
      <c r="D162" s="17"/>
      <c r="E162" s="17"/>
      <c r="F162" s="17"/>
      <c r="G162" s="17"/>
      <c r="H162" s="17"/>
      <c r="I162" s="17"/>
      <c r="J162" s="17"/>
      <c r="K162" s="17"/>
      <c r="L162" s="17"/>
      <c r="M162" s="17"/>
      <c r="N162" s="17"/>
      <c r="O162" s="17"/>
      <c r="P162" s="17"/>
      <c r="Q162" s="17"/>
    </row>
    <row r="163" spans="2:21" x14ac:dyDescent="0.35">
      <c r="B163" s="17"/>
      <c r="C163" s="17"/>
      <c r="D163" s="17"/>
      <c r="E163" s="17"/>
      <c r="F163" s="17"/>
      <c r="G163" s="17"/>
      <c r="H163" s="17"/>
      <c r="I163" s="17"/>
      <c r="J163" s="17"/>
      <c r="K163" s="17"/>
      <c r="L163" s="17"/>
      <c r="M163" s="17"/>
      <c r="N163" s="17"/>
      <c r="O163" s="17"/>
      <c r="P163" s="17"/>
      <c r="Q163" s="17"/>
    </row>
    <row r="164" spans="2:21" x14ac:dyDescent="0.35">
      <c r="B164" s="17"/>
      <c r="C164" s="17"/>
      <c r="D164" s="17"/>
      <c r="E164" s="17"/>
      <c r="F164" s="17"/>
      <c r="G164" s="17"/>
      <c r="H164" s="17"/>
      <c r="I164" s="17"/>
      <c r="J164" s="17"/>
      <c r="K164" s="17"/>
      <c r="L164" s="17"/>
      <c r="M164" s="17"/>
      <c r="N164" s="17"/>
      <c r="O164" s="17"/>
      <c r="P164" s="17"/>
      <c r="Q164" s="17"/>
    </row>
    <row r="165" spans="2:21" x14ac:dyDescent="0.35">
      <c r="B165" s="17"/>
      <c r="C165" s="17"/>
      <c r="D165" s="17"/>
      <c r="E165" s="17"/>
      <c r="F165" s="17"/>
      <c r="G165" s="17"/>
      <c r="H165" s="17"/>
      <c r="I165" s="17"/>
      <c r="J165" s="17"/>
      <c r="K165" s="17"/>
      <c r="L165" s="17"/>
      <c r="M165" s="17"/>
      <c r="N165" s="17"/>
      <c r="O165" s="17"/>
      <c r="P165" s="17"/>
      <c r="Q165" s="17"/>
    </row>
    <row r="166" spans="2:21" x14ac:dyDescent="0.35">
      <c r="B166" s="17"/>
      <c r="C166" s="17"/>
      <c r="D166" s="17"/>
      <c r="E166" s="17"/>
      <c r="F166" s="17"/>
      <c r="G166" s="17"/>
      <c r="H166" s="17"/>
      <c r="I166" s="17"/>
      <c r="J166" s="17"/>
      <c r="K166" s="17"/>
      <c r="L166" s="17"/>
      <c r="M166" s="17"/>
      <c r="N166" s="17"/>
      <c r="O166" s="17"/>
      <c r="P166" s="17"/>
      <c r="Q166" s="17"/>
    </row>
    <row r="167" spans="2:21" x14ac:dyDescent="0.35">
      <c r="B167" s="17"/>
      <c r="C167" s="17"/>
      <c r="D167" s="17"/>
      <c r="E167" s="17"/>
      <c r="F167" s="17"/>
      <c r="G167" s="17"/>
      <c r="H167" s="17"/>
      <c r="I167" s="17"/>
      <c r="J167" s="17"/>
      <c r="K167" s="17"/>
      <c r="L167" s="17"/>
      <c r="M167" s="17"/>
      <c r="N167" s="17"/>
      <c r="O167" s="17"/>
      <c r="P167" s="17"/>
      <c r="Q167" s="17"/>
    </row>
    <row r="168" spans="2:21" x14ac:dyDescent="0.35">
      <c r="B168" s="17"/>
      <c r="C168" s="17"/>
      <c r="D168" s="17"/>
      <c r="E168" s="17"/>
      <c r="F168" s="17"/>
      <c r="G168" s="17"/>
      <c r="H168" s="17"/>
      <c r="I168" s="17"/>
      <c r="J168" s="17"/>
      <c r="K168" s="17"/>
      <c r="L168" s="17"/>
      <c r="M168" s="17"/>
      <c r="N168" s="17"/>
      <c r="O168" s="17"/>
      <c r="P168" s="17"/>
      <c r="Q168" s="17"/>
    </row>
    <row r="169" spans="2:21" x14ac:dyDescent="0.35">
      <c r="B169" s="17"/>
      <c r="C169" s="17"/>
      <c r="D169" s="17"/>
      <c r="E169" s="17"/>
      <c r="F169" s="17"/>
      <c r="G169" s="17"/>
      <c r="H169" s="17"/>
      <c r="I169" s="17"/>
      <c r="J169" s="17"/>
      <c r="K169" s="17"/>
      <c r="L169" s="17"/>
      <c r="M169" s="17"/>
      <c r="N169" s="17"/>
      <c r="O169" s="17"/>
      <c r="P169" s="17"/>
      <c r="Q169" s="17"/>
    </row>
    <row r="170" spans="2:21" x14ac:dyDescent="0.35">
      <c r="B170" s="17"/>
      <c r="C170" s="17"/>
      <c r="D170" s="17"/>
      <c r="E170" s="17"/>
      <c r="F170" s="17"/>
      <c r="G170" s="17"/>
      <c r="H170" s="17"/>
      <c r="I170" s="17"/>
      <c r="J170" s="17"/>
      <c r="K170" s="17"/>
      <c r="L170" s="17"/>
      <c r="M170" s="17"/>
      <c r="N170" s="17"/>
      <c r="O170" s="17"/>
      <c r="P170" s="17"/>
      <c r="Q170" s="17"/>
    </row>
    <row r="171" spans="2:21" x14ac:dyDescent="0.35">
      <c r="B171" s="63"/>
      <c r="C171" s="17"/>
      <c r="D171" s="17"/>
      <c r="E171" s="31"/>
      <c r="F171" s="31"/>
      <c r="G171" s="31"/>
      <c r="H171" s="31"/>
      <c r="I171" s="31"/>
      <c r="J171" s="30"/>
      <c r="K171" s="30"/>
      <c r="L171" s="30"/>
      <c r="M171" s="30"/>
      <c r="N171" s="30"/>
    </row>
    <row r="172" spans="2:21" x14ac:dyDescent="0.35">
      <c r="B172" s="85" t="s">
        <v>126</v>
      </c>
      <c r="M172" s="186" t="s">
        <v>2</v>
      </c>
      <c r="O172" s="323"/>
      <c r="P172" s="323"/>
      <c r="Q172" s="323"/>
      <c r="R172" s="323"/>
      <c r="S172" s="323"/>
    </row>
    <row r="173" spans="2:21" x14ac:dyDescent="0.35">
      <c r="B173" s="185" t="s">
        <v>3</v>
      </c>
      <c r="C173" s="123">
        <v>2016</v>
      </c>
      <c r="D173" s="140">
        <v>2017</v>
      </c>
      <c r="E173" s="123">
        <v>2018</v>
      </c>
      <c r="F173" s="123">
        <v>2019</v>
      </c>
      <c r="G173" s="123">
        <v>2020</v>
      </c>
      <c r="H173" s="123">
        <v>2021</v>
      </c>
      <c r="I173" s="123">
        <v>2022</v>
      </c>
      <c r="J173" s="123">
        <v>2023</v>
      </c>
      <c r="K173" s="123">
        <v>2024</v>
      </c>
      <c r="L173" s="123">
        <v>2025</v>
      </c>
      <c r="M173" s="670" t="s">
        <v>468</v>
      </c>
      <c r="O173" s="323"/>
      <c r="P173" s="323"/>
      <c r="Q173" s="323"/>
      <c r="R173" s="323"/>
      <c r="S173" s="323"/>
    </row>
    <row r="174" spans="2:21" x14ac:dyDescent="0.35">
      <c r="B174" s="34" t="str">
        <f t="shared" ref="B174:B180" si="30">B132</f>
        <v xml:space="preserve">Ethernet </v>
      </c>
      <c r="C174" s="292">
        <f>'Ethernet-Total'!E91-C179</f>
        <v>543.19515623754285</v>
      </c>
      <c r="D174" s="292">
        <f>'Ethernet-Total'!F91-D179</f>
        <v>461.07615029189253</v>
      </c>
      <c r="E174" s="292">
        <f>'Ethernet-Total'!G91-E179</f>
        <v>0</v>
      </c>
      <c r="F174" s="292">
        <f>'Ethernet-Total'!H91-F179</f>
        <v>0</v>
      </c>
      <c r="G174" s="292">
        <f>'Ethernet-Total'!I91-G179</f>
        <v>0</v>
      </c>
      <c r="H174" s="292">
        <f>'Ethernet-Total'!J91-H179</f>
        <v>0</v>
      </c>
      <c r="I174" s="292">
        <f>'Ethernet-Total'!K91-I179</f>
        <v>0</v>
      </c>
      <c r="J174" s="292">
        <f>'Ethernet-Total'!L91-J179</f>
        <v>0</v>
      </c>
      <c r="K174" s="292">
        <f>'Ethernet-Total'!M91-K179</f>
        <v>0</v>
      </c>
      <c r="L174" s="292">
        <f>'Ethernet-Total'!N91-L179</f>
        <v>0</v>
      </c>
      <c r="M174" s="153" t="e">
        <f>(L174/G174)^(1/5)-1</f>
        <v>#DIV/0!</v>
      </c>
      <c r="O174" s="323"/>
      <c r="P174" s="323"/>
      <c r="Q174" s="323"/>
      <c r="R174" s="323"/>
      <c r="S174" s="323"/>
      <c r="T174" s="506"/>
      <c r="U174" s="506"/>
    </row>
    <row r="175" spans="2:21" x14ac:dyDescent="0.35">
      <c r="B175" s="34" t="str">
        <f t="shared" si="30"/>
        <v>Fibre Channel</v>
      </c>
      <c r="C175" s="292">
        <v>10.657444375880214</v>
      </c>
      <c r="D175" s="292">
        <v>11.524866549999999</v>
      </c>
      <c r="E175" s="292">
        <v>10.921111333335626</v>
      </c>
      <c r="F175" s="292">
        <v>13.552297526806322</v>
      </c>
      <c r="G175" s="292">
        <v>8.8829694422876546</v>
      </c>
      <c r="H175" s="292">
        <v>11.536689220288185</v>
      </c>
      <c r="I175" s="292">
        <v>15.011959051941806</v>
      </c>
      <c r="J175" s="292">
        <v>16.214403415477143</v>
      </c>
      <c r="K175" s="292">
        <v>15.823849399009243</v>
      </c>
      <c r="L175" s="292">
        <v>15.568040542529685</v>
      </c>
      <c r="M175" s="154">
        <f t="shared" ref="M175:M181" si="31">(L175/G175)^(1/5)-1</f>
        <v>0.11875543240984299</v>
      </c>
    </row>
    <row r="176" spans="2:21" x14ac:dyDescent="0.35">
      <c r="B176" s="34" t="str">
        <f t="shared" si="30"/>
        <v>Optical Interconnects</v>
      </c>
      <c r="C176" s="26">
        <f>'AOC-EOM'!E42</f>
        <v>50.405769181611902</v>
      </c>
      <c r="D176" s="26">
        <f>'AOC-EOM'!F42</f>
        <v>71.685559160037243</v>
      </c>
      <c r="E176" s="26">
        <f>'AOC-EOM'!G42</f>
        <v>0</v>
      </c>
      <c r="F176" s="26">
        <f>'AOC-EOM'!H42</f>
        <v>0</v>
      </c>
      <c r="G176" s="26">
        <f>'AOC-EOM'!I42</f>
        <v>0</v>
      </c>
      <c r="H176" s="26">
        <f>'AOC-EOM'!J42</f>
        <v>0</v>
      </c>
      <c r="I176" s="26">
        <f>'AOC-EOM'!K42</f>
        <v>0</v>
      </c>
      <c r="J176" s="26">
        <f>'AOC-EOM'!L42</f>
        <v>0</v>
      </c>
      <c r="K176" s="26">
        <f>'AOC-EOM'!M42</f>
        <v>0</v>
      </c>
      <c r="L176" s="26">
        <f>'AOC-EOM'!N42</f>
        <v>0</v>
      </c>
      <c r="M176" s="154" t="e">
        <f t="shared" si="31"/>
        <v>#DIV/0!</v>
      </c>
    </row>
    <row r="177" spans="2:24" x14ac:dyDescent="0.35">
      <c r="B177" s="34" t="str">
        <f t="shared" si="30"/>
        <v>CWDM / DWDM</v>
      </c>
      <c r="C177" s="69">
        <f>'CWDM and DWDM'!F39</f>
        <v>247.00601923400103</v>
      </c>
      <c r="D177" s="69">
        <f>'CWDM and DWDM'!G39</f>
        <v>154.30570556633481</v>
      </c>
      <c r="E177" s="69">
        <f>'CWDM and DWDM'!H39</f>
        <v>0</v>
      </c>
      <c r="F177" s="69">
        <f>'CWDM and DWDM'!I39</f>
        <v>0</v>
      </c>
      <c r="G177" s="69">
        <f>'CWDM and DWDM'!J39</f>
        <v>0</v>
      </c>
      <c r="H177" s="69">
        <f>'CWDM and DWDM'!K39</f>
        <v>0</v>
      </c>
      <c r="I177" s="69">
        <f>'CWDM and DWDM'!L39</f>
        <v>0</v>
      </c>
      <c r="J177" s="69">
        <f>'CWDM and DWDM'!M39</f>
        <v>0</v>
      </c>
      <c r="K177" s="745">
        <f>'CWDM and DWDM'!N39</f>
        <v>0</v>
      </c>
      <c r="L177" s="745">
        <f>'CWDM and DWDM'!O39</f>
        <v>0</v>
      </c>
      <c r="M177" s="154" t="e">
        <f t="shared" si="31"/>
        <v>#DIV/0!</v>
      </c>
      <c r="O177" s="323"/>
      <c r="P177" s="323"/>
      <c r="Q177" s="323"/>
      <c r="R177" s="323"/>
      <c r="S177" s="323"/>
    </row>
    <row r="178" spans="2:24" x14ac:dyDescent="0.35">
      <c r="B178" s="34" t="str">
        <f t="shared" si="30"/>
        <v>Wireless fronthaul</v>
      </c>
      <c r="C178" s="26">
        <f>Wireless!E64</f>
        <v>218.74931045678585</v>
      </c>
      <c r="D178" s="26">
        <f>Wireless!F64</f>
        <v>118.15802502183853</v>
      </c>
      <c r="E178" s="26">
        <f>Wireless!G64</f>
        <v>0</v>
      </c>
      <c r="F178" s="26">
        <f>Wireless!H64</f>
        <v>0</v>
      </c>
      <c r="G178" s="26">
        <f>Wireless!I64</f>
        <v>0</v>
      </c>
      <c r="H178" s="26">
        <f>Wireless!J64</f>
        <v>0</v>
      </c>
      <c r="I178" s="26">
        <f>Wireless!K64</f>
        <v>0</v>
      </c>
      <c r="J178" s="26">
        <f>Wireless!L64</f>
        <v>0</v>
      </c>
      <c r="K178" s="292">
        <f>Wireless!M64</f>
        <v>0</v>
      </c>
      <c r="L178" s="292">
        <f>Wireless!N64</f>
        <v>0</v>
      </c>
      <c r="M178" s="154" t="e">
        <f t="shared" si="31"/>
        <v>#DIV/0!</v>
      </c>
      <c r="O178" s="323"/>
      <c r="P178" s="323"/>
      <c r="Q178" s="323"/>
      <c r="R178" s="323"/>
      <c r="S178" s="323"/>
    </row>
    <row r="179" spans="2:24" x14ac:dyDescent="0.35">
      <c r="B179" s="34" t="str">
        <f t="shared" si="30"/>
        <v>Wireless backhaul</v>
      </c>
      <c r="C179" s="26">
        <f>Wireless!E71</f>
        <v>10.453308885263413</v>
      </c>
      <c r="D179" s="26">
        <f>Wireless!F71</f>
        <v>46.506051363203028</v>
      </c>
      <c r="E179" s="26">
        <f>Wireless!G71</f>
        <v>0</v>
      </c>
      <c r="F179" s="26">
        <f>Wireless!H71</f>
        <v>0</v>
      </c>
      <c r="G179" s="26">
        <f>Wireless!I71</f>
        <v>0</v>
      </c>
      <c r="H179" s="26">
        <f>Wireless!J71</f>
        <v>0</v>
      </c>
      <c r="I179" s="26">
        <f>Wireless!K71</f>
        <v>0</v>
      </c>
      <c r="J179" s="26">
        <f>Wireless!L71</f>
        <v>0</v>
      </c>
      <c r="K179" s="292">
        <f>Wireless!M71</f>
        <v>0</v>
      </c>
      <c r="L179" s="292">
        <f>Wireless!N71</f>
        <v>0</v>
      </c>
      <c r="M179" s="154" t="e">
        <f t="shared" si="31"/>
        <v>#DIV/0!</v>
      </c>
      <c r="O179" s="323"/>
      <c r="P179" s="323"/>
      <c r="Q179" s="323"/>
      <c r="R179" s="323"/>
      <c r="S179" s="323"/>
    </row>
    <row r="180" spans="2:24" x14ac:dyDescent="0.35">
      <c r="B180" s="34" t="str">
        <f t="shared" si="30"/>
        <v>FTTx</v>
      </c>
      <c r="C180" s="328">
        <f>FTTx!D42</f>
        <v>792.3413559550562</v>
      </c>
      <c r="D180" s="328">
        <f>FTTx!E42</f>
        <v>629.54144933007183</v>
      </c>
      <c r="E180" s="328">
        <f>FTTx!F42</f>
        <v>0</v>
      </c>
      <c r="F180" s="328">
        <f>FTTx!G42</f>
        <v>0</v>
      </c>
      <c r="G180" s="328">
        <f>FTTx!H42</f>
        <v>0</v>
      </c>
      <c r="H180" s="328">
        <f>FTTx!I42</f>
        <v>0</v>
      </c>
      <c r="I180" s="328">
        <f>FTTx!J42</f>
        <v>0</v>
      </c>
      <c r="J180" s="328">
        <f>FTTx!K42</f>
        <v>0</v>
      </c>
      <c r="K180" s="328">
        <f>FTTx!L42</f>
        <v>0</v>
      </c>
      <c r="L180" s="328">
        <f>FTTx!M42</f>
        <v>0</v>
      </c>
      <c r="M180" s="154" t="e">
        <f t="shared" si="31"/>
        <v>#DIV/0!</v>
      </c>
      <c r="O180" s="323"/>
      <c r="P180" s="323"/>
      <c r="Q180" s="323"/>
      <c r="R180" s="323"/>
      <c r="S180" s="323"/>
    </row>
    <row r="181" spans="2:24" x14ac:dyDescent="0.35">
      <c r="B181" s="187" t="s">
        <v>9</v>
      </c>
      <c r="C181" s="381">
        <f t="shared" ref="C181:K181" si="32">SUM(C174:C180)</f>
        <v>1872.8083643261416</v>
      </c>
      <c r="D181" s="381">
        <f t="shared" si="32"/>
        <v>1492.797807283378</v>
      </c>
      <c r="E181" s="381">
        <f t="shared" si="32"/>
        <v>10.921111333335626</v>
      </c>
      <c r="F181" s="381">
        <f t="shared" si="32"/>
        <v>13.552297526806322</v>
      </c>
      <c r="G181" s="381">
        <f t="shared" si="32"/>
        <v>8.8829694422876546</v>
      </c>
      <c r="H181" s="381">
        <f t="shared" si="32"/>
        <v>11.536689220288185</v>
      </c>
      <c r="I181" s="381">
        <f t="shared" si="32"/>
        <v>15.011959051941806</v>
      </c>
      <c r="J181" s="381">
        <f t="shared" si="32"/>
        <v>16.214403415477143</v>
      </c>
      <c r="K181" s="746">
        <f t="shared" si="32"/>
        <v>15.823849399009243</v>
      </c>
      <c r="L181" s="746">
        <f>SUM(L174:L180)</f>
        <v>15.568040542529685</v>
      </c>
      <c r="M181" s="159">
        <f t="shared" si="31"/>
        <v>0.11875543240984299</v>
      </c>
    </row>
    <row r="182" spans="2:24" x14ac:dyDescent="0.35">
      <c r="B182" s="151" t="s">
        <v>125</v>
      </c>
      <c r="C182" s="123">
        <v>2016</v>
      </c>
      <c r="D182" s="140">
        <v>2017</v>
      </c>
      <c r="E182" s="123">
        <v>2018</v>
      </c>
      <c r="F182" s="123">
        <v>2019</v>
      </c>
      <c r="G182" s="123">
        <v>2020</v>
      </c>
      <c r="H182" s="123">
        <v>2021</v>
      </c>
      <c r="I182" s="123">
        <v>2022</v>
      </c>
      <c r="J182" s="123">
        <v>2023</v>
      </c>
      <c r="K182" s="123">
        <v>2024</v>
      </c>
      <c r="L182" s="123">
        <v>2025</v>
      </c>
      <c r="M182" s="263"/>
    </row>
    <row r="183" spans="2:24" x14ac:dyDescent="0.35">
      <c r="B183" s="34" t="str">
        <f t="shared" ref="B183:B189" si="33">B132</f>
        <v xml:space="preserve">Ethernet </v>
      </c>
      <c r="C183" s="145"/>
      <c r="D183" s="145">
        <f t="shared" ref="D183:D190" si="34">D174/C174-1</f>
        <v>-0.15117772130821272</v>
      </c>
      <c r="E183" s="145">
        <f t="shared" ref="E183:L183" si="35">E174/D174-1</f>
        <v>-1</v>
      </c>
      <c r="F183" s="145" t="e">
        <f t="shared" si="35"/>
        <v>#DIV/0!</v>
      </c>
      <c r="G183" s="145" t="e">
        <f t="shared" si="35"/>
        <v>#DIV/0!</v>
      </c>
      <c r="H183" s="145" t="e">
        <f t="shared" si="35"/>
        <v>#DIV/0!</v>
      </c>
      <c r="I183" s="145" t="e">
        <f t="shared" si="35"/>
        <v>#DIV/0!</v>
      </c>
      <c r="J183" s="145" t="e">
        <f t="shared" si="35"/>
        <v>#DIV/0!</v>
      </c>
      <c r="K183" s="145" t="e">
        <f t="shared" si="35"/>
        <v>#DIV/0!</v>
      </c>
      <c r="L183" s="145" t="e">
        <f t="shared" si="35"/>
        <v>#DIV/0!</v>
      </c>
      <c r="M183" s="263"/>
      <c r="O183" s="32"/>
      <c r="P183" s="21"/>
      <c r="Q183" s="21"/>
      <c r="S183" s="60"/>
      <c r="T183" s="60"/>
      <c r="U183" s="60"/>
      <c r="V183" s="60"/>
      <c r="W183" s="60"/>
      <c r="X183" s="60"/>
    </row>
    <row r="184" spans="2:24" x14ac:dyDescent="0.35">
      <c r="B184" s="34" t="str">
        <f t="shared" si="33"/>
        <v>Fibre Channel</v>
      </c>
      <c r="C184" s="145"/>
      <c r="D184" s="145">
        <f t="shared" si="34"/>
        <v>8.1391198820884636E-2</v>
      </c>
      <c r="E184" s="145">
        <f t="shared" ref="E184:L190" si="36">E175/D175-1</f>
        <v>-5.2387176375970568E-2</v>
      </c>
      <c r="F184" s="145">
        <f t="shared" si="36"/>
        <v>0.24092659740948319</v>
      </c>
      <c r="G184" s="145">
        <f t="shared" si="36"/>
        <v>-0.34454143847438257</v>
      </c>
      <c r="H184" s="145">
        <f t="shared" si="36"/>
        <v>0.29874241887711728</v>
      </c>
      <c r="I184" s="145">
        <f t="shared" si="36"/>
        <v>0.3012363222493748</v>
      </c>
      <c r="J184" s="145">
        <f t="shared" si="36"/>
        <v>8.0099096951626647E-2</v>
      </c>
      <c r="K184" s="145">
        <f t="shared" si="36"/>
        <v>-2.4086857003638218E-2</v>
      </c>
      <c r="L184" s="145">
        <f t="shared" si="36"/>
        <v>-1.6166032046258882E-2</v>
      </c>
      <c r="M184" s="263"/>
      <c r="O184" s="32"/>
      <c r="P184" s="21"/>
      <c r="Q184" s="21"/>
      <c r="S184" s="60"/>
      <c r="T184" s="60"/>
      <c r="U184" s="60"/>
      <c r="V184" s="60"/>
      <c r="W184" s="60"/>
      <c r="X184" s="60"/>
    </row>
    <row r="185" spans="2:24" x14ac:dyDescent="0.35">
      <c r="B185" s="34" t="str">
        <f t="shared" si="33"/>
        <v>Optical Interconnects</v>
      </c>
      <c r="C185" s="145"/>
      <c r="D185" s="145">
        <f t="shared" si="34"/>
        <v>0.4221697302496128</v>
      </c>
      <c r="E185" s="145">
        <f t="shared" si="36"/>
        <v>-1</v>
      </c>
      <c r="F185" s="145" t="e">
        <f t="shared" si="36"/>
        <v>#DIV/0!</v>
      </c>
      <c r="G185" s="145" t="e">
        <f t="shared" si="36"/>
        <v>#DIV/0!</v>
      </c>
      <c r="H185" s="145" t="e">
        <f t="shared" si="36"/>
        <v>#DIV/0!</v>
      </c>
      <c r="I185" s="145" t="e">
        <f t="shared" si="36"/>
        <v>#DIV/0!</v>
      </c>
      <c r="J185" s="145" t="e">
        <f t="shared" si="36"/>
        <v>#DIV/0!</v>
      </c>
      <c r="K185" s="145" t="e">
        <f t="shared" si="36"/>
        <v>#DIV/0!</v>
      </c>
      <c r="L185" s="145" t="e">
        <f t="shared" si="36"/>
        <v>#DIV/0!</v>
      </c>
      <c r="M185" s="263"/>
      <c r="O185" s="32"/>
      <c r="P185" s="21"/>
      <c r="Q185" s="21"/>
      <c r="S185" s="60"/>
      <c r="T185" s="60"/>
      <c r="U185" s="60"/>
      <c r="V185" s="60"/>
      <c r="W185" s="60"/>
      <c r="X185" s="60"/>
    </row>
    <row r="186" spans="2:24" x14ac:dyDescent="0.35">
      <c r="B186" s="34" t="str">
        <f t="shared" si="33"/>
        <v>CWDM / DWDM</v>
      </c>
      <c r="C186" s="145"/>
      <c r="D186" s="145">
        <f t="shared" si="34"/>
        <v>-0.37529576791343955</v>
      </c>
      <c r="E186" s="145">
        <f t="shared" si="36"/>
        <v>-1</v>
      </c>
      <c r="F186" s="145" t="e">
        <f t="shared" si="36"/>
        <v>#DIV/0!</v>
      </c>
      <c r="G186" s="145" t="e">
        <f t="shared" si="36"/>
        <v>#DIV/0!</v>
      </c>
      <c r="H186" s="145" t="e">
        <f t="shared" si="36"/>
        <v>#DIV/0!</v>
      </c>
      <c r="I186" s="145" t="e">
        <f t="shared" si="36"/>
        <v>#DIV/0!</v>
      </c>
      <c r="J186" s="145" t="e">
        <f t="shared" si="36"/>
        <v>#DIV/0!</v>
      </c>
      <c r="K186" s="145" t="e">
        <f t="shared" si="36"/>
        <v>#DIV/0!</v>
      </c>
      <c r="L186" s="145" t="e">
        <f t="shared" si="36"/>
        <v>#DIV/0!</v>
      </c>
      <c r="M186" s="263"/>
      <c r="O186" s="32"/>
      <c r="P186" s="21"/>
      <c r="Q186" s="21"/>
      <c r="S186" s="60"/>
      <c r="T186" s="60"/>
      <c r="U186" s="60"/>
      <c r="V186" s="60"/>
      <c r="W186" s="60"/>
      <c r="X186" s="60"/>
    </row>
    <row r="187" spans="2:24" x14ac:dyDescent="0.35">
      <c r="B187" s="34" t="str">
        <f t="shared" si="33"/>
        <v>Wireless fronthaul</v>
      </c>
      <c r="C187" s="145"/>
      <c r="D187" s="145">
        <f t="shared" si="34"/>
        <v>-0.45984732580365884</v>
      </c>
      <c r="E187" s="145">
        <f t="shared" si="36"/>
        <v>-1</v>
      </c>
      <c r="F187" s="145" t="e">
        <f t="shared" si="36"/>
        <v>#DIV/0!</v>
      </c>
      <c r="G187" s="145" t="e">
        <f t="shared" si="36"/>
        <v>#DIV/0!</v>
      </c>
      <c r="H187" s="145" t="e">
        <f t="shared" si="36"/>
        <v>#DIV/0!</v>
      </c>
      <c r="I187" s="145" t="e">
        <f t="shared" si="36"/>
        <v>#DIV/0!</v>
      </c>
      <c r="J187" s="145" t="e">
        <f t="shared" si="36"/>
        <v>#DIV/0!</v>
      </c>
      <c r="K187" s="145" t="e">
        <f t="shared" si="36"/>
        <v>#DIV/0!</v>
      </c>
      <c r="L187" s="145" t="e">
        <f t="shared" si="36"/>
        <v>#DIV/0!</v>
      </c>
      <c r="M187" s="263"/>
      <c r="O187" s="32"/>
      <c r="P187" s="21"/>
      <c r="Q187" s="21"/>
      <c r="S187" s="60"/>
      <c r="T187" s="60"/>
      <c r="U187" s="60"/>
      <c r="V187" s="60"/>
      <c r="W187" s="60"/>
      <c r="X187" s="60"/>
    </row>
    <row r="188" spans="2:24" x14ac:dyDescent="0.35">
      <c r="B188" s="34" t="str">
        <f t="shared" si="33"/>
        <v>Wireless backhaul</v>
      </c>
      <c r="C188" s="145"/>
      <c r="D188" s="145">
        <f t="shared" si="34"/>
        <v>3.4489311349791922</v>
      </c>
      <c r="E188" s="145">
        <f t="shared" si="36"/>
        <v>-1</v>
      </c>
      <c r="F188" s="145" t="e">
        <f t="shared" si="36"/>
        <v>#DIV/0!</v>
      </c>
      <c r="G188" s="145" t="e">
        <f t="shared" si="36"/>
        <v>#DIV/0!</v>
      </c>
      <c r="H188" s="145" t="e">
        <f t="shared" si="36"/>
        <v>#DIV/0!</v>
      </c>
      <c r="I188" s="145" t="e">
        <f t="shared" si="36"/>
        <v>#DIV/0!</v>
      </c>
      <c r="J188" s="145" t="e">
        <f t="shared" si="36"/>
        <v>#DIV/0!</v>
      </c>
      <c r="K188" s="145" t="e">
        <f t="shared" si="36"/>
        <v>#DIV/0!</v>
      </c>
      <c r="L188" s="145" t="e">
        <f t="shared" si="36"/>
        <v>#DIV/0!</v>
      </c>
      <c r="M188" s="263"/>
      <c r="O188" s="32"/>
      <c r="P188" s="21"/>
      <c r="Q188" s="21"/>
      <c r="S188" s="60"/>
      <c r="T188" s="60"/>
      <c r="U188" s="60"/>
      <c r="V188" s="60"/>
      <c r="W188" s="60"/>
      <c r="X188" s="60"/>
    </row>
    <row r="189" spans="2:24" x14ac:dyDescent="0.35">
      <c r="B189" s="34" t="str">
        <f t="shared" si="33"/>
        <v>FTTx</v>
      </c>
      <c r="C189" s="145"/>
      <c r="D189" s="145">
        <f t="shared" si="34"/>
        <v>-0.20546688040630157</v>
      </c>
      <c r="E189" s="145">
        <f t="shared" si="36"/>
        <v>-1</v>
      </c>
      <c r="F189" s="145" t="e">
        <f t="shared" si="36"/>
        <v>#DIV/0!</v>
      </c>
      <c r="G189" s="145" t="e">
        <f t="shared" si="36"/>
        <v>#DIV/0!</v>
      </c>
      <c r="H189" s="145" t="e">
        <f t="shared" si="36"/>
        <v>#DIV/0!</v>
      </c>
      <c r="I189" s="145" t="e">
        <f t="shared" si="36"/>
        <v>#DIV/0!</v>
      </c>
      <c r="J189" s="145" t="e">
        <f t="shared" si="36"/>
        <v>#DIV/0!</v>
      </c>
      <c r="K189" s="145" t="e">
        <f t="shared" si="36"/>
        <v>#DIV/0!</v>
      </c>
      <c r="L189" s="145" t="e">
        <f t="shared" si="36"/>
        <v>#DIV/0!</v>
      </c>
      <c r="M189" s="263"/>
      <c r="O189" s="32"/>
      <c r="P189" s="21"/>
      <c r="Q189" s="21"/>
      <c r="S189" s="60"/>
      <c r="T189" s="60"/>
      <c r="U189" s="60"/>
      <c r="V189" s="60"/>
      <c r="W189" s="60"/>
      <c r="X189" s="60"/>
    </row>
    <row r="190" spans="2:24" x14ac:dyDescent="0.35">
      <c r="B190" s="189" t="str">
        <f>B181</f>
        <v>TOTAL</v>
      </c>
      <c r="C190" s="137"/>
      <c r="D190" s="137">
        <f t="shared" si="34"/>
        <v>-0.20290947236317791</v>
      </c>
      <c r="E190" s="137">
        <f t="shared" si="36"/>
        <v>-0.99268413225150021</v>
      </c>
      <c r="F190" s="137">
        <f t="shared" si="36"/>
        <v>0.24092659740948319</v>
      </c>
      <c r="G190" s="137">
        <f t="shared" si="36"/>
        <v>-0.34454143847438257</v>
      </c>
      <c r="H190" s="137">
        <f t="shared" si="36"/>
        <v>0.29874241887711728</v>
      </c>
      <c r="I190" s="137">
        <f t="shared" si="36"/>
        <v>0.3012363222493748</v>
      </c>
      <c r="J190" s="137">
        <f t="shared" si="36"/>
        <v>8.0099096951626647E-2</v>
      </c>
      <c r="K190" s="137">
        <f t="shared" si="36"/>
        <v>-2.4086857003638218E-2</v>
      </c>
      <c r="L190" s="137">
        <f t="shared" si="36"/>
        <v>-1.6166032046258882E-2</v>
      </c>
      <c r="M190" s="263"/>
      <c r="O190" s="32"/>
      <c r="P190" s="21"/>
      <c r="Q190" s="21"/>
      <c r="S190" s="60"/>
      <c r="T190" s="60"/>
      <c r="U190" s="60"/>
      <c r="V190" s="60"/>
      <c r="W190" s="60"/>
      <c r="X190" s="60"/>
    </row>
    <row r="193" spans="1:27" s="42" customFormat="1" ht="18" x14ac:dyDescent="0.4">
      <c r="A193" s="83" t="s">
        <v>76</v>
      </c>
      <c r="B193" s="78"/>
      <c r="C193" s="79"/>
      <c r="D193" s="79"/>
      <c r="E193" s="80"/>
      <c r="F193" s="80"/>
      <c r="G193" s="80"/>
      <c r="H193" s="80"/>
      <c r="I193" s="80"/>
      <c r="J193" s="81"/>
      <c r="K193" s="81"/>
      <c r="L193" s="81"/>
      <c r="M193" s="81"/>
      <c r="N193" s="79"/>
      <c r="O193" s="79"/>
      <c r="P193" s="82"/>
      <c r="Q193" s="82"/>
      <c r="S193" s="110"/>
      <c r="T193" s="110"/>
      <c r="U193" s="110"/>
      <c r="V193" s="110"/>
      <c r="W193" s="110"/>
      <c r="X193" s="110"/>
      <c r="AA193" s="308"/>
    </row>
    <row r="194" spans="1:27" x14ac:dyDescent="0.35">
      <c r="A194" s="56"/>
      <c r="B194" s="93" t="s">
        <v>275</v>
      </c>
      <c r="C194" s="61"/>
      <c r="D194" s="61"/>
      <c r="E194" s="61"/>
      <c r="F194" s="61"/>
      <c r="G194" s="61"/>
      <c r="H194" s="61"/>
      <c r="I194" s="61"/>
      <c r="J194" s="50"/>
      <c r="K194" s="50"/>
      <c r="L194" s="50"/>
      <c r="M194" s="50"/>
      <c r="N194" s="93" t="s">
        <v>284</v>
      </c>
      <c r="O194" s="17"/>
      <c r="P194" s="17"/>
      <c r="Q194" s="17"/>
      <c r="R194" s="17"/>
      <c r="S194" s="152"/>
      <c r="T194" s="152"/>
      <c r="U194" s="152"/>
      <c r="V194" s="152"/>
      <c r="W194" s="152"/>
      <c r="X194" s="152"/>
      <c r="Z194" s="152"/>
    </row>
    <row r="195" spans="1:27" x14ac:dyDescent="0.35">
      <c r="B195" s="31"/>
      <c r="C195" s="32"/>
      <c r="D195" s="32"/>
      <c r="E195" s="32"/>
      <c r="F195" s="32"/>
      <c r="G195" s="32"/>
      <c r="H195" s="32"/>
      <c r="I195" s="32"/>
      <c r="J195" s="33"/>
      <c r="K195" s="33"/>
      <c r="L195" s="33"/>
      <c r="M195" s="33"/>
      <c r="N195" s="33"/>
      <c r="O195" s="17"/>
      <c r="P195" s="17"/>
      <c r="Q195" s="17"/>
      <c r="R195" s="17"/>
      <c r="S195" s="152"/>
      <c r="T195" s="152"/>
      <c r="U195" s="152"/>
      <c r="V195" s="152"/>
      <c r="W195" s="152"/>
      <c r="X195" s="152"/>
      <c r="Z195" s="152"/>
    </row>
    <row r="196" spans="1:27" x14ac:dyDescent="0.35">
      <c r="B196" s="31"/>
      <c r="C196" s="32"/>
      <c r="D196" s="32"/>
      <c r="E196" s="32"/>
      <c r="F196" s="32"/>
      <c r="G196" s="32"/>
      <c r="H196" s="32"/>
      <c r="I196" s="32"/>
      <c r="J196" s="33"/>
      <c r="K196" s="33"/>
      <c r="L196" s="33"/>
      <c r="M196" s="33"/>
      <c r="N196" s="33"/>
      <c r="O196" s="17"/>
      <c r="P196" s="17"/>
      <c r="Q196" s="17"/>
      <c r="R196" s="17"/>
      <c r="S196" s="152"/>
      <c r="T196" s="152"/>
      <c r="U196" s="152"/>
      <c r="V196" s="152"/>
      <c r="W196" s="152"/>
      <c r="X196" s="152"/>
      <c r="Z196" s="152"/>
    </row>
    <row r="197" spans="1:27" x14ac:dyDescent="0.35">
      <c r="B197" s="31"/>
      <c r="C197" s="32"/>
      <c r="D197" s="32"/>
      <c r="E197" s="32"/>
      <c r="F197" s="32"/>
      <c r="G197" s="32"/>
      <c r="H197" s="32"/>
      <c r="I197" s="32"/>
      <c r="J197" s="33"/>
      <c r="K197" s="33"/>
      <c r="L197" s="33"/>
      <c r="M197" s="33"/>
      <c r="N197" s="33"/>
      <c r="O197" s="17"/>
      <c r="P197" s="17"/>
      <c r="Q197" s="17"/>
      <c r="R197" s="17"/>
      <c r="S197" s="152"/>
      <c r="T197" s="152"/>
      <c r="U197" s="152"/>
      <c r="V197" s="152"/>
      <c r="W197" s="152"/>
      <c r="X197" s="152"/>
      <c r="Z197" s="152"/>
    </row>
    <row r="198" spans="1:27" x14ac:dyDescent="0.35">
      <c r="B198" s="31"/>
      <c r="C198" s="32"/>
      <c r="D198" s="32"/>
      <c r="E198" s="32"/>
      <c r="F198" s="32"/>
      <c r="G198" s="32"/>
      <c r="H198" s="32"/>
      <c r="I198" s="32"/>
      <c r="J198" s="33"/>
      <c r="K198" s="33"/>
      <c r="L198" s="33"/>
      <c r="M198" s="33"/>
      <c r="N198" s="33"/>
      <c r="O198" s="17"/>
      <c r="P198" s="17"/>
      <c r="Q198" s="17"/>
      <c r="R198" s="17"/>
      <c r="S198" s="152"/>
      <c r="T198" s="152"/>
      <c r="U198" s="152"/>
      <c r="V198" s="152"/>
      <c r="W198" s="152"/>
      <c r="X198" s="152"/>
      <c r="Z198" s="152"/>
    </row>
    <row r="199" spans="1:27" x14ac:dyDescent="0.35">
      <c r="B199" s="31"/>
      <c r="C199" s="32"/>
      <c r="D199" s="32"/>
      <c r="E199" s="32"/>
      <c r="F199" s="32"/>
      <c r="G199" s="32"/>
      <c r="H199" s="32"/>
      <c r="I199" s="32"/>
      <c r="J199" s="33"/>
      <c r="K199" s="33"/>
      <c r="L199" s="33"/>
      <c r="M199" s="33"/>
      <c r="N199" s="33"/>
      <c r="O199" s="17"/>
      <c r="P199" s="17"/>
      <c r="Q199" s="17"/>
      <c r="R199" s="17"/>
      <c r="S199" s="152"/>
      <c r="T199" s="152"/>
      <c r="U199" s="152"/>
      <c r="V199" s="152"/>
      <c r="W199" s="152"/>
      <c r="X199" s="152"/>
      <c r="Z199" s="152"/>
    </row>
    <row r="200" spans="1:27" x14ac:dyDescent="0.35">
      <c r="B200" s="31"/>
      <c r="C200" s="32"/>
      <c r="D200" s="32"/>
      <c r="E200" s="32"/>
      <c r="F200" s="32"/>
      <c r="G200" s="32"/>
      <c r="H200" s="32"/>
      <c r="I200" s="32"/>
      <c r="J200" s="33"/>
      <c r="K200" s="33"/>
      <c r="L200" s="33"/>
      <c r="M200" s="33"/>
      <c r="N200" s="33"/>
      <c r="O200" s="17"/>
      <c r="P200" s="17"/>
      <c r="Q200" s="17"/>
      <c r="R200" s="17"/>
      <c r="S200" s="152"/>
      <c r="T200" s="152"/>
      <c r="U200" s="152"/>
      <c r="V200" s="152"/>
      <c r="W200" s="152"/>
      <c r="X200" s="152"/>
      <c r="Z200" s="152"/>
    </row>
    <row r="201" spans="1:27" x14ac:dyDescent="0.35">
      <c r="B201" s="31"/>
      <c r="C201" s="32"/>
      <c r="D201" s="32"/>
      <c r="E201" s="32"/>
      <c r="F201" s="32"/>
      <c r="G201" s="32"/>
      <c r="H201" s="32"/>
      <c r="I201" s="32"/>
      <c r="J201" s="33"/>
      <c r="K201" s="33"/>
      <c r="L201" s="33"/>
      <c r="M201" s="33"/>
      <c r="N201" s="33"/>
      <c r="O201" s="17"/>
      <c r="P201" s="17"/>
      <c r="Q201" s="17"/>
      <c r="R201" s="17"/>
      <c r="S201" s="152"/>
      <c r="T201" s="152"/>
      <c r="U201" s="152"/>
      <c r="V201" s="152"/>
      <c r="W201" s="152"/>
      <c r="X201" s="152"/>
      <c r="Z201" s="152"/>
    </row>
    <row r="202" spans="1:27" x14ac:dyDescent="0.35">
      <c r="B202" s="31"/>
      <c r="C202" s="32"/>
      <c r="D202" s="32"/>
      <c r="E202" s="32"/>
      <c r="F202" s="32"/>
      <c r="G202" s="32"/>
      <c r="H202" s="32"/>
      <c r="I202" s="32"/>
      <c r="J202" s="33"/>
      <c r="K202" s="33"/>
      <c r="L202" s="33"/>
      <c r="M202" s="33"/>
      <c r="N202" s="33"/>
      <c r="O202" s="17"/>
      <c r="P202" s="17"/>
      <c r="Q202" s="17"/>
      <c r="R202" s="17"/>
      <c r="S202" s="152"/>
      <c r="T202" s="152"/>
      <c r="U202" s="152"/>
      <c r="V202" s="152"/>
      <c r="W202" s="152"/>
      <c r="X202" s="152"/>
      <c r="Z202" s="152"/>
    </row>
    <row r="203" spans="1:27" x14ac:dyDescent="0.35">
      <c r="B203" s="31"/>
      <c r="C203" s="32"/>
      <c r="D203" s="32"/>
      <c r="E203" s="32"/>
      <c r="F203" s="32"/>
      <c r="G203" s="32"/>
      <c r="H203" s="32"/>
      <c r="I203" s="32"/>
      <c r="J203" s="33"/>
      <c r="K203" s="33"/>
      <c r="L203" s="33"/>
      <c r="M203" s="33"/>
      <c r="N203" s="33"/>
      <c r="O203" s="17"/>
      <c r="P203" s="17"/>
      <c r="Q203" s="17"/>
      <c r="R203" s="17"/>
      <c r="S203" s="152"/>
      <c r="T203" s="152"/>
      <c r="U203" s="152"/>
      <c r="V203" s="152"/>
      <c r="W203" s="152"/>
      <c r="X203" s="152"/>
      <c r="Z203" s="152"/>
    </row>
    <row r="204" spans="1:27" x14ac:dyDescent="0.35">
      <c r="B204" s="31"/>
      <c r="C204" s="32"/>
      <c r="D204" s="32"/>
      <c r="E204" s="32"/>
      <c r="F204" s="32"/>
      <c r="G204" s="32"/>
      <c r="H204" s="32"/>
      <c r="I204" s="32"/>
      <c r="J204" s="33"/>
      <c r="K204" s="33"/>
      <c r="L204" s="33"/>
      <c r="M204" s="33"/>
      <c r="N204" s="33"/>
      <c r="O204" s="17"/>
      <c r="P204" s="17"/>
      <c r="Q204" s="17"/>
      <c r="R204" s="17"/>
      <c r="S204" s="152"/>
      <c r="T204" s="152"/>
      <c r="U204" s="152"/>
      <c r="V204" s="152"/>
      <c r="W204" s="152"/>
      <c r="X204" s="152"/>
      <c r="Z204" s="152"/>
    </row>
    <row r="205" spans="1:27" x14ac:dyDescent="0.35">
      <c r="B205" s="31"/>
      <c r="C205" s="32"/>
      <c r="D205" s="32"/>
      <c r="E205" s="32"/>
      <c r="F205" s="32"/>
      <c r="G205" s="32"/>
      <c r="H205" s="32"/>
      <c r="I205" s="32"/>
      <c r="J205" s="33"/>
      <c r="K205" s="33"/>
      <c r="L205" s="33"/>
      <c r="M205" s="33"/>
      <c r="N205" s="33"/>
      <c r="O205" s="17"/>
      <c r="P205" s="17"/>
      <c r="Q205" s="17"/>
      <c r="R205" s="17"/>
      <c r="S205" s="152"/>
      <c r="T205" s="152"/>
      <c r="U205" s="152"/>
      <c r="V205" s="152"/>
      <c r="W205" s="152"/>
      <c r="X205" s="152"/>
      <c r="Z205" s="152"/>
    </row>
    <row r="206" spans="1:27" x14ac:dyDescent="0.35">
      <c r="B206" s="31"/>
      <c r="C206" s="32"/>
      <c r="D206" s="32"/>
      <c r="E206" s="32"/>
      <c r="F206" s="32"/>
      <c r="G206" s="32"/>
      <c r="H206" s="32"/>
      <c r="I206" s="32"/>
      <c r="J206" s="33"/>
      <c r="K206" s="33"/>
      <c r="L206" s="33"/>
      <c r="M206" s="33"/>
      <c r="N206" s="33"/>
      <c r="O206" s="17"/>
      <c r="P206" s="17"/>
      <c r="Q206" s="17"/>
      <c r="R206" s="17"/>
      <c r="S206" s="152"/>
      <c r="T206" s="152"/>
      <c r="U206" s="152"/>
      <c r="V206" s="152"/>
      <c r="W206" s="152"/>
      <c r="X206" s="152"/>
      <c r="Z206" s="152"/>
    </row>
    <row r="207" spans="1:27" x14ac:dyDescent="0.35">
      <c r="B207" s="31"/>
      <c r="C207" s="32"/>
      <c r="D207" s="32"/>
      <c r="E207" s="32"/>
      <c r="F207" s="32"/>
      <c r="G207" s="32"/>
      <c r="H207" s="32"/>
      <c r="I207" s="32"/>
      <c r="J207" s="33"/>
      <c r="K207" s="33"/>
      <c r="L207" s="33"/>
      <c r="M207" s="33"/>
      <c r="N207" s="33"/>
      <c r="O207" s="17"/>
      <c r="P207" s="17"/>
      <c r="Q207" s="17"/>
      <c r="R207" s="17"/>
      <c r="S207" s="152"/>
      <c r="T207" s="152"/>
      <c r="U207" s="152"/>
      <c r="V207" s="152"/>
      <c r="W207" s="152"/>
      <c r="X207" s="152"/>
      <c r="Z207" s="152"/>
    </row>
    <row r="208" spans="1:27" x14ac:dyDescent="0.35">
      <c r="B208" s="31"/>
      <c r="C208" s="32"/>
      <c r="D208" s="32"/>
      <c r="E208" s="32"/>
      <c r="F208" s="32"/>
      <c r="G208" s="32"/>
      <c r="H208" s="32"/>
      <c r="I208" s="32"/>
      <c r="J208" s="33"/>
      <c r="K208" s="33"/>
      <c r="L208" s="33"/>
      <c r="M208" s="33"/>
      <c r="N208" s="33"/>
      <c r="O208" s="17"/>
      <c r="P208" s="17"/>
      <c r="Q208" s="17"/>
      <c r="R208" s="17"/>
      <c r="S208" s="152"/>
      <c r="T208" s="152"/>
      <c r="U208" s="152"/>
      <c r="V208" s="152"/>
      <c r="W208" s="152"/>
      <c r="X208" s="152"/>
      <c r="Z208" s="152"/>
    </row>
    <row r="209" spans="2:27" x14ac:dyDescent="0.35">
      <c r="B209" s="31"/>
      <c r="C209" s="32"/>
      <c r="D209" s="32"/>
      <c r="E209" s="32"/>
      <c r="F209" s="32"/>
      <c r="G209" s="32"/>
      <c r="H209" s="32"/>
      <c r="I209" s="32"/>
      <c r="J209" s="33"/>
      <c r="K209" s="33"/>
      <c r="L209" s="33"/>
      <c r="M209" s="33"/>
      <c r="N209" s="33"/>
      <c r="O209" s="17"/>
      <c r="P209" s="17"/>
      <c r="Q209" s="17"/>
      <c r="R209" s="17"/>
      <c r="S209" s="152"/>
      <c r="T209" s="152"/>
      <c r="U209" s="152"/>
      <c r="V209" s="152"/>
      <c r="W209" s="152"/>
      <c r="X209" s="152"/>
      <c r="Z209" s="152"/>
    </row>
    <row r="210" spans="2:27" x14ac:dyDescent="0.35">
      <c r="B210" s="31"/>
      <c r="C210" s="32"/>
      <c r="D210" s="32"/>
      <c r="E210" s="32"/>
      <c r="F210" s="32"/>
      <c r="G210" s="32"/>
      <c r="H210" s="32"/>
      <c r="I210" s="32"/>
      <c r="J210" s="33"/>
      <c r="K210" s="33"/>
      <c r="L210" s="33"/>
      <c r="M210" s="33"/>
      <c r="N210" s="33"/>
      <c r="O210" s="17"/>
      <c r="P210" s="17"/>
      <c r="Q210" s="17"/>
      <c r="R210" s="17"/>
      <c r="S210" s="152"/>
      <c r="T210" s="152"/>
      <c r="U210" s="152"/>
      <c r="V210" s="152"/>
      <c r="W210" s="152"/>
      <c r="X210" s="152"/>
      <c r="Z210" s="152"/>
    </row>
    <row r="211" spans="2:27" x14ac:dyDescent="0.35">
      <c r="B211" s="31"/>
      <c r="C211" s="32"/>
      <c r="D211" s="32"/>
      <c r="E211" s="32"/>
      <c r="F211" s="32"/>
      <c r="G211" s="32"/>
      <c r="H211" s="32"/>
      <c r="I211" s="32"/>
      <c r="J211" s="33"/>
      <c r="K211" s="33"/>
      <c r="L211" s="33"/>
      <c r="M211" s="33"/>
      <c r="N211" s="33"/>
      <c r="O211" s="17"/>
      <c r="P211" s="17"/>
      <c r="Q211" s="17"/>
      <c r="R211" s="17"/>
      <c r="S211" s="152"/>
      <c r="T211" s="152"/>
      <c r="U211" s="152"/>
      <c r="V211" s="152"/>
      <c r="W211" s="152"/>
      <c r="X211" s="152"/>
      <c r="Z211" s="152"/>
    </row>
    <row r="212" spans="2:27" x14ac:dyDescent="0.35">
      <c r="B212" s="31"/>
      <c r="C212" s="32"/>
      <c r="D212" s="32"/>
      <c r="E212" s="32"/>
      <c r="F212" s="32"/>
      <c r="G212" s="32"/>
      <c r="H212" s="32"/>
      <c r="I212" s="32"/>
      <c r="J212" s="33"/>
      <c r="K212" s="33"/>
      <c r="L212" s="33"/>
      <c r="M212" s="33"/>
      <c r="N212" s="33"/>
      <c r="O212" s="17"/>
      <c r="P212" s="17"/>
      <c r="Q212" s="17"/>
      <c r="R212" s="17"/>
      <c r="S212" s="152"/>
      <c r="T212" s="152"/>
      <c r="U212" s="152"/>
      <c r="V212" s="152"/>
      <c r="W212" s="152"/>
      <c r="X212" s="152"/>
      <c r="Z212" s="152"/>
    </row>
    <row r="213" spans="2:27" x14ac:dyDescent="0.35">
      <c r="B213" s="31"/>
      <c r="C213" s="32"/>
      <c r="D213" s="32"/>
      <c r="E213" s="32"/>
      <c r="F213" s="32"/>
      <c r="G213" s="32"/>
      <c r="H213" s="32"/>
      <c r="I213" s="32"/>
      <c r="J213" s="33"/>
      <c r="K213" s="33"/>
      <c r="L213" s="33"/>
      <c r="M213" s="33"/>
      <c r="N213" s="33"/>
      <c r="O213" s="17"/>
      <c r="P213" s="17"/>
      <c r="Q213" s="17"/>
      <c r="R213" s="17"/>
      <c r="S213" s="152"/>
      <c r="T213" s="152"/>
      <c r="U213" s="152"/>
      <c r="V213" s="152"/>
      <c r="W213" s="152"/>
      <c r="X213" s="152"/>
      <c r="Z213" s="152"/>
    </row>
    <row r="214" spans="2:27" x14ac:dyDescent="0.35">
      <c r="B214" s="31"/>
      <c r="C214" s="32"/>
      <c r="D214" s="32"/>
      <c r="E214" s="32"/>
      <c r="F214" s="32"/>
      <c r="G214" s="32"/>
      <c r="H214" s="32"/>
      <c r="I214" s="32"/>
      <c r="J214" s="33"/>
      <c r="K214" s="33"/>
      <c r="L214" s="33"/>
      <c r="M214" s="33"/>
      <c r="N214" s="33"/>
      <c r="O214" s="17"/>
      <c r="P214" s="17"/>
      <c r="Q214" s="17"/>
      <c r="R214" s="17"/>
      <c r="S214" s="152"/>
      <c r="T214" s="152"/>
      <c r="U214" s="152"/>
      <c r="V214" s="152"/>
      <c r="W214" s="152"/>
      <c r="X214" s="152"/>
      <c r="Z214" s="152"/>
    </row>
    <row r="215" spans="2:27" x14ac:dyDescent="0.35">
      <c r="B215" s="31"/>
      <c r="C215" s="32"/>
      <c r="D215" s="32"/>
      <c r="E215" s="32"/>
      <c r="F215" s="32"/>
      <c r="G215" s="32"/>
      <c r="H215" s="32"/>
      <c r="I215" s="32"/>
      <c r="J215" s="33"/>
      <c r="K215" s="33"/>
      <c r="L215" s="33"/>
      <c r="M215" s="33"/>
      <c r="N215" s="33"/>
      <c r="O215" s="17"/>
      <c r="P215" s="17"/>
      <c r="Q215" s="17"/>
      <c r="R215" s="17"/>
      <c r="S215" s="152"/>
      <c r="T215" s="152"/>
      <c r="U215" s="152"/>
      <c r="V215" s="152"/>
      <c r="W215" s="152"/>
      <c r="X215" s="152"/>
      <c r="Z215" s="152"/>
    </row>
    <row r="216" spans="2:27" x14ac:dyDescent="0.35">
      <c r="B216" s="31"/>
      <c r="C216" s="32"/>
      <c r="D216" s="32"/>
      <c r="E216" s="32"/>
      <c r="F216" s="32"/>
      <c r="G216" s="32"/>
      <c r="H216" s="32"/>
      <c r="I216" s="32"/>
      <c r="J216" s="33"/>
      <c r="K216" s="33"/>
      <c r="L216" s="33"/>
      <c r="M216" s="33"/>
      <c r="N216" s="33"/>
      <c r="O216" s="17"/>
      <c r="P216" s="17"/>
      <c r="Q216" s="17"/>
      <c r="R216" s="17"/>
      <c r="S216" s="152"/>
      <c r="T216" s="152"/>
      <c r="U216" s="152"/>
      <c r="V216" s="152"/>
      <c r="W216" s="152"/>
      <c r="X216" s="152"/>
      <c r="Z216" s="152"/>
    </row>
    <row r="217" spans="2:27" x14ac:dyDescent="0.35">
      <c r="B217" s="31"/>
      <c r="C217" s="32"/>
      <c r="D217" s="32"/>
      <c r="E217" s="32"/>
      <c r="F217" s="32"/>
      <c r="G217" s="32"/>
      <c r="H217" s="32"/>
      <c r="I217" s="32"/>
      <c r="J217" s="33"/>
      <c r="K217" s="33"/>
      <c r="L217" s="33"/>
      <c r="M217" s="33"/>
      <c r="N217" s="33"/>
      <c r="O217" s="17"/>
      <c r="P217" s="17"/>
      <c r="Q217" s="17"/>
      <c r="R217" s="17"/>
      <c r="S217" s="152"/>
      <c r="T217" s="152"/>
      <c r="U217" s="152"/>
      <c r="V217" s="152"/>
      <c r="W217" s="152"/>
      <c r="X217" s="152"/>
      <c r="Z217" s="152"/>
    </row>
    <row r="218" spans="2:27" x14ac:dyDescent="0.35">
      <c r="B218" s="84"/>
      <c r="C218" s="61"/>
      <c r="D218" s="61"/>
      <c r="E218" s="61"/>
      <c r="F218" s="61"/>
      <c r="G218" s="61"/>
      <c r="H218" s="61"/>
      <c r="I218" s="61"/>
      <c r="J218" s="65"/>
      <c r="K218" s="65"/>
      <c r="L218" s="65"/>
      <c r="M218" s="33"/>
      <c r="O218" s="17"/>
      <c r="P218" s="17"/>
      <c r="Q218" s="17"/>
      <c r="R218" s="17"/>
      <c r="S218" s="152"/>
      <c r="T218" s="152"/>
      <c r="U218" s="152"/>
      <c r="V218" s="152"/>
      <c r="W218" s="152"/>
      <c r="X218" s="152"/>
      <c r="Z218" s="152"/>
    </row>
    <row r="219" spans="2:27" x14ac:dyDescent="0.35">
      <c r="B219" s="84" t="s">
        <v>286</v>
      </c>
      <c r="C219" s="61"/>
      <c r="D219" s="61"/>
      <c r="E219" s="61"/>
      <c r="F219" s="61"/>
      <c r="G219" s="61"/>
      <c r="H219" s="61"/>
      <c r="I219" s="61"/>
      <c r="J219" s="426"/>
      <c r="K219" s="565"/>
      <c r="L219" s="666"/>
      <c r="M219" s="33"/>
      <c r="N219" s="85" t="s">
        <v>285</v>
      </c>
      <c r="O219" s="426"/>
      <c r="P219" s="426"/>
      <c r="Q219" s="426"/>
      <c r="R219" s="426"/>
      <c r="S219" s="426"/>
      <c r="T219" s="426"/>
      <c r="U219" s="426"/>
      <c r="V219" s="426"/>
      <c r="W219" s="565"/>
      <c r="X219" s="666"/>
      <c r="Y219" s="141" t="s">
        <v>2</v>
      </c>
    </row>
    <row r="220" spans="2:27" x14ac:dyDescent="0.35">
      <c r="B220" s="185" t="s">
        <v>70</v>
      </c>
      <c r="C220" s="123">
        <v>2016</v>
      </c>
      <c r="D220" s="140">
        <v>2017</v>
      </c>
      <c r="E220" s="140">
        <v>2018</v>
      </c>
      <c r="F220" s="123">
        <v>2019</v>
      </c>
      <c r="G220" s="123">
        <v>2020</v>
      </c>
      <c r="H220" s="123">
        <v>2021</v>
      </c>
      <c r="I220" s="123">
        <v>2022</v>
      </c>
      <c r="J220" s="123">
        <v>2023</v>
      </c>
      <c r="K220" s="123">
        <v>2024</v>
      </c>
      <c r="L220" s="123">
        <v>2025</v>
      </c>
      <c r="M220" s="33"/>
      <c r="N220" s="185" t="s">
        <v>70</v>
      </c>
      <c r="O220" s="124">
        <v>2016</v>
      </c>
      <c r="P220" s="123">
        <v>2017</v>
      </c>
      <c r="Q220" s="140">
        <v>2018</v>
      </c>
      <c r="R220" s="140">
        <v>2019</v>
      </c>
      <c r="S220" s="140">
        <v>2020</v>
      </c>
      <c r="T220" s="140">
        <v>2021</v>
      </c>
      <c r="U220" s="140">
        <v>2022</v>
      </c>
      <c r="V220" s="140">
        <v>2023</v>
      </c>
      <c r="W220" s="140">
        <v>2024</v>
      </c>
      <c r="X220" s="140">
        <v>2025</v>
      </c>
      <c r="Y220" s="123" t="str">
        <f>$Y$98</f>
        <v>2020-2025</v>
      </c>
      <c r="AA220" s="304">
        <f>SUM(O221:X223)</f>
        <v>3993.6590322239094</v>
      </c>
    </row>
    <row r="221" spans="2:27" x14ac:dyDescent="0.35">
      <c r="B221" s="24" t="s">
        <v>199</v>
      </c>
      <c r="C221" s="55">
        <f>'CWDM and DWDM'!F16</f>
        <v>318236.98642946867</v>
      </c>
      <c r="D221" s="55">
        <f>'CWDM and DWDM'!G16</f>
        <v>257191.94009730837</v>
      </c>
      <c r="E221" s="55">
        <f>'CWDM and DWDM'!H16</f>
        <v>0</v>
      </c>
      <c r="F221" s="55">
        <f>'CWDM and DWDM'!I16</f>
        <v>0</v>
      </c>
      <c r="G221" s="55">
        <f>'CWDM and DWDM'!J16</f>
        <v>0</v>
      </c>
      <c r="H221" s="55">
        <f>'CWDM and DWDM'!K16</f>
        <v>0</v>
      </c>
      <c r="I221" s="55">
        <f>'CWDM and DWDM'!L16</f>
        <v>0</v>
      </c>
      <c r="J221" s="55">
        <f>'CWDM and DWDM'!M16</f>
        <v>0</v>
      </c>
      <c r="K221" s="10">
        <f>'CWDM and DWDM'!N16</f>
        <v>0</v>
      </c>
      <c r="L221" s="10">
        <f>'CWDM and DWDM'!O16</f>
        <v>0</v>
      </c>
      <c r="M221" s="33"/>
      <c r="N221" s="24" t="str">
        <f>B221</f>
        <v>China</v>
      </c>
      <c r="O221" s="125">
        <f>'CWDM and DWDM'!F39</f>
        <v>247.00601923400103</v>
      </c>
      <c r="P221" s="125">
        <f>'CWDM and DWDM'!G39</f>
        <v>154.30570556633481</v>
      </c>
      <c r="Q221" s="125">
        <f>'CWDM and DWDM'!H39</f>
        <v>0</v>
      </c>
      <c r="R221" s="125">
        <f>'CWDM and DWDM'!I39</f>
        <v>0</v>
      </c>
      <c r="S221" s="125">
        <f>'CWDM and DWDM'!J39</f>
        <v>0</v>
      </c>
      <c r="T221" s="125">
        <f>'CWDM and DWDM'!K39</f>
        <v>0</v>
      </c>
      <c r="U221" s="125">
        <f>'CWDM and DWDM'!L39</f>
        <v>0</v>
      </c>
      <c r="V221" s="125">
        <f>'CWDM and DWDM'!M39</f>
        <v>0</v>
      </c>
      <c r="W221" s="125">
        <f>'CWDM and DWDM'!N39</f>
        <v>0</v>
      </c>
      <c r="X221" s="125">
        <f>'CWDM and DWDM'!O39</f>
        <v>0</v>
      </c>
      <c r="Y221" s="153" t="e">
        <f>(X221/S221)^(1/5)-1</f>
        <v>#DIV/0!</v>
      </c>
      <c r="AA221" s="305">
        <f>SUM('CWDM and DWDM'!F107:O115)</f>
        <v>3993.6590322239094</v>
      </c>
    </row>
    <row r="222" spans="2:27" x14ac:dyDescent="0.35">
      <c r="B222" s="24" t="s">
        <v>224</v>
      </c>
      <c r="C222" s="55">
        <f>'CWDM and DWDM'!F54</f>
        <v>713971.01357053127</v>
      </c>
      <c r="D222" s="55">
        <f>'CWDM and DWDM'!G54</f>
        <v>648563.05990269163</v>
      </c>
      <c r="E222" s="55">
        <f>'CWDM and DWDM'!H54</f>
        <v>0</v>
      </c>
      <c r="F222" s="55">
        <f>'CWDM and DWDM'!I54</f>
        <v>0</v>
      </c>
      <c r="G222" s="55">
        <f>'CWDM and DWDM'!J54</f>
        <v>0</v>
      </c>
      <c r="H222" s="55">
        <f>'CWDM and DWDM'!K54</f>
        <v>0</v>
      </c>
      <c r="I222" s="55">
        <f>'CWDM and DWDM'!L54</f>
        <v>0</v>
      </c>
      <c r="J222" s="55">
        <f>'CWDM and DWDM'!M54</f>
        <v>0</v>
      </c>
      <c r="K222" s="10">
        <f>'CWDM and DWDM'!N54</f>
        <v>0</v>
      </c>
      <c r="L222" s="10">
        <f>'CWDM and DWDM'!O54</f>
        <v>0</v>
      </c>
      <c r="M222" s="33"/>
      <c r="N222" s="24" t="str">
        <f>B222</f>
        <v>Rest of World</v>
      </c>
      <c r="O222" s="69">
        <f>'CWDM and DWDM'!F77</f>
        <v>770.86886596168711</v>
      </c>
      <c r="P222" s="69">
        <f>'CWDM and DWDM'!G77</f>
        <v>824.6489253499318</v>
      </c>
      <c r="Q222" s="69">
        <f>'CWDM and DWDM'!H77</f>
        <v>0</v>
      </c>
      <c r="R222" s="69">
        <f>'CWDM and DWDM'!I77</f>
        <v>0</v>
      </c>
      <c r="S222" s="69">
        <f>'CWDM and DWDM'!J77</f>
        <v>0</v>
      </c>
      <c r="T222" s="69">
        <f>'CWDM and DWDM'!K77</f>
        <v>0</v>
      </c>
      <c r="U222" s="69">
        <f>'CWDM and DWDM'!L77</f>
        <v>0</v>
      </c>
      <c r="V222" s="69">
        <f>'CWDM and DWDM'!M77</f>
        <v>0</v>
      </c>
      <c r="W222" s="69">
        <f>'CWDM and DWDM'!N77</f>
        <v>0</v>
      </c>
      <c r="X222" s="69">
        <f>'CWDM and DWDM'!O77</f>
        <v>0</v>
      </c>
      <c r="Y222" s="155" t="e">
        <f>(X222/S222)^(1/5)-1</f>
        <v>#DIV/0!</v>
      </c>
      <c r="AA222" s="304"/>
    </row>
    <row r="223" spans="2:27" x14ac:dyDescent="0.35">
      <c r="B223" s="187" t="s">
        <v>253</v>
      </c>
      <c r="C223" s="193">
        <f t="shared" ref="C223:J223" si="37">C222+C221</f>
        <v>1032208</v>
      </c>
      <c r="D223" s="193">
        <f t="shared" si="37"/>
        <v>905755</v>
      </c>
      <c r="E223" s="193">
        <f t="shared" si="37"/>
        <v>0</v>
      </c>
      <c r="F223" s="193">
        <f t="shared" si="37"/>
        <v>0</v>
      </c>
      <c r="G223" s="193">
        <f t="shared" si="37"/>
        <v>0</v>
      </c>
      <c r="H223" s="193">
        <f t="shared" si="37"/>
        <v>0</v>
      </c>
      <c r="I223" s="193">
        <f t="shared" si="37"/>
        <v>0</v>
      </c>
      <c r="J223" s="193">
        <f t="shared" si="37"/>
        <v>0</v>
      </c>
      <c r="K223" s="130">
        <f>K222+K221</f>
        <v>0</v>
      </c>
      <c r="L223" s="130">
        <f>L222+L221</f>
        <v>0</v>
      </c>
      <c r="M223" s="33"/>
      <c r="N223" s="187" t="str">
        <f>B223</f>
        <v>Global</v>
      </c>
      <c r="O223" s="329">
        <f t="shared" ref="O223:V223" si="38">O222+O221</f>
        <v>1017.8748851956882</v>
      </c>
      <c r="P223" s="329">
        <f t="shared" si="38"/>
        <v>978.95463091626664</v>
      </c>
      <c r="Q223" s="329">
        <f t="shared" si="38"/>
        <v>0</v>
      </c>
      <c r="R223" s="329">
        <f t="shared" si="38"/>
        <v>0</v>
      </c>
      <c r="S223" s="329">
        <f t="shared" si="38"/>
        <v>0</v>
      </c>
      <c r="T223" s="329">
        <f t="shared" si="38"/>
        <v>0</v>
      </c>
      <c r="U223" s="329">
        <f t="shared" si="38"/>
        <v>0</v>
      </c>
      <c r="V223" s="329">
        <f t="shared" si="38"/>
        <v>0</v>
      </c>
      <c r="W223" s="329">
        <f>W222+W221</f>
        <v>0</v>
      </c>
      <c r="X223" s="329">
        <f>X222+X221</f>
        <v>0</v>
      </c>
      <c r="Y223" s="155" t="e">
        <f>(X223/S223)^(1/5)-1</f>
        <v>#DIV/0!</v>
      </c>
    </row>
    <row r="224" spans="2:27" x14ac:dyDescent="0.35">
      <c r="B224" s="454" t="s">
        <v>273</v>
      </c>
      <c r="C224" s="455">
        <f t="shared" ref="C224:L224" si="39">IF(C221=0,"",C221/C223)</f>
        <v>0.30830703349467226</v>
      </c>
      <c r="D224" s="455">
        <f t="shared" si="39"/>
        <v>0.28395310000751678</v>
      </c>
      <c r="E224" s="455" t="str">
        <f t="shared" si="39"/>
        <v/>
      </c>
      <c r="F224" s="455" t="str">
        <f t="shared" si="39"/>
        <v/>
      </c>
      <c r="G224" s="455" t="str">
        <f t="shared" si="39"/>
        <v/>
      </c>
      <c r="H224" s="455" t="str">
        <f t="shared" si="39"/>
        <v/>
      </c>
      <c r="I224" s="455" t="str">
        <f t="shared" si="39"/>
        <v/>
      </c>
      <c r="J224" s="455" t="str">
        <f t="shared" si="39"/>
        <v/>
      </c>
      <c r="K224" s="455" t="str">
        <f t="shared" si="39"/>
        <v/>
      </c>
      <c r="L224" s="455" t="str">
        <f t="shared" si="39"/>
        <v/>
      </c>
      <c r="M224" s="33"/>
      <c r="N224" s="454" t="s">
        <v>273</v>
      </c>
      <c r="O224" s="455">
        <f t="shared" ref="O224:X224" si="40">IF(O221=0,"",O221/O223)</f>
        <v>0.24266835033120371</v>
      </c>
      <c r="P224" s="455">
        <f t="shared" si="40"/>
        <v>0.15762293848276723</v>
      </c>
      <c r="Q224" s="455" t="str">
        <f t="shared" si="40"/>
        <v/>
      </c>
      <c r="R224" s="455" t="str">
        <f t="shared" si="40"/>
        <v/>
      </c>
      <c r="S224" s="455" t="str">
        <f t="shared" si="40"/>
        <v/>
      </c>
      <c r="T224" s="455" t="str">
        <f t="shared" si="40"/>
        <v/>
      </c>
      <c r="U224" s="455" t="str">
        <f t="shared" si="40"/>
        <v/>
      </c>
      <c r="V224" s="455" t="str">
        <f t="shared" si="40"/>
        <v/>
      </c>
      <c r="W224" s="455" t="str">
        <f t="shared" si="40"/>
        <v/>
      </c>
      <c r="X224" s="455" t="str">
        <f t="shared" si="40"/>
        <v/>
      </c>
      <c r="Z224" s="157"/>
    </row>
    <row r="225" spans="1:26" x14ac:dyDescent="0.35">
      <c r="B225" s="31"/>
      <c r="C225" s="32"/>
      <c r="D225" s="32"/>
      <c r="E225" s="32"/>
      <c r="F225" s="32"/>
      <c r="G225" s="32"/>
      <c r="H225" s="32"/>
      <c r="I225" s="32"/>
      <c r="J225" s="33"/>
      <c r="K225" s="33"/>
      <c r="L225" s="33"/>
      <c r="M225" s="33"/>
      <c r="N225" s="33" t="s">
        <v>61</v>
      </c>
      <c r="O225" s="67"/>
      <c r="P225" s="67"/>
      <c r="Q225" s="67"/>
      <c r="R225" s="67"/>
      <c r="S225" s="152"/>
      <c r="T225" s="152"/>
      <c r="U225" s="152"/>
      <c r="V225" s="152"/>
      <c r="W225" s="152"/>
      <c r="X225" s="152"/>
      <c r="Z225" s="158"/>
    </row>
    <row r="226" spans="1:26" x14ac:dyDescent="0.35">
      <c r="A226" s="56"/>
      <c r="B226" s="93" t="s">
        <v>279</v>
      </c>
      <c r="C226" s="61"/>
      <c r="D226" s="61"/>
      <c r="E226" s="61"/>
      <c r="F226" s="61"/>
      <c r="G226" s="61"/>
      <c r="H226" s="61"/>
      <c r="I226" s="61"/>
      <c r="J226" s="50"/>
      <c r="K226" s="50"/>
      <c r="L226" s="50"/>
      <c r="M226" s="33"/>
      <c r="N226" s="93" t="s">
        <v>276</v>
      </c>
      <c r="O226" s="17"/>
      <c r="P226" s="17"/>
      <c r="Q226" s="17"/>
      <c r="R226" s="17"/>
      <c r="S226" s="152"/>
      <c r="T226" s="152"/>
      <c r="U226" s="152"/>
      <c r="V226" s="152"/>
      <c r="W226" s="152"/>
      <c r="X226" s="152"/>
      <c r="Z226" s="152"/>
    </row>
    <row r="227" spans="1:26" x14ac:dyDescent="0.35">
      <c r="B227" s="31"/>
      <c r="C227" s="32"/>
      <c r="D227" s="32"/>
      <c r="E227" s="32"/>
      <c r="F227" s="32"/>
      <c r="G227" s="32"/>
      <c r="H227" s="32"/>
      <c r="I227" s="32"/>
      <c r="J227" s="33"/>
      <c r="K227" s="33"/>
      <c r="L227" s="33"/>
      <c r="M227" s="33"/>
      <c r="N227" s="33"/>
      <c r="O227" s="17"/>
      <c r="P227" s="17"/>
      <c r="Q227" s="17"/>
      <c r="R227" s="17"/>
      <c r="S227" s="152"/>
      <c r="T227" s="152"/>
      <c r="U227" s="152"/>
      <c r="V227" s="152"/>
      <c r="W227" s="152"/>
      <c r="X227" s="152"/>
      <c r="Z227" s="152"/>
    </row>
    <row r="228" spans="1:26" x14ac:dyDescent="0.35">
      <c r="B228" s="31"/>
      <c r="C228" s="32"/>
      <c r="D228" s="32"/>
      <c r="E228" s="32"/>
      <c r="F228" s="32"/>
      <c r="G228" s="32"/>
      <c r="H228" s="32"/>
      <c r="I228" s="32"/>
      <c r="J228" s="33"/>
      <c r="K228" s="33"/>
      <c r="L228" s="33"/>
      <c r="M228" s="33"/>
      <c r="N228" s="33"/>
      <c r="O228" s="17"/>
      <c r="P228" s="17"/>
      <c r="Q228" s="17"/>
      <c r="R228" s="17"/>
      <c r="S228" s="152"/>
      <c r="T228" s="152"/>
      <c r="U228" s="152"/>
      <c r="V228" s="152"/>
      <c r="W228" s="152"/>
      <c r="X228" s="152"/>
      <c r="Z228" s="152"/>
    </row>
    <row r="229" spans="1:26" x14ac:dyDescent="0.35">
      <c r="B229" s="31"/>
      <c r="C229" s="32"/>
      <c r="D229" s="32"/>
      <c r="E229" s="32"/>
      <c r="F229" s="32"/>
      <c r="G229" s="32"/>
      <c r="H229" s="32"/>
      <c r="I229" s="32"/>
      <c r="J229" s="33"/>
      <c r="K229" s="33"/>
      <c r="L229" s="33"/>
      <c r="M229" s="33"/>
      <c r="N229" s="33"/>
      <c r="O229" s="17"/>
      <c r="P229" s="17"/>
      <c r="Q229" s="17"/>
      <c r="R229" s="17"/>
      <c r="S229" s="152"/>
      <c r="T229" s="152"/>
      <c r="U229" s="152"/>
      <c r="V229" s="152"/>
      <c r="W229" s="152"/>
      <c r="X229" s="152"/>
      <c r="Z229" s="152"/>
    </row>
    <row r="230" spans="1:26" x14ac:dyDescent="0.35">
      <c r="B230" s="31"/>
      <c r="C230" s="32"/>
      <c r="D230" s="32"/>
      <c r="E230" s="32"/>
      <c r="F230" s="32"/>
      <c r="G230" s="32"/>
      <c r="H230" s="32"/>
      <c r="I230" s="32"/>
      <c r="J230" s="33"/>
      <c r="K230" s="33"/>
      <c r="L230" s="33"/>
      <c r="M230" s="33"/>
      <c r="N230" s="33"/>
      <c r="O230" s="17"/>
      <c r="P230" s="17"/>
      <c r="Q230" s="17"/>
      <c r="R230" s="17"/>
      <c r="S230" s="152"/>
      <c r="T230" s="152"/>
      <c r="U230" s="152"/>
      <c r="V230" s="152"/>
      <c r="W230" s="152"/>
      <c r="X230" s="152"/>
      <c r="Z230" s="152"/>
    </row>
    <row r="231" spans="1:26" x14ac:dyDescent="0.35">
      <c r="B231" s="31"/>
      <c r="C231" s="32"/>
      <c r="D231" s="32"/>
      <c r="E231" s="32"/>
      <c r="F231" s="32"/>
      <c r="G231" s="32"/>
      <c r="H231" s="32"/>
      <c r="I231" s="32"/>
      <c r="J231" s="33"/>
      <c r="K231" s="33"/>
      <c r="L231" s="33"/>
      <c r="M231" s="33"/>
      <c r="N231" s="33"/>
      <c r="O231" s="17"/>
      <c r="P231" s="17"/>
      <c r="Q231" s="17"/>
      <c r="R231" s="17"/>
      <c r="S231" s="152"/>
      <c r="T231" s="152"/>
      <c r="U231" s="152"/>
      <c r="V231" s="152"/>
      <c r="W231" s="152"/>
      <c r="X231" s="152"/>
      <c r="Z231" s="152"/>
    </row>
    <row r="232" spans="1:26" x14ac:dyDescent="0.35">
      <c r="B232" s="31"/>
      <c r="C232" s="32"/>
      <c r="D232" s="32"/>
      <c r="E232" s="32"/>
      <c r="F232" s="32"/>
      <c r="G232" s="32"/>
      <c r="H232" s="32"/>
      <c r="I232" s="32"/>
      <c r="J232" s="33"/>
      <c r="K232" s="33"/>
      <c r="L232" s="33"/>
      <c r="M232" s="33"/>
      <c r="N232" s="33"/>
      <c r="O232" s="17"/>
      <c r="P232" s="17"/>
      <c r="Q232" s="17"/>
      <c r="R232" s="17"/>
      <c r="S232" s="152"/>
      <c r="T232" s="152"/>
      <c r="U232" s="152"/>
      <c r="V232" s="152"/>
      <c r="W232" s="152"/>
      <c r="X232" s="152"/>
      <c r="Z232" s="152"/>
    </row>
    <row r="233" spans="1:26" x14ac:dyDescent="0.35">
      <c r="B233" s="31"/>
      <c r="C233" s="32"/>
      <c r="D233" s="32"/>
      <c r="E233" s="32"/>
      <c r="F233" s="32"/>
      <c r="G233" s="32"/>
      <c r="H233" s="32"/>
      <c r="I233" s="32"/>
      <c r="J233" s="33"/>
      <c r="K233" s="33"/>
      <c r="L233" s="33"/>
      <c r="M233" s="33"/>
      <c r="N233" s="33"/>
      <c r="O233" s="17"/>
      <c r="P233" s="17"/>
      <c r="Q233" s="17"/>
      <c r="R233" s="17"/>
      <c r="S233" s="152"/>
      <c r="T233" s="152"/>
      <c r="U233" s="152"/>
      <c r="V233" s="152"/>
      <c r="W233" s="152"/>
      <c r="X233" s="152"/>
      <c r="Z233" s="152"/>
    </row>
    <row r="234" spans="1:26" x14ac:dyDescent="0.35">
      <c r="B234" s="31"/>
      <c r="C234" s="32"/>
      <c r="D234" s="32"/>
      <c r="E234" s="32"/>
      <c r="F234" s="32"/>
      <c r="G234" s="32"/>
      <c r="H234" s="32"/>
      <c r="I234" s="32"/>
      <c r="J234" s="33"/>
      <c r="K234" s="33"/>
      <c r="L234" s="33"/>
      <c r="M234" s="33"/>
      <c r="N234" s="33"/>
      <c r="O234" s="17"/>
      <c r="P234" s="17"/>
      <c r="Q234" s="17"/>
      <c r="R234" s="17"/>
      <c r="S234" s="152"/>
      <c r="T234" s="152"/>
      <c r="U234" s="152"/>
      <c r="V234" s="152"/>
      <c r="W234" s="152"/>
      <c r="X234" s="152"/>
      <c r="Z234" s="152"/>
    </row>
    <row r="235" spans="1:26" x14ac:dyDescent="0.35">
      <c r="B235" s="31"/>
      <c r="C235" s="32"/>
      <c r="D235" s="32"/>
      <c r="E235" s="32"/>
      <c r="F235" s="32"/>
      <c r="G235" s="32"/>
      <c r="H235" s="32"/>
      <c r="I235" s="32"/>
      <c r="J235" s="33"/>
      <c r="K235" s="33"/>
      <c r="L235" s="33"/>
      <c r="M235" s="33"/>
      <c r="N235" s="33"/>
      <c r="O235" s="17"/>
      <c r="P235" s="17"/>
      <c r="Q235" s="17"/>
      <c r="R235" s="17"/>
      <c r="S235" s="152"/>
      <c r="T235" s="152"/>
      <c r="U235" s="152"/>
      <c r="V235" s="152"/>
      <c r="W235" s="152"/>
      <c r="X235" s="152"/>
      <c r="Z235" s="152"/>
    </row>
    <row r="236" spans="1:26" x14ac:dyDescent="0.35">
      <c r="B236" s="31"/>
      <c r="C236" s="32"/>
      <c r="D236" s="32"/>
      <c r="E236" s="32"/>
      <c r="F236" s="32"/>
      <c r="G236" s="32"/>
      <c r="H236" s="32"/>
      <c r="I236" s="32"/>
      <c r="J236" s="33"/>
      <c r="K236" s="33"/>
      <c r="L236" s="33"/>
      <c r="M236" s="33"/>
      <c r="N236" s="33"/>
      <c r="O236" s="17"/>
      <c r="P236" s="17"/>
      <c r="Q236" s="17"/>
      <c r="R236" s="17"/>
      <c r="S236" s="152"/>
      <c r="T236" s="152"/>
      <c r="U236" s="152"/>
      <c r="V236" s="152"/>
      <c r="W236" s="152"/>
      <c r="X236" s="152"/>
      <c r="Z236" s="152"/>
    </row>
    <row r="237" spans="1:26" x14ac:dyDescent="0.35">
      <c r="B237" s="31"/>
      <c r="C237" s="32"/>
      <c r="D237" s="32"/>
      <c r="E237" s="32"/>
      <c r="F237" s="32"/>
      <c r="G237" s="32"/>
      <c r="H237" s="32"/>
      <c r="I237" s="32"/>
      <c r="J237" s="33"/>
      <c r="K237" s="33"/>
      <c r="L237" s="33"/>
      <c r="M237" s="33"/>
      <c r="N237" s="33"/>
      <c r="O237" s="17"/>
      <c r="P237" s="17"/>
      <c r="Q237" s="17"/>
      <c r="R237" s="17"/>
      <c r="S237" s="152"/>
      <c r="T237" s="152"/>
      <c r="U237" s="152"/>
      <c r="V237" s="152"/>
      <c r="W237" s="152"/>
      <c r="X237" s="152"/>
      <c r="Z237" s="152"/>
    </row>
    <row r="238" spans="1:26" x14ac:dyDescent="0.35">
      <c r="B238" s="31"/>
      <c r="C238" s="32"/>
      <c r="D238" s="32"/>
      <c r="E238" s="32"/>
      <c r="F238" s="32"/>
      <c r="G238" s="32"/>
      <c r="H238" s="32"/>
      <c r="I238" s="32"/>
      <c r="J238" s="33"/>
      <c r="K238" s="33"/>
      <c r="L238" s="33"/>
      <c r="M238" s="33"/>
      <c r="N238" s="33"/>
      <c r="O238" s="17"/>
      <c r="P238" s="17"/>
      <c r="Q238" s="17"/>
      <c r="R238" s="17"/>
      <c r="S238" s="152"/>
      <c r="T238" s="152"/>
      <c r="U238" s="152"/>
      <c r="V238" s="152"/>
      <c r="W238" s="152"/>
      <c r="X238" s="152"/>
      <c r="Z238" s="152"/>
    </row>
    <row r="239" spans="1:26" x14ac:dyDescent="0.35">
      <c r="B239" s="31"/>
      <c r="C239" s="32"/>
      <c r="D239" s="32"/>
      <c r="E239" s="32"/>
      <c r="F239" s="32"/>
      <c r="G239" s="32"/>
      <c r="H239" s="32"/>
      <c r="I239" s="32"/>
      <c r="J239" s="33"/>
      <c r="K239" s="33"/>
      <c r="L239" s="33"/>
      <c r="M239" s="33"/>
      <c r="N239" s="33"/>
      <c r="O239" s="17"/>
      <c r="P239" s="17"/>
      <c r="Q239" s="17"/>
      <c r="R239" s="17"/>
      <c r="S239" s="152"/>
      <c r="T239" s="152"/>
      <c r="U239" s="152"/>
      <c r="V239" s="152"/>
      <c r="W239" s="152"/>
      <c r="X239" s="152"/>
      <c r="Z239" s="152"/>
    </row>
    <row r="240" spans="1:26" x14ac:dyDescent="0.35">
      <c r="B240" s="31"/>
      <c r="C240" s="32"/>
      <c r="D240" s="32"/>
      <c r="E240" s="32"/>
      <c r="F240" s="32"/>
      <c r="G240" s="32"/>
      <c r="H240" s="32"/>
      <c r="I240" s="32"/>
      <c r="J240" s="33"/>
      <c r="K240" s="33"/>
      <c r="L240" s="33"/>
      <c r="M240" s="33"/>
      <c r="N240" s="33"/>
      <c r="O240" s="17"/>
      <c r="P240" s="17"/>
      <c r="Q240" s="17"/>
      <c r="R240" s="17"/>
      <c r="S240" s="152"/>
      <c r="T240" s="152"/>
      <c r="U240" s="152"/>
      <c r="V240" s="152"/>
      <c r="W240" s="152"/>
      <c r="X240" s="152"/>
      <c r="Z240" s="152"/>
    </row>
    <row r="241" spans="2:27" x14ac:dyDescent="0.35">
      <c r="B241" s="31"/>
      <c r="C241" s="32"/>
      <c r="D241" s="32"/>
      <c r="E241" s="32"/>
      <c r="F241" s="32"/>
      <c r="G241" s="32"/>
      <c r="H241" s="32"/>
      <c r="I241" s="32"/>
      <c r="J241" s="33"/>
      <c r="K241" s="33"/>
      <c r="L241" s="33"/>
      <c r="M241" s="33"/>
      <c r="N241" s="33"/>
      <c r="O241" s="17"/>
      <c r="P241" s="17"/>
      <c r="Q241" s="17"/>
      <c r="R241" s="17"/>
      <c r="S241" s="152"/>
      <c r="T241" s="152"/>
      <c r="U241" s="152"/>
      <c r="V241" s="152"/>
      <c r="W241" s="152"/>
      <c r="X241" s="152"/>
      <c r="Z241" s="152"/>
    </row>
    <row r="242" spans="2:27" x14ac:dyDescent="0.35">
      <c r="B242" s="31"/>
      <c r="C242" s="32"/>
      <c r="D242" s="32"/>
      <c r="E242" s="32"/>
      <c r="F242" s="32"/>
      <c r="G242" s="32"/>
      <c r="H242" s="32"/>
      <c r="I242" s="32"/>
      <c r="J242" s="33"/>
      <c r="K242" s="33"/>
      <c r="L242" s="33"/>
      <c r="M242" s="33"/>
      <c r="N242" s="33"/>
      <c r="O242" s="17"/>
      <c r="P242" s="17"/>
      <c r="Q242" s="17"/>
      <c r="R242" s="17"/>
      <c r="S242" s="152"/>
      <c r="T242" s="152"/>
      <c r="U242" s="152"/>
      <c r="V242" s="152"/>
      <c r="W242" s="152"/>
      <c r="X242" s="152"/>
      <c r="Z242" s="152"/>
    </row>
    <row r="243" spans="2:27" x14ac:dyDescent="0.35">
      <c r="B243" s="31"/>
      <c r="C243" s="32"/>
      <c r="D243" s="32"/>
      <c r="E243" s="32"/>
      <c r="F243" s="32"/>
      <c r="G243" s="32"/>
      <c r="H243" s="32"/>
      <c r="I243" s="32"/>
      <c r="J243" s="33"/>
      <c r="K243" s="33"/>
      <c r="L243" s="33"/>
      <c r="M243" s="33"/>
      <c r="N243" s="33"/>
      <c r="O243" s="17"/>
      <c r="P243" s="17"/>
      <c r="Q243" s="17"/>
      <c r="R243" s="17"/>
      <c r="S243" s="152"/>
      <c r="T243" s="152"/>
      <c r="U243" s="152"/>
      <c r="V243" s="152"/>
      <c r="W243" s="152"/>
      <c r="X243" s="152"/>
      <c r="Z243" s="152"/>
    </row>
    <row r="244" spans="2:27" x14ac:dyDescent="0.35">
      <c r="B244" s="31"/>
      <c r="C244" s="32"/>
      <c r="D244" s="32"/>
      <c r="E244" s="32"/>
      <c r="F244" s="32"/>
      <c r="G244" s="32"/>
      <c r="H244" s="32"/>
      <c r="I244" s="32"/>
      <c r="J244" s="33"/>
      <c r="K244" s="33"/>
      <c r="L244" s="33"/>
      <c r="M244" s="33"/>
      <c r="N244" s="33"/>
      <c r="O244" s="17"/>
      <c r="P244" s="17"/>
      <c r="Q244" s="17"/>
      <c r="R244" s="17"/>
      <c r="S244" s="152"/>
      <c r="T244" s="152"/>
      <c r="U244" s="152"/>
      <c r="V244" s="152"/>
      <c r="W244" s="152"/>
      <c r="X244" s="152"/>
      <c r="Z244" s="152"/>
    </row>
    <row r="245" spans="2:27" x14ac:dyDescent="0.35">
      <c r="B245" s="31"/>
      <c r="C245" s="32"/>
      <c r="D245" s="32"/>
      <c r="E245" s="32"/>
      <c r="F245" s="32"/>
      <c r="G245" s="32"/>
      <c r="H245" s="32"/>
      <c r="I245" s="32"/>
      <c r="J245" s="33"/>
      <c r="K245" s="33"/>
      <c r="L245" s="33"/>
      <c r="M245" s="33"/>
      <c r="N245" s="33"/>
      <c r="O245" s="17"/>
      <c r="P245" s="17"/>
      <c r="Q245" s="17"/>
      <c r="R245" s="17"/>
      <c r="S245" s="152"/>
      <c r="T245" s="152"/>
      <c r="U245" s="152"/>
      <c r="V245" s="152"/>
      <c r="W245" s="152"/>
      <c r="X245" s="152"/>
      <c r="Z245" s="152"/>
    </row>
    <row r="246" spans="2:27" x14ac:dyDescent="0.35">
      <c r="B246" s="31"/>
      <c r="C246" s="32"/>
      <c r="D246" s="32"/>
      <c r="E246" s="32"/>
      <c r="F246" s="32"/>
      <c r="G246" s="32"/>
      <c r="H246" s="32"/>
      <c r="I246" s="32"/>
      <c r="J246" s="33"/>
      <c r="K246" s="33"/>
      <c r="L246" s="33"/>
      <c r="M246" s="33"/>
      <c r="N246" s="33"/>
      <c r="O246" s="17"/>
      <c r="P246" s="17"/>
      <c r="Q246" s="17"/>
      <c r="R246" s="17"/>
      <c r="S246" s="152"/>
      <c r="T246" s="152"/>
      <c r="U246" s="152"/>
      <c r="V246" s="152"/>
      <c r="W246" s="152"/>
      <c r="X246" s="152"/>
      <c r="Z246" s="152"/>
    </row>
    <row r="247" spans="2:27" x14ac:dyDescent="0.35">
      <c r="B247" s="31"/>
      <c r="C247" s="32"/>
      <c r="D247" s="32"/>
      <c r="E247" s="32"/>
      <c r="F247" s="32"/>
      <c r="G247" s="32"/>
      <c r="H247" s="32"/>
      <c r="I247" s="32"/>
      <c r="J247" s="33"/>
      <c r="K247" s="33"/>
      <c r="L247" s="33"/>
      <c r="M247" s="33"/>
      <c r="N247" s="33"/>
      <c r="O247" s="17"/>
      <c r="P247" s="17"/>
      <c r="Q247" s="17"/>
      <c r="R247" s="17"/>
      <c r="S247" s="152"/>
      <c r="T247" s="152"/>
      <c r="U247" s="152"/>
      <c r="V247" s="152"/>
      <c r="W247" s="152"/>
      <c r="X247" s="152"/>
      <c r="Z247" s="152"/>
    </row>
    <row r="248" spans="2:27" x14ac:dyDescent="0.35">
      <c r="B248" s="31"/>
      <c r="C248" s="32"/>
      <c r="D248" s="32"/>
      <c r="E248" s="32"/>
      <c r="F248" s="32"/>
      <c r="G248" s="32"/>
      <c r="H248" s="32"/>
      <c r="I248" s="32"/>
      <c r="J248" s="33"/>
      <c r="K248" s="33"/>
      <c r="L248" s="33"/>
      <c r="M248" s="33"/>
      <c r="N248" s="33"/>
      <c r="O248" s="17"/>
      <c r="P248" s="17"/>
      <c r="Q248" s="17"/>
      <c r="R248" s="17"/>
      <c r="S248" s="152"/>
      <c r="T248" s="152"/>
      <c r="U248" s="152"/>
      <c r="V248" s="152"/>
      <c r="W248" s="152"/>
      <c r="X248" s="152"/>
      <c r="Z248" s="152"/>
    </row>
    <row r="249" spans="2:27" x14ac:dyDescent="0.35">
      <c r="B249" s="31"/>
      <c r="C249" s="32"/>
      <c r="D249" s="32"/>
      <c r="E249" s="32"/>
      <c r="F249" s="32"/>
      <c r="G249" s="32"/>
      <c r="H249" s="32"/>
      <c r="I249" s="32"/>
      <c r="J249" s="33"/>
      <c r="K249" s="33"/>
      <c r="L249" s="33"/>
      <c r="M249" s="33"/>
      <c r="N249" s="33"/>
      <c r="O249" s="17"/>
      <c r="P249" s="17"/>
      <c r="Q249" s="17"/>
      <c r="R249" s="17"/>
      <c r="S249" s="152"/>
      <c r="T249" s="152"/>
      <c r="U249" s="152"/>
      <c r="V249" s="152"/>
      <c r="W249" s="152"/>
      <c r="X249" s="152"/>
      <c r="Z249" s="152"/>
    </row>
    <row r="250" spans="2:27" x14ac:dyDescent="0.35">
      <c r="B250" s="84"/>
      <c r="C250" s="61"/>
      <c r="D250" s="61"/>
      <c r="E250" s="61"/>
      <c r="F250" s="61"/>
      <c r="G250" s="61"/>
      <c r="H250" s="61"/>
      <c r="I250" s="61"/>
      <c r="J250" s="65"/>
      <c r="K250" s="65"/>
      <c r="L250" s="65"/>
      <c r="M250" s="33"/>
      <c r="O250" s="17"/>
      <c r="P250" s="17"/>
      <c r="Q250" s="17"/>
      <c r="R250" s="17"/>
      <c r="S250" s="152"/>
      <c r="T250" s="152"/>
      <c r="U250" s="152"/>
      <c r="V250" s="152"/>
      <c r="W250" s="152"/>
      <c r="X250" s="152"/>
      <c r="Z250" s="152"/>
    </row>
    <row r="251" spans="2:27" x14ac:dyDescent="0.35">
      <c r="B251" s="84" t="s">
        <v>278</v>
      </c>
      <c r="C251" s="61"/>
      <c r="D251" s="61"/>
      <c r="E251" s="61"/>
      <c r="F251" s="61"/>
      <c r="G251" s="61"/>
      <c r="H251" s="61"/>
      <c r="I251" s="61"/>
      <c r="J251" s="426"/>
      <c r="K251" s="565"/>
      <c r="L251" s="666"/>
      <c r="M251" s="33"/>
      <c r="N251" s="85" t="s">
        <v>277</v>
      </c>
      <c r="O251" s="426"/>
      <c r="P251" s="426"/>
      <c r="Q251" s="426"/>
      <c r="R251" s="426"/>
      <c r="S251" s="426"/>
      <c r="T251" s="426"/>
      <c r="U251" s="426"/>
      <c r="V251" s="426"/>
      <c r="W251" s="565"/>
      <c r="X251" s="666"/>
      <c r="Y251" s="141" t="s">
        <v>2</v>
      </c>
    </row>
    <row r="252" spans="2:27" x14ac:dyDescent="0.35">
      <c r="B252" s="185" t="s">
        <v>70</v>
      </c>
      <c r="C252" s="123">
        <v>2016</v>
      </c>
      <c r="D252" s="140">
        <v>2017</v>
      </c>
      <c r="E252" s="140">
        <v>2018</v>
      </c>
      <c r="F252" s="123">
        <v>2019</v>
      </c>
      <c r="G252" s="123">
        <v>2020</v>
      </c>
      <c r="H252" s="123">
        <v>2021</v>
      </c>
      <c r="I252" s="123">
        <v>2022</v>
      </c>
      <c r="J252" s="123">
        <v>2023</v>
      </c>
      <c r="K252" s="123">
        <v>2024</v>
      </c>
      <c r="L252" s="123">
        <v>2025</v>
      </c>
      <c r="M252" s="33"/>
      <c r="N252" s="185" t="s">
        <v>70</v>
      </c>
      <c r="O252" s="124">
        <v>2016</v>
      </c>
      <c r="P252" s="123">
        <v>2017</v>
      </c>
      <c r="Q252" s="140">
        <v>2018</v>
      </c>
      <c r="R252" s="140">
        <v>2019</v>
      </c>
      <c r="S252" s="140">
        <v>2020</v>
      </c>
      <c r="T252" s="140">
        <v>2021</v>
      </c>
      <c r="U252" s="140">
        <v>2022</v>
      </c>
      <c r="V252" s="140">
        <v>2023</v>
      </c>
      <c r="W252" s="140">
        <v>2024</v>
      </c>
      <c r="X252" s="140">
        <v>2025</v>
      </c>
      <c r="Y252" s="123" t="str">
        <f>$Y$98</f>
        <v>2020-2025</v>
      </c>
      <c r="AA252" s="304">
        <f>SUM(O253:X255)</f>
        <v>2694.9584748599996</v>
      </c>
    </row>
    <row r="253" spans="2:27" x14ac:dyDescent="0.35">
      <c r="B253" s="24" t="s">
        <v>199</v>
      </c>
      <c r="C253" s="55">
        <f>SUM('CWDM and DWDM'!F12:F14)</f>
        <v>15334.036429468611</v>
      </c>
      <c r="D253" s="55">
        <f>SUM('CWDM and DWDM'!G12:G14)</f>
        <v>11069.700097308325</v>
      </c>
      <c r="E253" s="55">
        <f>SUM('CWDM and DWDM'!H12:H14)</f>
        <v>0</v>
      </c>
      <c r="F253" s="55">
        <f>SUM('CWDM and DWDM'!I12:I14)</f>
        <v>0</v>
      </c>
      <c r="G253" s="55">
        <f>SUM('CWDM and DWDM'!J12:J14)</f>
        <v>0</v>
      </c>
      <c r="H253" s="55">
        <f>SUM('CWDM and DWDM'!K12:K14)</f>
        <v>0</v>
      </c>
      <c r="I253" s="55">
        <f>SUM('CWDM and DWDM'!L12:L14)</f>
        <v>0</v>
      </c>
      <c r="J253" s="55">
        <f>SUM('CWDM and DWDM'!M12:M14)</f>
        <v>0</v>
      </c>
      <c r="K253" s="147">
        <f>SUM('CWDM and DWDM'!N12:N14)</f>
        <v>0</v>
      </c>
      <c r="L253" s="147">
        <f>SUM('CWDM and DWDM'!O12:O14)</f>
        <v>0</v>
      </c>
      <c r="M253" s="33"/>
      <c r="N253" s="24" t="str">
        <f>B253</f>
        <v>China</v>
      </c>
      <c r="O253" s="125">
        <f>SUM('CWDM and DWDM'!F35:F37)</f>
        <v>144.64841493098837</v>
      </c>
      <c r="P253" s="125">
        <f>SUM('CWDM and DWDM'!G35:G37)</f>
        <v>67.091905190312232</v>
      </c>
      <c r="Q253" s="125">
        <f>SUM('CWDM and DWDM'!H35:H37)</f>
        <v>0</v>
      </c>
      <c r="R253" s="125">
        <f>SUM('CWDM and DWDM'!I35:I37)</f>
        <v>0</v>
      </c>
      <c r="S253" s="125">
        <f>SUM('CWDM and DWDM'!J35:J37)</f>
        <v>0</v>
      </c>
      <c r="T253" s="125">
        <f>SUM('CWDM and DWDM'!K35:K37)</f>
        <v>0</v>
      </c>
      <c r="U253" s="125">
        <f>SUM('CWDM and DWDM'!L35:L37)</f>
        <v>0</v>
      </c>
      <c r="V253" s="125">
        <f>SUM('CWDM and DWDM'!M35:M37)</f>
        <v>0</v>
      </c>
      <c r="W253" s="125">
        <f>SUM('CWDM and DWDM'!N35:N37)</f>
        <v>0</v>
      </c>
      <c r="X253" s="125">
        <f>SUM('CWDM and DWDM'!O35:O37)</f>
        <v>0</v>
      </c>
      <c r="Y253" s="153" t="e">
        <f>(X253/S253)^(1/5)-1</f>
        <v>#DIV/0!</v>
      </c>
      <c r="AA253" s="305">
        <f>SUM('CWDM and DWDM'!F111:O113)*2</f>
        <v>2694.9584748599996</v>
      </c>
    </row>
    <row r="254" spans="2:27" x14ac:dyDescent="0.35">
      <c r="B254" s="24" t="s">
        <v>224</v>
      </c>
      <c r="C254" s="55">
        <f>SUM('CWDM and DWDM'!F50:F52)</f>
        <v>55281.963570531385</v>
      </c>
      <c r="D254" s="55">
        <f>SUM('CWDM and DWDM'!G50:G52)</f>
        <v>99254.29990269168</v>
      </c>
      <c r="E254" s="55">
        <f>SUM('CWDM and DWDM'!H50:H52)</f>
        <v>0</v>
      </c>
      <c r="F254" s="55">
        <f>SUM('CWDM and DWDM'!I50:I52)</f>
        <v>0</v>
      </c>
      <c r="G254" s="55">
        <f>SUM('CWDM and DWDM'!J50:J52)</f>
        <v>0</v>
      </c>
      <c r="H254" s="55">
        <f>SUM('CWDM and DWDM'!K50:K52)</f>
        <v>0</v>
      </c>
      <c r="I254" s="55">
        <f>SUM('CWDM and DWDM'!L50:L52)</f>
        <v>0</v>
      </c>
      <c r="J254" s="55">
        <f>SUM('CWDM and DWDM'!M50:M52)</f>
        <v>0</v>
      </c>
      <c r="K254" s="10">
        <f>SUM('CWDM and DWDM'!N50:N52)</f>
        <v>0</v>
      </c>
      <c r="L254" s="10">
        <f>SUM('CWDM and DWDM'!O50:O52)</f>
        <v>0</v>
      </c>
      <c r="M254" s="33"/>
      <c r="N254" s="24" t="str">
        <f>B254</f>
        <v>Rest of World</v>
      </c>
      <c r="O254" s="69">
        <f>SUM('CWDM and DWDM'!F73:F75)</f>
        <v>521.48359249901159</v>
      </c>
      <c r="P254" s="69">
        <f>SUM('CWDM and DWDM'!G73:G75)</f>
        <v>614.25532480968764</v>
      </c>
      <c r="Q254" s="69">
        <f>SUM('CWDM and DWDM'!H73:H75)</f>
        <v>0</v>
      </c>
      <c r="R254" s="69">
        <f>SUM('CWDM and DWDM'!I73:I75)</f>
        <v>0</v>
      </c>
      <c r="S254" s="69">
        <f>SUM('CWDM and DWDM'!J73:J75)</f>
        <v>0</v>
      </c>
      <c r="T254" s="69">
        <f>SUM('CWDM and DWDM'!K73:K75)</f>
        <v>0</v>
      </c>
      <c r="U254" s="69">
        <f>SUM('CWDM and DWDM'!L73:L75)</f>
        <v>0</v>
      </c>
      <c r="V254" s="69">
        <f>SUM('CWDM and DWDM'!M73:M75)</f>
        <v>0</v>
      </c>
      <c r="W254" s="69">
        <f>SUM('CWDM and DWDM'!N73:N75)</f>
        <v>0</v>
      </c>
      <c r="X254" s="69">
        <f>SUM('CWDM and DWDM'!O73:O75)</f>
        <v>0</v>
      </c>
      <c r="Y254" s="155" t="e">
        <f>(X254/S254)^(1/5)-1</f>
        <v>#DIV/0!</v>
      </c>
      <c r="AA254" s="304"/>
    </row>
    <row r="255" spans="2:27" x14ac:dyDescent="0.35">
      <c r="B255" s="187" t="s">
        <v>253</v>
      </c>
      <c r="C255" s="193">
        <f t="shared" ref="C255:J255" si="41">C254+C253</f>
        <v>70616</v>
      </c>
      <c r="D255" s="193">
        <f t="shared" si="41"/>
        <v>110324</v>
      </c>
      <c r="E255" s="193">
        <f t="shared" si="41"/>
        <v>0</v>
      </c>
      <c r="F255" s="193">
        <f t="shared" si="41"/>
        <v>0</v>
      </c>
      <c r="G255" s="193">
        <f t="shared" si="41"/>
        <v>0</v>
      </c>
      <c r="H255" s="193">
        <f t="shared" si="41"/>
        <v>0</v>
      </c>
      <c r="I255" s="193">
        <f t="shared" si="41"/>
        <v>0</v>
      </c>
      <c r="J255" s="193">
        <f t="shared" si="41"/>
        <v>0</v>
      </c>
      <c r="K255" s="130">
        <f>K254+K253</f>
        <v>0</v>
      </c>
      <c r="L255" s="130">
        <f>L254+L253</f>
        <v>0</v>
      </c>
      <c r="M255" s="33"/>
      <c r="N255" s="187" t="str">
        <f>B255</f>
        <v>Global</v>
      </c>
      <c r="O255" s="329">
        <f t="shared" ref="O255:V255" si="42">O254+O253</f>
        <v>666.13200742999993</v>
      </c>
      <c r="P255" s="329">
        <f t="shared" si="42"/>
        <v>681.34722999999985</v>
      </c>
      <c r="Q255" s="329">
        <f t="shared" si="42"/>
        <v>0</v>
      </c>
      <c r="R255" s="329">
        <f t="shared" si="42"/>
        <v>0</v>
      </c>
      <c r="S255" s="329">
        <f t="shared" si="42"/>
        <v>0</v>
      </c>
      <c r="T255" s="329">
        <f t="shared" si="42"/>
        <v>0</v>
      </c>
      <c r="U255" s="329">
        <f t="shared" si="42"/>
        <v>0</v>
      </c>
      <c r="V255" s="329">
        <f t="shared" si="42"/>
        <v>0</v>
      </c>
      <c r="W255" s="329">
        <f>W254+W253</f>
        <v>0</v>
      </c>
      <c r="X255" s="329">
        <f>X254+X253</f>
        <v>0</v>
      </c>
      <c r="Y255" s="155" t="e">
        <f>(X255/S255)^(1/5)-1</f>
        <v>#DIV/0!</v>
      </c>
    </row>
    <row r="256" spans="2:27" x14ac:dyDescent="0.35">
      <c r="B256" s="454" t="s">
        <v>273</v>
      </c>
      <c r="C256" s="455">
        <f t="shared" ref="C256:L256" si="43">IF(C253=0,"",C253/C255)</f>
        <v>0.217146771687275</v>
      </c>
      <c r="D256" s="455">
        <f t="shared" si="43"/>
        <v>0.10033809594746677</v>
      </c>
      <c r="E256" s="455" t="str">
        <f t="shared" si="43"/>
        <v/>
      </c>
      <c r="F256" s="455" t="str">
        <f t="shared" si="43"/>
        <v/>
      </c>
      <c r="G256" s="455" t="str">
        <f t="shared" si="43"/>
        <v/>
      </c>
      <c r="H256" s="455" t="str">
        <f t="shared" si="43"/>
        <v/>
      </c>
      <c r="I256" s="455" t="str">
        <f t="shared" si="43"/>
        <v/>
      </c>
      <c r="J256" s="455" t="str">
        <f t="shared" si="43"/>
        <v/>
      </c>
      <c r="K256" s="455" t="str">
        <f t="shared" si="43"/>
        <v/>
      </c>
      <c r="L256" s="455" t="str">
        <f t="shared" si="43"/>
        <v/>
      </c>
      <c r="M256" s="33"/>
      <c r="N256" s="454" t="s">
        <v>273</v>
      </c>
      <c r="O256" s="455">
        <f t="shared" ref="O256:X256" si="44">IF(O253=0,"",O253/O255)</f>
        <v>0.217146771687275</v>
      </c>
      <c r="P256" s="455">
        <f t="shared" si="44"/>
        <v>9.8469476701787198E-2</v>
      </c>
      <c r="Q256" s="455" t="str">
        <f t="shared" si="44"/>
        <v/>
      </c>
      <c r="R256" s="455" t="str">
        <f t="shared" si="44"/>
        <v/>
      </c>
      <c r="S256" s="455" t="str">
        <f t="shared" si="44"/>
        <v/>
      </c>
      <c r="T256" s="455" t="str">
        <f t="shared" si="44"/>
        <v/>
      </c>
      <c r="U256" s="455" t="str">
        <f t="shared" si="44"/>
        <v/>
      </c>
      <c r="V256" s="455" t="str">
        <f t="shared" si="44"/>
        <v/>
      </c>
      <c r="W256" s="455" t="str">
        <f t="shared" si="44"/>
        <v/>
      </c>
      <c r="X256" s="455" t="str">
        <f t="shared" si="44"/>
        <v/>
      </c>
      <c r="Z256" s="157"/>
    </row>
    <row r="257" spans="1:26" customFormat="1" ht="12.5" x14ac:dyDescent="0.25">
      <c r="K257" s="160"/>
      <c r="L257" s="160"/>
      <c r="M257" s="33"/>
      <c r="W257" s="160"/>
      <c r="X257" s="160"/>
    </row>
    <row r="258" spans="1:26" x14ac:dyDescent="0.35">
      <c r="A258" s="56"/>
      <c r="B258" s="93" t="s">
        <v>280</v>
      </c>
      <c r="C258" s="61"/>
      <c r="D258" s="61"/>
      <c r="E258" s="61"/>
      <c r="F258" s="61"/>
      <c r="G258" s="61"/>
      <c r="H258" s="61"/>
      <c r="I258" s="61"/>
      <c r="J258" s="50"/>
      <c r="K258" s="50"/>
      <c r="L258" s="50"/>
      <c r="M258" s="33"/>
      <c r="N258" s="93" t="s">
        <v>282</v>
      </c>
      <c r="O258" s="61"/>
      <c r="P258" s="61"/>
      <c r="Q258" s="61"/>
      <c r="R258" s="61"/>
      <c r="S258" s="61"/>
      <c r="T258" s="61"/>
      <c r="U258" s="61"/>
      <c r="V258" s="50"/>
      <c r="W258" s="50"/>
      <c r="X258" s="50"/>
      <c r="Z258" s="152"/>
    </row>
    <row r="259" spans="1:26" x14ac:dyDescent="0.35">
      <c r="B259" s="31"/>
      <c r="C259" s="32"/>
      <c r="D259" s="32"/>
      <c r="E259" s="32"/>
      <c r="F259" s="32"/>
      <c r="G259" s="32"/>
      <c r="H259" s="32"/>
      <c r="I259" s="32"/>
      <c r="J259" s="33"/>
      <c r="K259" s="33"/>
      <c r="L259" s="33"/>
      <c r="M259" s="33"/>
      <c r="N259" s="31"/>
      <c r="O259" s="32"/>
      <c r="P259" s="32"/>
      <c r="Q259" s="32"/>
      <c r="R259" s="32"/>
      <c r="S259" s="32"/>
      <c r="T259" s="32"/>
      <c r="U259" s="32"/>
      <c r="V259" s="33"/>
      <c r="W259" s="33"/>
      <c r="X259" s="33"/>
      <c r="Z259" s="152"/>
    </row>
    <row r="260" spans="1:26" x14ac:dyDescent="0.35">
      <c r="B260" s="31"/>
      <c r="C260" s="32"/>
      <c r="D260" s="32"/>
      <c r="E260" s="32"/>
      <c r="F260" s="32"/>
      <c r="G260" s="32"/>
      <c r="H260" s="32"/>
      <c r="I260" s="32"/>
      <c r="J260" s="33"/>
      <c r="K260" s="33"/>
      <c r="L260" s="33"/>
      <c r="M260" s="33"/>
      <c r="N260" s="31"/>
      <c r="O260" s="32"/>
      <c r="P260" s="32"/>
      <c r="Q260" s="32"/>
      <c r="R260" s="32"/>
      <c r="S260" s="32"/>
      <c r="T260" s="32"/>
      <c r="U260" s="32"/>
      <c r="V260" s="33"/>
      <c r="W260" s="33"/>
      <c r="X260" s="33"/>
      <c r="Z260" s="152"/>
    </row>
    <row r="261" spans="1:26" x14ac:dyDescent="0.35">
      <c r="B261" s="31"/>
      <c r="C261" s="32"/>
      <c r="D261" s="32"/>
      <c r="E261" s="32"/>
      <c r="F261" s="32"/>
      <c r="G261" s="32"/>
      <c r="H261" s="32"/>
      <c r="I261" s="32"/>
      <c r="J261" s="33"/>
      <c r="K261" s="33"/>
      <c r="L261" s="33"/>
      <c r="M261" s="33"/>
      <c r="N261" s="31"/>
      <c r="O261" s="32"/>
      <c r="P261" s="32"/>
      <c r="Q261" s="32"/>
      <c r="R261" s="32"/>
      <c r="S261" s="32"/>
      <c r="T261" s="32"/>
      <c r="U261" s="32"/>
      <c r="V261" s="33"/>
      <c r="W261" s="33"/>
      <c r="X261" s="33"/>
      <c r="Z261" s="152"/>
    </row>
    <row r="262" spans="1:26" x14ac:dyDescent="0.35">
      <c r="B262" s="31"/>
      <c r="C262" s="32"/>
      <c r="D262" s="32"/>
      <c r="E262" s="32"/>
      <c r="F262" s="32"/>
      <c r="G262" s="32"/>
      <c r="H262" s="32"/>
      <c r="I262" s="32"/>
      <c r="J262" s="33"/>
      <c r="K262" s="33"/>
      <c r="L262" s="33"/>
      <c r="M262" s="33"/>
      <c r="N262" s="31"/>
      <c r="O262" s="32"/>
      <c r="P262" s="32"/>
      <c r="Q262" s="32"/>
      <c r="R262" s="32"/>
      <c r="S262" s="32"/>
      <c r="T262" s="32"/>
      <c r="U262" s="32"/>
      <c r="V262" s="33"/>
      <c r="W262" s="33"/>
      <c r="X262" s="33"/>
      <c r="Z262" s="152"/>
    </row>
    <row r="263" spans="1:26" x14ac:dyDescent="0.35">
      <c r="B263" s="31"/>
      <c r="C263" s="32"/>
      <c r="D263" s="32"/>
      <c r="E263" s="32"/>
      <c r="F263" s="32"/>
      <c r="G263" s="32"/>
      <c r="H263" s="32"/>
      <c r="I263" s="32"/>
      <c r="J263" s="33"/>
      <c r="K263" s="33"/>
      <c r="L263" s="33"/>
      <c r="M263" s="33"/>
      <c r="N263" s="31"/>
      <c r="O263" s="32"/>
      <c r="P263" s="32"/>
      <c r="Q263" s="32"/>
      <c r="R263" s="32"/>
      <c r="S263" s="32"/>
      <c r="T263" s="32"/>
      <c r="U263" s="32"/>
      <c r="V263" s="33"/>
      <c r="W263" s="33"/>
      <c r="X263" s="33"/>
      <c r="Z263" s="152"/>
    </row>
    <row r="264" spans="1:26" x14ac:dyDescent="0.35">
      <c r="B264" s="31"/>
      <c r="C264" s="32"/>
      <c r="D264" s="32"/>
      <c r="E264" s="32"/>
      <c r="F264" s="32"/>
      <c r="G264" s="32"/>
      <c r="H264" s="32"/>
      <c r="I264" s="32"/>
      <c r="J264" s="33"/>
      <c r="K264" s="33"/>
      <c r="L264" s="33"/>
      <c r="M264" s="33"/>
      <c r="N264" s="31"/>
      <c r="O264" s="32"/>
      <c r="P264" s="32"/>
      <c r="Q264" s="32"/>
      <c r="R264" s="32"/>
      <c r="S264" s="32"/>
      <c r="T264" s="32"/>
      <c r="U264" s="32"/>
      <c r="V264" s="33"/>
      <c r="W264" s="33"/>
      <c r="X264" s="33"/>
      <c r="Z264" s="152"/>
    </row>
    <row r="265" spans="1:26" x14ac:dyDescent="0.35">
      <c r="B265" s="31"/>
      <c r="C265" s="32"/>
      <c r="D265" s="32"/>
      <c r="E265" s="32"/>
      <c r="F265" s="32"/>
      <c r="G265" s="32"/>
      <c r="H265" s="32"/>
      <c r="I265" s="32"/>
      <c r="J265" s="33"/>
      <c r="K265" s="33"/>
      <c r="L265" s="33"/>
      <c r="M265" s="33"/>
      <c r="N265" s="31"/>
      <c r="O265" s="32"/>
      <c r="P265" s="32"/>
      <c r="Q265" s="32"/>
      <c r="R265" s="32"/>
      <c r="S265" s="32"/>
      <c r="T265" s="32"/>
      <c r="U265" s="32"/>
      <c r="V265" s="33"/>
      <c r="W265" s="33"/>
      <c r="X265" s="33"/>
      <c r="Z265" s="152"/>
    </row>
    <row r="266" spans="1:26" x14ac:dyDescent="0.35">
      <c r="B266" s="31"/>
      <c r="C266" s="32"/>
      <c r="D266" s="32"/>
      <c r="E266" s="32"/>
      <c r="F266" s="32"/>
      <c r="G266" s="32"/>
      <c r="H266" s="32"/>
      <c r="I266" s="32"/>
      <c r="J266" s="33"/>
      <c r="K266" s="33"/>
      <c r="L266" s="33"/>
      <c r="M266" s="33"/>
      <c r="N266" s="31"/>
      <c r="O266" s="32"/>
      <c r="P266" s="32"/>
      <c r="Q266" s="32"/>
      <c r="R266" s="32"/>
      <c r="S266" s="32"/>
      <c r="T266" s="32"/>
      <c r="U266" s="32"/>
      <c r="V266" s="33"/>
      <c r="W266" s="33"/>
      <c r="X266" s="33"/>
      <c r="Z266" s="152"/>
    </row>
    <row r="267" spans="1:26" x14ac:dyDescent="0.35">
      <c r="B267" s="31"/>
      <c r="C267" s="32"/>
      <c r="D267" s="32"/>
      <c r="E267" s="32"/>
      <c r="F267" s="32"/>
      <c r="G267" s="32"/>
      <c r="H267" s="32"/>
      <c r="I267" s="32"/>
      <c r="J267" s="33"/>
      <c r="K267" s="33"/>
      <c r="L267" s="33"/>
      <c r="M267" s="33"/>
      <c r="N267" s="31"/>
      <c r="O267" s="32"/>
      <c r="P267" s="32"/>
      <c r="Q267" s="32"/>
      <c r="R267" s="32"/>
      <c r="S267" s="32"/>
      <c r="T267" s="32"/>
      <c r="U267" s="32"/>
      <c r="V267" s="33"/>
      <c r="W267" s="33"/>
      <c r="X267" s="33"/>
      <c r="Z267" s="152"/>
    </row>
    <row r="268" spans="1:26" x14ac:dyDescent="0.35">
      <c r="B268" s="31"/>
      <c r="C268" s="32"/>
      <c r="D268" s="32"/>
      <c r="E268" s="32"/>
      <c r="F268" s="32"/>
      <c r="G268" s="32"/>
      <c r="H268" s="32"/>
      <c r="I268" s="32"/>
      <c r="J268" s="33"/>
      <c r="K268" s="33"/>
      <c r="L268" s="33"/>
      <c r="M268" s="33"/>
      <c r="N268" s="31"/>
      <c r="O268" s="32"/>
      <c r="P268" s="32"/>
      <c r="Q268" s="32"/>
      <c r="R268" s="32"/>
      <c r="S268" s="32"/>
      <c r="T268" s="32"/>
      <c r="U268" s="32"/>
      <c r="V268" s="33"/>
      <c r="W268" s="33"/>
      <c r="X268" s="33"/>
      <c r="Z268" s="152"/>
    </row>
    <row r="269" spans="1:26" x14ac:dyDescent="0.35">
      <c r="B269" s="31"/>
      <c r="C269" s="32"/>
      <c r="D269" s="32"/>
      <c r="E269" s="32"/>
      <c r="F269" s="32"/>
      <c r="G269" s="32"/>
      <c r="H269" s="32"/>
      <c r="I269" s="32"/>
      <c r="J269" s="33"/>
      <c r="K269" s="33"/>
      <c r="L269" s="33"/>
      <c r="M269" s="33"/>
      <c r="N269" s="31"/>
      <c r="O269" s="32"/>
      <c r="P269" s="32"/>
      <c r="Q269" s="32"/>
      <c r="R269" s="32"/>
      <c r="S269" s="32"/>
      <c r="T269" s="32"/>
      <c r="U269" s="32"/>
      <c r="V269" s="33"/>
      <c r="W269" s="33"/>
      <c r="X269" s="33"/>
      <c r="Z269" s="152"/>
    </row>
    <row r="270" spans="1:26" x14ac:dyDescent="0.35">
      <c r="B270" s="31"/>
      <c r="C270" s="32"/>
      <c r="D270" s="32"/>
      <c r="E270" s="32"/>
      <c r="F270" s="32"/>
      <c r="G270" s="32"/>
      <c r="H270" s="32"/>
      <c r="I270" s="32"/>
      <c r="J270" s="33"/>
      <c r="K270" s="33"/>
      <c r="L270" s="33"/>
      <c r="M270" s="33"/>
      <c r="N270" s="31"/>
      <c r="O270" s="32"/>
      <c r="P270" s="32"/>
      <c r="Q270" s="32"/>
      <c r="R270" s="32"/>
      <c r="S270" s="32"/>
      <c r="T270" s="32"/>
      <c r="U270" s="32"/>
      <c r="V270" s="33"/>
      <c r="W270" s="33"/>
      <c r="X270" s="33"/>
      <c r="Z270" s="152"/>
    </row>
    <row r="271" spans="1:26" x14ac:dyDescent="0.35">
      <c r="B271" s="31"/>
      <c r="C271" s="32"/>
      <c r="D271" s="32"/>
      <c r="E271" s="32"/>
      <c r="F271" s="32"/>
      <c r="G271" s="32"/>
      <c r="H271" s="32"/>
      <c r="I271" s="32"/>
      <c r="J271" s="33"/>
      <c r="K271" s="33"/>
      <c r="L271" s="33"/>
      <c r="M271" s="33"/>
      <c r="N271" s="31"/>
      <c r="O271" s="32"/>
      <c r="P271" s="32"/>
      <c r="Q271" s="32"/>
      <c r="R271" s="32"/>
      <c r="S271" s="32"/>
      <c r="T271" s="32"/>
      <c r="U271" s="32"/>
      <c r="V271" s="33"/>
      <c r="W271" s="33"/>
      <c r="X271" s="33"/>
      <c r="Z271" s="152"/>
    </row>
    <row r="272" spans="1:26" x14ac:dyDescent="0.35">
      <c r="B272" s="31"/>
      <c r="C272" s="32"/>
      <c r="D272" s="32"/>
      <c r="E272" s="32"/>
      <c r="F272" s="32"/>
      <c r="G272" s="32"/>
      <c r="H272" s="32"/>
      <c r="I272" s="32"/>
      <c r="J272" s="33"/>
      <c r="K272" s="33"/>
      <c r="L272" s="33"/>
      <c r="M272" s="33"/>
      <c r="N272" s="31"/>
      <c r="O272" s="32"/>
      <c r="P272" s="32"/>
      <c r="Q272" s="32"/>
      <c r="R272" s="32"/>
      <c r="S272" s="32"/>
      <c r="T272" s="32"/>
      <c r="U272" s="32"/>
      <c r="V272" s="33"/>
      <c r="W272" s="33"/>
      <c r="X272" s="33"/>
      <c r="Z272" s="152"/>
    </row>
    <row r="273" spans="2:27" x14ac:dyDescent="0.35">
      <c r="B273" s="31"/>
      <c r="C273" s="32"/>
      <c r="D273" s="32"/>
      <c r="E273" s="32"/>
      <c r="F273" s="32"/>
      <c r="G273" s="32"/>
      <c r="H273" s="32"/>
      <c r="I273" s="32"/>
      <c r="J273" s="33"/>
      <c r="K273" s="33"/>
      <c r="L273" s="33"/>
      <c r="M273" s="33"/>
      <c r="N273" s="31"/>
      <c r="O273" s="32"/>
      <c r="P273" s="32"/>
      <c r="Q273" s="32"/>
      <c r="R273" s="32"/>
      <c r="S273" s="32"/>
      <c r="T273" s="32"/>
      <c r="U273" s="32"/>
      <c r="V273" s="33"/>
      <c r="W273" s="33"/>
      <c r="X273" s="33"/>
      <c r="Z273" s="152"/>
    </row>
    <row r="274" spans="2:27" x14ac:dyDescent="0.35">
      <c r="B274" s="31"/>
      <c r="C274" s="32"/>
      <c r="D274" s="32"/>
      <c r="E274" s="32"/>
      <c r="F274" s="32"/>
      <c r="G274" s="32"/>
      <c r="H274" s="32"/>
      <c r="I274" s="32"/>
      <c r="J274" s="33"/>
      <c r="K274" s="33"/>
      <c r="L274" s="33"/>
      <c r="M274" s="33"/>
      <c r="N274" s="31"/>
      <c r="O274" s="32"/>
      <c r="P274" s="32"/>
      <c r="Q274" s="32"/>
      <c r="R274" s="32"/>
      <c r="S274" s="32"/>
      <c r="T274" s="32"/>
      <c r="U274" s="32"/>
      <c r="V274" s="33"/>
      <c r="W274" s="33"/>
      <c r="X274" s="33"/>
      <c r="Z274" s="152"/>
    </row>
    <row r="275" spans="2:27" x14ac:dyDescent="0.35">
      <c r="B275" s="31"/>
      <c r="C275" s="32"/>
      <c r="D275" s="32"/>
      <c r="E275" s="32"/>
      <c r="F275" s="32"/>
      <c r="G275" s="32"/>
      <c r="H275" s="32"/>
      <c r="I275" s="32"/>
      <c r="J275" s="33"/>
      <c r="K275" s="33"/>
      <c r="L275" s="33"/>
      <c r="M275" s="33"/>
      <c r="N275" s="31"/>
      <c r="O275" s="32"/>
      <c r="P275" s="32"/>
      <c r="Q275" s="32"/>
      <c r="R275" s="32"/>
      <c r="S275" s="32"/>
      <c r="T275" s="32"/>
      <c r="U275" s="32"/>
      <c r="V275" s="33"/>
      <c r="W275" s="33"/>
      <c r="X275" s="33"/>
      <c r="Z275" s="152"/>
    </row>
    <row r="276" spans="2:27" x14ac:dyDescent="0.35">
      <c r="B276" s="31"/>
      <c r="C276" s="32"/>
      <c r="D276" s="32"/>
      <c r="E276" s="32"/>
      <c r="F276" s="32"/>
      <c r="G276" s="32"/>
      <c r="H276" s="32"/>
      <c r="I276" s="32"/>
      <c r="J276" s="33"/>
      <c r="K276" s="33"/>
      <c r="L276" s="33"/>
      <c r="M276" s="33"/>
      <c r="N276" s="31"/>
      <c r="O276" s="32"/>
      <c r="P276" s="32"/>
      <c r="Q276" s="32"/>
      <c r="R276" s="32"/>
      <c r="S276" s="32"/>
      <c r="T276" s="32"/>
      <c r="U276" s="32"/>
      <c r="V276" s="33"/>
      <c r="W276" s="33"/>
      <c r="X276" s="33"/>
      <c r="Z276" s="152"/>
    </row>
    <row r="277" spans="2:27" x14ac:dyDescent="0.35">
      <c r="B277" s="31"/>
      <c r="C277" s="32"/>
      <c r="D277" s="32"/>
      <c r="E277" s="32"/>
      <c r="F277" s="32"/>
      <c r="G277" s="32"/>
      <c r="H277" s="32"/>
      <c r="I277" s="32"/>
      <c r="J277" s="33"/>
      <c r="K277" s="33"/>
      <c r="L277" s="33"/>
      <c r="M277" s="33"/>
      <c r="N277" s="31"/>
      <c r="O277" s="32"/>
      <c r="P277" s="32"/>
      <c r="Q277" s="32"/>
      <c r="R277" s="32"/>
      <c r="S277" s="32"/>
      <c r="T277" s="32"/>
      <c r="U277" s="32"/>
      <c r="V277" s="33"/>
      <c r="W277" s="33"/>
      <c r="X277" s="33"/>
      <c r="Z277" s="152"/>
    </row>
    <row r="278" spans="2:27" x14ac:dyDescent="0.35">
      <c r="B278" s="31"/>
      <c r="C278" s="32"/>
      <c r="D278" s="32"/>
      <c r="E278" s="32"/>
      <c r="F278" s="32"/>
      <c r="G278" s="32"/>
      <c r="H278" s="32"/>
      <c r="I278" s="32"/>
      <c r="J278" s="33"/>
      <c r="K278" s="33"/>
      <c r="L278" s="33"/>
      <c r="M278" s="33"/>
      <c r="N278" s="31"/>
      <c r="O278" s="32"/>
      <c r="P278" s="32"/>
      <c r="Q278" s="32"/>
      <c r="R278" s="32"/>
      <c r="S278" s="32"/>
      <c r="T278" s="32"/>
      <c r="U278" s="32"/>
      <c r="V278" s="33"/>
      <c r="W278" s="33"/>
      <c r="X278" s="33"/>
      <c r="Z278" s="152"/>
    </row>
    <row r="279" spans="2:27" x14ac:dyDescent="0.35">
      <c r="B279" s="31"/>
      <c r="C279" s="32"/>
      <c r="D279" s="32"/>
      <c r="E279" s="32"/>
      <c r="F279" s="32"/>
      <c r="G279" s="32"/>
      <c r="H279" s="32"/>
      <c r="I279" s="32"/>
      <c r="J279" s="33"/>
      <c r="K279" s="33"/>
      <c r="L279" s="33"/>
      <c r="M279" s="33"/>
      <c r="N279" s="31"/>
      <c r="O279" s="32"/>
      <c r="P279" s="32"/>
      <c r="Q279" s="32"/>
      <c r="R279" s="32"/>
      <c r="S279" s="32"/>
      <c r="T279" s="32"/>
      <c r="U279" s="32"/>
      <c r="V279" s="33"/>
      <c r="W279" s="33"/>
      <c r="X279" s="33"/>
      <c r="Z279" s="152"/>
    </row>
    <row r="280" spans="2:27" x14ac:dyDescent="0.35">
      <c r="B280" s="31"/>
      <c r="C280" s="32"/>
      <c r="D280" s="32"/>
      <c r="E280" s="32"/>
      <c r="F280" s="32"/>
      <c r="G280" s="32"/>
      <c r="H280" s="32"/>
      <c r="I280" s="32"/>
      <c r="J280" s="33"/>
      <c r="K280" s="33"/>
      <c r="L280" s="33"/>
      <c r="M280" s="33"/>
      <c r="N280" s="31"/>
      <c r="O280" s="32"/>
      <c r="P280" s="32"/>
      <c r="Q280" s="32"/>
      <c r="R280" s="32"/>
      <c r="S280" s="32"/>
      <c r="T280" s="32"/>
      <c r="U280" s="32"/>
      <c r="V280" s="33"/>
      <c r="W280" s="33"/>
      <c r="X280" s="33"/>
      <c r="Z280" s="152"/>
    </row>
    <row r="281" spans="2:27" x14ac:dyDescent="0.35">
      <c r="B281" s="31"/>
      <c r="C281" s="32"/>
      <c r="D281" s="32"/>
      <c r="E281" s="32"/>
      <c r="F281" s="32"/>
      <c r="G281" s="32"/>
      <c r="H281" s="32"/>
      <c r="I281" s="32"/>
      <c r="J281" s="33"/>
      <c r="K281" s="33"/>
      <c r="L281" s="33"/>
      <c r="M281" s="33"/>
      <c r="N281" s="31"/>
      <c r="O281" s="32"/>
      <c r="P281" s="32"/>
      <c r="Q281" s="32"/>
      <c r="R281" s="32"/>
      <c r="S281" s="32"/>
      <c r="T281" s="32"/>
      <c r="U281" s="32"/>
      <c r="V281" s="33"/>
      <c r="W281" s="33"/>
      <c r="X281" s="33"/>
      <c r="Z281" s="152"/>
    </row>
    <row r="282" spans="2:27" x14ac:dyDescent="0.35">
      <c r="B282" s="84"/>
      <c r="C282" s="61"/>
      <c r="D282" s="61"/>
      <c r="E282" s="61"/>
      <c r="F282" s="61"/>
      <c r="G282" s="61"/>
      <c r="H282" s="61"/>
      <c r="I282" s="61"/>
      <c r="J282" s="65"/>
      <c r="K282" s="65"/>
      <c r="L282" s="65"/>
      <c r="M282" s="65"/>
      <c r="N282" s="84"/>
      <c r="O282" s="61"/>
      <c r="P282" s="61"/>
      <c r="Q282" s="61"/>
      <c r="R282" s="61"/>
      <c r="S282" s="61"/>
      <c r="T282" s="61"/>
      <c r="U282" s="61"/>
      <c r="V282" s="65"/>
      <c r="W282" s="65"/>
      <c r="X282" s="65"/>
    </row>
    <row r="283" spans="2:27" x14ac:dyDescent="0.35">
      <c r="B283" s="84" t="s">
        <v>281</v>
      </c>
      <c r="C283" s="61"/>
      <c r="D283" s="61"/>
      <c r="E283" s="61"/>
      <c r="F283" s="61"/>
      <c r="G283" s="61"/>
      <c r="H283" s="61"/>
      <c r="I283" s="61"/>
      <c r="J283" s="458"/>
      <c r="K283" s="565"/>
      <c r="L283" s="666"/>
      <c r="M283" s="65"/>
      <c r="N283" s="84" t="s">
        <v>283</v>
      </c>
      <c r="O283" s="61"/>
      <c r="P283" s="61"/>
      <c r="Q283" s="61"/>
      <c r="R283" s="61"/>
      <c r="S283" s="61"/>
      <c r="T283" s="61"/>
      <c r="U283" s="61"/>
      <c r="V283" s="458"/>
      <c r="W283" s="565"/>
      <c r="X283" s="666"/>
      <c r="Y283" s="141" t="s">
        <v>2</v>
      </c>
    </row>
    <row r="284" spans="2:27" x14ac:dyDescent="0.35">
      <c r="B284" s="185" t="s">
        <v>70</v>
      </c>
      <c r="C284" s="123">
        <v>2016</v>
      </c>
      <c r="D284" s="140">
        <v>2017</v>
      </c>
      <c r="E284" s="140">
        <v>2018</v>
      </c>
      <c r="F284" s="123">
        <v>2019</v>
      </c>
      <c r="G284" s="123">
        <v>2020</v>
      </c>
      <c r="H284" s="123">
        <v>2021</v>
      </c>
      <c r="I284" s="123">
        <v>2022</v>
      </c>
      <c r="J284" s="123">
        <v>2023</v>
      </c>
      <c r="K284" s="123">
        <v>2024</v>
      </c>
      <c r="L284" s="123">
        <v>2025</v>
      </c>
      <c r="M284" s="65"/>
      <c r="N284" s="185" t="s">
        <v>70</v>
      </c>
      <c r="O284" s="123">
        <v>2016</v>
      </c>
      <c r="P284" s="140">
        <v>2017</v>
      </c>
      <c r="Q284" s="140">
        <v>2018</v>
      </c>
      <c r="R284" s="123">
        <v>2019</v>
      </c>
      <c r="S284" s="123">
        <v>2020</v>
      </c>
      <c r="T284" s="123">
        <v>2021</v>
      </c>
      <c r="U284" s="123">
        <v>2022</v>
      </c>
      <c r="V284" s="123">
        <v>2023</v>
      </c>
      <c r="W284" s="123">
        <v>2024</v>
      </c>
      <c r="X284" s="123">
        <v>2025</v>
      </c>
      <c r="Y284" s="123" t="str">
        <f>$Y$98</f>
        <v>2020-2025</v>
      </c>
    </row>
    <row r="285" spans="2:27" x14ac:dyDescent="0.35">
      <c r="B285" s="24" t="s">
        <v>199</v>
      </c>
      <c r="C285" s="55">
        <f>'WDM ports'!D15</f>
        <v>447638.79018258431</v>
      </c>
      <c r="D285" s="55">
        <f>'WDM ports'!E15</f>
        <v>400272.87231827568</v>
      </c>
      <c r="E285" s="55">
        <f>'WDM ports'!F15</f>
        <v>0</v>
      </c>
      <c r="F285" s="55">
        <f>'WDM ports'!G15</f>
        <v>0</v>
      </c>
      <c r="G285" s="55">
        <f>'WDM ports'!H15</f>
        <v>0</v>
      </c>
      <c r="H285" s="55">
        <f>'WDM ports'!I15</f>
        <v>0</v>
      </c>
      <c r="I285" s="55">
        <f>'WDM ports'!J15</f>
        <v>0</v>
      </c>
      <c r="J285" s="55">
        <f>'WDM ports'!K15</f>
        <v>0</v>
      </c>
      <c r="K285" s="147">
        <f>'WDM ports'!L15</f>
        <v>0</v>
      </c>
      <c r="L285" s="147">
        <f>'WDM ports'!M15</f>
        <v>0</v>
      </c>
      <c r="M285" s="65"/>
      <c r="N285" s="24" t="s">
        <v>199</v>
      </c>
      <c r="O285" s="55">
        <f>SUM('WDM ports'!D12:D14)</f>
        <v>86832</v>
      </c>
      <c r="P285" s="55">
        <f>SUM('WDM ports'!E12:E14)</f>
        <v>112000</v>
      </c>
      <c r="Q285" s="55">
        <f>SUM('WDM ports'!F12:F14)</f>
        <v>0</v>
      </c>
      <c r="R285" s="55">
        <f>SUM('WDM ports'!G12:G14)</f>
        <v>0</v>
      </c>
      <c r="S285" s="55">
        <f>SUM('WDM ports'!H12:H14)</f>
        <v>0</v>
      </c>
      <c r="T285" s="55">
        <f>SUM('WDM ports'!I12:I14)</f>
        <v>0</v>
      </c>
      <c r="U285" s="55">
        <f>SUM('WDM ports'!J12:J14)</f>
        <v>0</v>
      </c>
      <c r="V285" s="55">
        <f>SUM('WDM ports'!K12:K14)</f>
        <v>0</v>
      </c>
      <c r="W285" s="10">
        <f>SUM('WDM ports'!L12:L14)</f>
        <v>0</v>
      </c>
      <c r="X285" s="10">
        <f>SUM('WDM ports'!M12:M14)</f>
        <v>0</v>
      </c>
      <c r="Y285" s="153" t="e">
        <f>(X285/S285)^(1/5)-1</f>
        <v>#DIV/0!</v>
      </c>
    </row>
    <row r="286" spans="2:27" x14ac:dyDescent="0.35">
      <c r="B286" s="24" t="s">
        <v>224</v>
      </c>
      <c r="C286" s="55">
        <f>'WDM ports'!D26</f>
        <v>1050737.8172612358</v>
      </c>
      <c r="D286" s="55">
        <f>'WDM ports'!E26</f>
        <v>950853.39094957826</v>
      </c>
      <c r="E286" s="55">
        <f>'WDM ports'!F26</f>
        <v>0</v>
      </c>
      <c r="F286" s="55">
        <f>'WDM ports'!G26</f>
        <v>0</v>
      </c>
      <c r="G286" s="55">
        <f>'WDM ports'!H26</f>
        <v>0</v>
      </c>
      <c r="H286" s="583">
        <f>'WDM ports'!I26</f>
        <v>0</v>
      </c>
      <c r="I286" s="55">
        <f>'WDM ports'!J26</f>
        <v>0</v>
      </c>
      <c r="J286" s="55">
        <f>'WDM ports'!K26</f>
        <v>0</v>
      </c>
      <c r="K286" s="10">
        <f>'WDM ports'!L26</f>
        <v>0</v>
      </c>
      <c r="L286" s="10">
        <f>'WDM ports'!M26</f>
        <v>0</v>
      </c>
      <c r="M286" s="65"/>
      <c r="N286" s="24" t="s">
        <v>224</v>
      </c>
      <c r="O286" s="55">
        <f>SUM('WDM ports'!D23:D25)</f>
        <v>225256</v>
      </c>
      <c r="P286" s="55">
        <f>SUM('WDM ports'!E23:E25)</f>
        <v>285369</v>
      </c>
      <c r="Q286" s="55">
        <f>SUM('WDM ports'!F23:F25)</f>
        <v>0</v>
      </c>
      <c r="R286" s="55">
        <f>SUM('WDM ports'!G23:G25)</f>
        <v>0</v>
      </c>
      <c r="S286" s="55">
        <f>SUM('WDM ports'!H23:H25)</f>
        <v>0</v>
      </c>
      <c r="T286" s="55">
        <f>SUM('WDM ports'!I23:I25)</f>
        <v>0</v>
      </c>
      <c r="U286" s="55">
        <f>SUM('WDM ports'!J23:J25)</f>
        <v>0</v>
      </c>
      <c r="V286" s="55">
        <f>SUM('WDM ports'!K23:K25)</f>
        <v>0</v>
      </c>
      <c r="W286" s="10">
        <f>SUM('WDM ports'!L23:L25)</f>
        <v>0</v>
      </c>
      <c r="X286" s="10">
        <f>SUM('WDM ports'!M23:M25)</f>
        <v>0</v>
      </c>
      <c r="Y286" s="155" t="e">
        <f>(X286/S286)^(1/5)-1</f>
        <v>#DIV/0!</v>
      </c>
      <c r="AA286" s="304"/>
    </row>
    <row r="287" spans="2:27" x14ac:dyDescent="0.35">
      <c r="B287" s="187" t="s">
        <v>253</v>
      </c>
      <c r="C287" s="193">
        <f t="shared" ref="C287:J287" si="45">C286+C285</f>
        <v>1498376.6074438202</v>
      </c>
      <c r="D287" s="193">
        <f t="shared" si="45"/>
        <v>1351126.263267854</v>
      </c>
      <c r="E287" s="193">
        <f t="shared" si="45"/>
        <v>0</v>
      </c>
      <c r="F287" s="193">
        <f t="shared" si="45"/>
        <v>0</v>
      </c>
      <c r="G287" s="193">
        <f t="shared" si="45"/>
        <v>0</v>
      </c>
      <c r="H287" s="193">
        <f t="shared" si="45"/>
        <v>0</v>
      </c>
      <c r="I287" s="193">
        <f t="shared" si="45"/>
        <v>0</v>
      </c>
      <c r="J287" s="193">
        <f t="shared" si="45"/>
        <v>0</v>
      </c>
      <c r="K287" s="130">
        <f>K286+K285</f>
        <v>0</v>
      </c>
      <c r="L287" s="130">
        <f>L286+L285</f>
        <v>0</v>
      </c>
      <c r="M287" s="65"/>
      <c r="N287" s="187" t="s">
        <v>253</v>
      </c>
      <c r="O287" s="193">
        <f t="shared" ref="O287:V287" si="46">O286+O285</f>
        <v>312088</v>
      </c>
      <c r="P287" s="193">
        <f t="shared" si="46"/>
        <v>397369</v>
      </c>
      <c r="Q287" s="193">
        <f t="shared" si="46"/>
        <v>0</v>
      </c>
      <c r="R287" s="193">
        <f t="shared" si="46"/>
        <v>0</v>
      </c>
      <c r="S287" s="193">
        <f t="shared" si="46"/>
        <v>0</v>
      </c>
      <c r="T287" s="193">
        <f t="shared" si="46"/>
        <v>0</v>
      </c>
      <c r="U287" s="193">
        <f t="shared" si="46"/>
        <v>0</v>
      </c>
      <c r="V287" s="193">
        <f t="shared" si="46"/>
        <v>0</v>
      </c>
      <c r="W287" s="130">
        <f>W286+W285</f>
        <v>0</v>
      </c>
      <c r="X287" s="130">
        <f>X286+X285</f>
        <v>0</v>
      </c>
      <c r="Y287" s="155" t="e">
        <f>(X287/S287)^(1/5)-1</f>
        <v>#DIV/0!</v>
      </c>
    </row>
    <row r="288" spans="2:27" x14ac:dyDescent="0.35">
      <c r="B288" s="454" t="s">
        <v>273</v>
      </c>
      <c r="C288" s="455">
        <f t="shared" ref="C288:J288" si="47">IF(C285=0,"",C285/C287)</f>
        <v>0.29874918492370284</v>
      </c>
      <c r="D288" s="455">
        <f t="shared" si="47"/>
        <v>0.2962512706622768</v>
      </c>
      <c r="E288" s="455" t="str">
        <f t="shared" si="47"/>
        <v/>
      </c>
      <c r="F288" s="455" t="str">
        <f t="shared" si="47"/>
        <v/>
      </c>
      <c r="G288" s="455" t="str">
        <f t="shared" si="47"/>
        <v/>
      </c>
      <c r="H288" s="455" t="str">
        <f t="shared" si="47"/>
        <v/>
      </c>
      <c r="I288" s="455" t="str">
        <f t="shared" si="47"/>
        <v/>
      </c>
      <c r="J288" s="455" t="str">
        <f t="shared" si="47"/>
        <v/>
      </c>
      <c r="K288" s="455" t="str">
        <f>IF(K285=0,"",K285/K287)</f>
        <v/>
      </c>
      <c r="L288" s="455" t="str">
        <f>IF(L285=0,"",L285/L287)</f>
        <v/>
      </c>
      <c r="M288" s="65"/>
      <c r="N288" s="454" t="s">
        <v>273</v>
      </c>
      <c r="O288" s="455">
        <f t="shared" ref="O288:V288" si="48">IF(O285=0,"",O285/O287)</f>
        <v>0.27822921740022044</v>
      </c>
      <c r="P288" s="455">
        <f t="shared" si="48"/>
        <v>0.28185389398770411</v>
      </c>
      <c r="Q288" s="455" t="str">
        <f t="shared" si="48"/>
        <v/>
      </c>
      <c r="R288" s="455" t="str">
        <f t="shared" si="48"/>
        <v/>
      </c>
      <c r="S288" s="455" t="str">
        <f t="shared" si="48"/>
        <v/>
      </c>
      <c r="T288" s="455" t="str">
        <f t="shared" si="48"/>
        <v/>
      </c>
      <c r="U288" s="455" t="str">
        <f t="shared" si="48"/>
        <v/>
      </c>
      <c r="V288" s="455" t="str">
        <f t="shared" si="48"/>
        <v/>
      </c>
      <c r="W288" s="455" t="str">
        <f>IF(W285=0,"",W285/W287)</f>
        <v/>
      </c>
      <c r="X288" s="455" t="str">
        <f>IF(X285=0,"",X285/X287)</f>
        <v/>
      </c>
    </row>
    <row r="289" spans="1:26" x14ac:dyDescent="0.35">
      <c r="M289" s="65"/>
      <c r="N289" s="33" t="s">
        <v>61</v>
      </c>
      <c r="O289" s="67"/>
      <c r="P289" s="67"/>
      <c r="Q289" s="67"/>
      <c r="R289" s="67"/>
      <c r="S289" s="152"/>
      <c r="T289" s="152"/>
      <c r="U289" s="152"/>
      <c r="V289" s="152"/>
      <c r="W289" s="152"/>
      <c r="X289" s="152"/>
      <c r="Z289" s="158"/>
    </row>
    <row r="290" spans="1:26" x14ac:dyDescent="0.35">
      <c r="A290" s="56"/>
      <c r="B290" s="93"/>
      <c r="C290" s="17"/>
      <c r="D290" s="17"/>
      <c r="E290" s="17"/>
      <c r="F290" s="17"/>
      <c r="G290" s="152"/>
      <c r="H290" s="152"/>
      <c r="I290" s="152"/>
      <c r="J290" s="152"/>
      <c r="K290" s="152"/>
      <c r="L290" s="152"/>
      <c r="M290" s="50"/>
      <c r="Z290" s="152"/>
    </row>
    <row r="291" spans="1:26" x14ac:dyDescent="0.35">
      <c r="B291" s="33"/>
      <c r="C291" s="17"/>
      <c r="D291" s="17"/>
      <c r="E291" s="17"/>
      <c r="F291" s="17"/>
      <c r="G291" s="152"/>
      <c r="H291" s="152"/>
      <c r="I291" s="152"/>
      <c r="J291" s="152"/>
      <c r="K291" s="152"/>
      <c r="L291" s="152"/>
      <c r="M291" s="33"/>
      <c r="Z291" s="152"/>
    </row>
    <row r="292" spans="1:26" x14ac:dyDescent="0.35">
      <c r="B292" s="33"/>
      <c r="C292" s="17"/>
      <c r="D292" s="17"/>
      <c r="E292" s="17"/>
      <c r="F292" s="17"/>
      <c r="G292" s="152"/>
      <c r="H292" s="152"/>
      <c r="I292" s="152"/>
      <c r="J292" s="152"/>
      <c r="K292" s="152"/>
      <c r="L292" s="152"/>
      <c r="M292" s="33"/>
      <c r="Z292" s="152"/>
    </row>
    <row r="293" spans="1:26" x14ac:dyDescent="0.35">
      <c r="B293" s="33"/>
      <c r="C293" s="17"/>
      <c r="D293" s="17"/>
      <c r="E293" s="17"/>
      <c r="F293" s="17"/>
      <c r="G293" s="152"/>
      <c r="H293" s="152"/>
      <c r="I293" s="152"/>
      <c r="J293" s="152"/>
      <c r="K293" s="152"/>
      <c r="L293" s="152"/>
      <c r="M293" s="33"/>
      <c r="Z293" s="152"/>
    </row>
    <row r="294" spans="1:26" x14ac:dyDescent="0.35">
      <c r="B294" s="33"/>
      <c r="C294" s="17"/>
      <c r="D294" s="17"/>
      <c r="E294" s="17"/>
      <c r="F294" s="17"/>
      <c r="G294" s="152"/>
      <c r="H294" s="152"/>
      <c r="I294" s="152"/>
      <c r="J294" s="152"/>
      <c r="K294" s="152"/>
      <c r="L294" s="152"/>
      <c r="M294" s="33"/>
      <c r="Z294" s="152"/>
    </row>
    <row r="295" spans="1:26" x14ac:dyDescent="0.35">
      <c r="B295" s="33"/>
      <c r="C295" s="17"/>
      <c r="D295" s="17"/>
      <c r="E295" s="17"/>
      <c r="F295" s="17"/>
      <c r="G295" s="152"/>
      <c r="H295" s="152"/>
      <c r="I295" s="152"/>
      <c r="J295" s="152"/>
      <c r="K295" s="152"/>
      <c r="L295" s="152"/>
      <c r="M295" s="33"/>
      <c r="Z295" s="152"/>
    </row>
    <row r="296" spans="1:26" x14ac:dyDescent="0.35">
      <c r="B296" s="33"/>
      <c r="C296" s="17"/>
      <c r="D296" s="17"/>
      <c r="E296" s="17"/>
      <c r="F296" s="17"/>
      <c r="G296" s="152"/>
      <c r="H296" s="152"/>
      <c r="I296" s="152"/>
      <c r="J296" s="152"/>
      <c r="K296" s="152"/>
      <c r="L296" s="152"/>
      <c r="M296" s="33"/>
      <c r="Z296" s="152"/>
    </row>
    <row r="297" spans="1:26" x14ac:dyDescent="0.35">
      <c r="B297" s="33"/>
      <c r="C297" s="17"/>
      <c r="D297" s="17"/>
      <c r="E297" s="17"/>
      <c r="F297" s="17"/>
      <c r="G297" s="152"/>
      <c r="H297" s="152"/>
      <c r="I297" s="152"/>
      <c r="J297" s="152"/>
      <c r="K297" s="152"/>
      <c r="L297" s="152"/>
      <c r="M297" s="33"/>
      <c r="Z297" s="152"/>
    </row>
    <row r="298" spans="1:26" x14ac:dyDescent="0.35">
      <c r="B298" s="33"/>
      <c r="C298" s="17"/>
      <c r="D298" s="17"/>
      <c r="E298" s="17"/>
      <c r="F298" s="17"/>
      <c r="G298" s="152"/>
      <c r="H298" s="152"/>
      <c r="I298" s="152"/>
      <c r="J298" s="152"/>
      <c r="K298" s="152"/>
      <c r="L298" s="152"/>
      <c r="M298" s="33"/>
      <c r="Z298" s="152"/>
    </row>
    <row r="299" spans="1:26" x14ac:dyDescent="0.35">
      <c r="B299" s="33"/>
      <c r="C299" s="17"/>
      <c r="D299" s="17"/>
      <c r="E299" s="17"/>
      <c r="F299" s="17"/>
      <c r="G299" s="152"/>
      <c r="H299" s="152"/>
      <c r="I299" s="152"/>
      <c r="J299" s="152"/>
      <c r="K299" s="152"/>
      <c r="L299" s="152"/>
      <c r="M299" s="33"/>
      <c r="Z299" s="152"/>
    </row>
    <row r="300" spans="1:26" x14ac:dyDescent="0.35">
      <c r="B300" s="33"/>
      <c r="C300" s="17"/>
      <c r="D300" s="17"/>
      <c r="E300" s="17"/>
      <c r="F300" s="17"/>
      <c r="G300" s="152"/>
      <c r="H300" s="152"/>
      <c r="I300" s="152"/>
      <c r="J300" s="152"/>
      <c r="K300" s="152"/>
      <c r="L300" s="152"/>
      <c r="M300" s="33"/>
      <c r="Z300" s="152"/>
    </row>
    <row r="301" spans="1:26" x14ac:dyDescent="0.35">
      <c r="B301" s="33"/>
      <c r="C301" s="17"/>
      <c r="D301" s="17"/>
      <c r="E301" s="17"/>
      <c r="F301" s="17"/>
      <c r="G301" s="152"/>
      <c r="H301" s="152"/>
      <c r="I301" s="152"/>
      <c r="J301" s="152"/>
      <c r="K301" s="152"/>
      <c r="L301" s="152"/>
      <c r="M301" s="33"/>
      <c r="Z301" s="152"/>
    </row>
    <row r="302" spans="1:26" x14ac:dyDescent="0.35">
      <c r="B302" s="33"/>
      <c r="C302" s="17"/>
      <c r="D302" s="17"/>
      <c r="E302" s="17"/>
      <c r="F302" s="17"/>
      <c r="G302" s="152"/>
      <c r="H302" s="152"/>
      <c r="I302" s="152"/>
      <c r="J302" s="152"/>
      <c r="K302" s="152"/>
      <c r="L302" s="152"/>
      <c r="M302" s="33"/>
      <c r="Z302" s="152"/>
    </row>
    <row r="303" spans="1:26" x14ac:dyDescent="0.35">
      <c r="B303" s="33"/>
      <c r="C303" s="17"/>
      <c r="D303" s="17"/>
      <c r="E303" s="17"/>
      <c r="F303" s="17"/>
      <c r="G303" s="152"/>
      <c r="H303" s="152"/>
      <c r="I303" s="152"/>
      <c r="J303" s="152"/>
      <c r="K303" s="152"/>
      <c r="L303" s="152"/>
      <c r="M303" s="33"/>
      <c r="Z303" s="152"/>
    </row>
    <row r="304" spans="1:26" x14ac:dyDescent="0.35">
      <c r="B304" s="33"/>
      <c r="C304" s="17"/>
      <c r="D304" s="17"/>
      <c r="E304" s="17"/>
      <c r="F304" s="17"/>
      <c r="G304" s="152"/>
      <c r="H304" s="152"/>
      <c r="I304" s="152"/>
      <c r="J304" s="152"/>
      <c r="K304" s="152"/>
      <c r="L304" s="152"/>
      <c r="M304" s="33"/>
      <c r="Z304" s="152"/>
    </row>
    <row r="305" spans="2:26" x14ac:dyDescent="0.35">
      <c r="B305" s="33"/>
      <c r="C305" s="17"/>
      <c r="D305" s="17"/>
      <c r="E305" s="17"/>
      <c r="F305" s="17"/>
      <c r="G305" s="152"/>
      <c r="H305" s="152"/>
      <c r="I305" s="152"/>
      <c r="J305" s="152"/>
      <c r="K305" s="152"/>
      <c r="L305" s="152"/>
      <c r="M305" s="33"/>
      <c r="Z305" s="152"/>
    </row>
    <row r="306" spans="2:26" x14ac:dyDescent="0.35">
      <c r="B306" s="33"/>
      <c r="C306" s="17"/>
      <c r="D306" s="17"/>
      <c r="E306" s="17"/>
      <c r="F306" s="17"/>
      <c r="G306" s="152"/>
      <c r="H306" s="152"/>
      <c r="I306" s="152"/>
      <c r="J306" s="152"/>
      <c r="K306" s="152"/>
      <c r="L306" s="152"/>
      <c r="M306" s="33"/>
      <c r="Z306" s="152"/>
    </row>
    <row r="307" spans="2:26" x14ac:dyDescent="0.35">
      <c r="B307" s="33"/>
      <c r="C307" s="17"/>
      <c r="D307" s="17"/>
      <c r="E307" s="17"/>
      <c r="F307" s="17"/>
      <c r="G307" s="152"/>
      <c r="H307" s="152"/>
      <c r="I307" s="152"/>
      <c r="J307" s="152"/>
      <c r="K307" s="152"/>
      <c r="L307" s="152"/>
      <c r="M307" s="33"/>
      <c r="Z307" s="152"/>
    </row>
    <row r="308" spans="2:26" x14ac:dyDescent="0.35">
      <c r="B308" s="33"/>
      <c r="C308" s="17"/>
      <c r="D308" s="17"/>
      <c r="E308" s="17"/>
      <c r="F308" s="17"/>
      <c r="G308" s="152"/>
      <c r="H308" s="152"/>
      <c r="I308" s="152"/>
      <c r="J308" s="152"/>
      <c r="K308" s="152"/>
      <c r="L308" s="152"/>
      <c r="M308" s="33"/>
      <c r="Z308" s="152"/>
    </row>
    <row r="309" spans="2:26" x14ac:dyDescent="0.35">
      <c r="B309" s="33"/>
      <c r="C309" s="17"/>
      <c r="D309" s="17"/>
      <c r="E309" s="17"/>
      <c r="F309" s="17"/>
      <c r="G309" s="152"/>
      <c r="H309" s="152"/>
      <c r="I309" s="152"/>
      <c r="J309" s="152"/>
      <c r="K309" s="152"/>
      <c r="L309" s="152"/>
      <c r="M309" s="33"/>
      <c r="Z309" s="152"/>
    </row>
    <row r="310" spans="2:26" x14ac:dyDescent="0.35">
      <c r="B310" s="33"/>
      <c r="C310" s="17"/>
      <c r="D310" s="17"/>
      <c r="E310" s="17"/>
      <c r="F310" s="17"/>
      <c r="G310" s="152"/>
      <c r="H310" s="152"/>
      <c r="I310" s="152"/>
      <c r="J310" s="152"/>
      <c r="K310" s="152"/>
      <c r="L310" s="152"/>
      <c r="M310" s="33"/>
      <c r="Z310" s="152"/>
    </row>
    <row r="311" spans="2:26" x14ac:dyDescent="0.35">
      <c r="B311" s="33"/>
      <c r="C311" s="17"/>
      <c r="D311" s="17"/>
      <c r="E311" s="17"/>
      <c r="F311" s="17"/>
      <c r="G311" s="152"/>
      <c r="H311" s="152"/>
      <c r="I311" s="152"/>
      <c r="J311" s="152"/>
      <c r="K311" s="152"/>
      <c r="L311" s="152"/>
      <c r="M311" s="33"/>
      <c r="Z311" s="152"/>
    </row>
    <row r="312" spans="2:26" x14ac:dyDescent="0.35">
      <c r="B312" s="33"/>
      <c r="C312" s="17"/>
      <c r="D312" s="17"/>
      <c r="E312" s="17"/>
      <c r="F312" s="17"/>
      <c r="G312" s="152"/>
      <c r="H312" s="152"/>
      <c r="I312" s="152"/>
      <c r="J312" s="152"/>
      <c r="K312" s="152"/>
      <c r="L312" s="152"/>
      <c r="M312" s="33"/>
      <c r="Z312" s="152"/>
    </row>
    <row r="313" spans="2:26" x14ac:dyDescent="0.35">
      <c r="B313" s="33"/>
      <c r="C313" s="17"/>
      <c r="D313" s="17"/>
      <c r="E313" s="17"/>
      <c r="F313" s="17"/>
      <c r="G313" s="152"/>
      <c r="H313" s="152"/>
      <c r="I313" s="152"/>
      <c r="J313" s="152"/>
      <c r="K313" s="152"/>
      <c r="L313" s="152"/>
      <c r="M313" s="33"/>
      <c r="Z313" s="152"/>
    </row>
    <row r="314" spans="2:26" x14ac:dyDescent="0.35">
      <c r="M314" s="65"/>
      <c r="Z314" s="152"/>
    </row>
    <row r="315" spans="2:26" x14ac:dyDescent="0.35">
      <c r="B315" s="84" t="s">
        <v>429</v>
      </c>
      <c r="C315" s="61"/>
      <c r="D315" s="61"/>
      <c r="E315" s="61"/>
      <c r="F315" s="61"/>
      <c r="G315" s="61"/>
      <c r="H315" s="61"/>
      <c r="I315" s="61"/>
      <c r="J315" s="635"/>
      <c r="K315" s="635"/>
      <c r="L315" s="666"/>
      <c r="M315" s="65"/>
      <c r="Y315" s="65"/>
      <c r="Z315" s="65"/>
    </row>
    <row r="316" spans="2:26" x14ac:dyDescent="0.35">
      <c r="B316" s="185" t="s">
        <v>70</v>
      </c>
      <c r="C316" s="123">
        <v>2016</v>
      </c>
      <c r="D316" s="140">
        <v>2017</v>
      </c>
      <c r="E316" s="140">
        <v>2018</v>
      </c>
      <c r="F316" s="123">
        <v>2019</v>
      </c>
      <c r="G316" s="123">
        <v>2020</v>
      </c>
      <c r="H316" s="123">
        <v>2021</v>
      </c>
      <c r="I316" s="123">
        <v>2022</v>
      </c>
      <c r="J316" s="123">
        <v>2023</v>
      </c>
      <c r="K316" s="123">
        <v>2024</v>
      </c>
      <c r="L316" s="123">
        <v>2025</v>
      </c>
      <c r="M316" s="65"/>
      <c r="Y316" s="65"/>
      <c r="Z316" s="65"/>
    </row>
    <row r="317" spans="2:26" x14ac:dyDescent="0.35">
      <c r="B317" s="190" t="s">
        <v>430</v>
      </c>
      <c r="C317" s="639">
        <f>'WDM ports'!Q12</f>
        <v>0.27822921740022044</v>
      </c>
      <c r="D317" s="639">
        <f>'WDM ports'!R12</f>
        <v>0.31621098746942095</v>
      </c>
      <c r="E317" s="639" t="str">
        <f>'WDM ports'!S12</f>
        <v/>
      </c>
      <c r="F317" s="639" t="str">
        <f>'WDM ports'!T12</f>
        <v/>
      </c>
      <c r="G317" s="639" t="str">
        <f>'WDM ports'!U12</f>
        <v/>
      </c>
      <c r="H317" s="639" t="str">
        <f>'WDM ports'!V12</f>
        <v/>
      </c>
      <c r="I317" s="639" t="str">
        <f>'WDM ports'!W12</f>
        <v/>
      </c>
      <c r="J317" s="639" t="str">
        <f>'WDM ports'!X12</f>
        <v/>
      </c>
      <c r="K317" s="540" t="str">
        <f>'WDM ports'!Y12</f>
        <v/>
      </c>
      <c r="L317" s="540" t="str">
        <f>'WDM ports'!Z12</f>
        <v/>
      </c>
      <c r="M317" s="65"/>
      <c r="Y317" s="65"/>
      <c r="Z317" s="65"/>
    </row>
    <row r="318" spans="2:26" x14ac:dyDescent="0.35">
      <c r="B318" s="24" t="s">
        <v>431</v>
      </c>
      <c r="C318" s="640" t="str">
        <f>'WDM ports'!Q13</f>
        <v/>
      </c>
      <c r="D318" s="640">
        <f>'WDM ports'!R13</f>
        <v>4.3956043956043959E-2</v>
      </c>
      <c r="E318" s="640" t="str">
        <f>'WDM ports'!S13</f>
        <v/>
      </c>
      <c r="F318" s="640" t="str">
        <f>'WDM ports'!T13</f>
        <v/>
      </c>
      <c r="G318" s="640" t="str">
        <f>'WDM ports'!U13</f>
        <v/>
      </c>
      <c r="H318" s="641" t="str">
        <f>'WDM ports'!V13</f>
        <v/>
      </c>
      <c r="I318" s="640" t="str">
        <f>'WDM ports'!W13</f>
        <v/>
      </c>
      <c r="J318" s="640" t="str">
        <f>'WDM ports'!X13</f>
        <v/>
      </c>
      <c r="K318" s="541" t="str">
        <f>'WDM ports'!Y13</f>
        <v/>
      </c>
      <c r="L318" s="541" t="str">
        <f>'WDM ports'!Z13</f>
        <v/>
      </c>
      <c r="M318" s="65"/>
      <c r="Y318" s="65"/>
      <c r="Z318" s="65"/>
    </row>
    <row r="319" spans="2:26" x14ac:dyDescent="0.35">
      <c r="B319" s="24" t="s">
        <v>432</v>
      </c>
      <c r="C319" s="640" t="str">
        <f>'WDM ports'!Q14</f>
        <v/>
      </c>
      <c r="D319" s="640" t="str">
        <f>'WDM ports'!R14</f>
        <v/>
      </c>
      <c r="E319" s="640" t="str">
        <f>'WDM ports'!S14</f>
        <v/>
      </c>
      <c r="F319" s="640" t="str">
        <f>'WDM ports'!T14</f>
        <v/>
      </c>
      <c r="G319" s="640" t="str">
        <f>'WDM ports'!U14</f>
        <v/>
      </c>
      <c r="H319" s="640" t="str">
        <f>'WDM ports'!V14</f>
        <v/>
      </c>
      <c r="I319" s="640" t="str">
        <f>'WDM ports'!W14</f>
        <v/>
      </c>
      <c r="J319" s="640" t="str">
        <f>'WDM ports'!X14</f>
        <v/>
      </c>
      <c r="K319" s="541" t="str">
        <f>'WDM ports'!Y14</f>
        <v/>
      </c>
      <c r="L319" s="541" t="str">
        <f>'WDM ports'!Z14</f>
        <v/>
      </c>
      <c r="M319" s="65"/>
      <c r="Y319" s="65"/>
      <c r="Z319" s="65"/>
    </row>
    <row r="320" spans="2:26" x14ac:dyDescent="0.35">
      <c r="B320" s="637" t="s">
        <v>79</v>
      </c>
      <c r="C320" s="638">
        <f>'WDM ports'!Q15</f>
        <v>0.29874918492370284</v>
      </c>
      <c r="D320" s="638">
        <f>'WDM ports'!R15</f>
        <v>0.29625127066227686</v>
      </c>
      <c r="E320" s="638" t="e">
        <f>'WDM ports'!S15</f>
        <v>#DIV/0!</v>
      </c>
      <c r="F320" s="638" t="e">
        <f>'WDM ports'!T15</f>
        <v>#DIV/0!</v>
      </c>
      <c r="G320" s="638" t="e">
        <f>'WDM ports'!U15</f>
        <v>#DIV/0!</v>
      </c>
      <c r="H320" s="638" t="e">
        <f>'WDM ports'!V15</f>
        <v>#DIV/0!</v>
      </c>
      <c r="I320" s="638" t="e">
        <f>'WDM ports'!W15</f>
        <v>#DIV/0!</v>
      </c>
      <c r="J320" s="638" t="e">
        <f>'WDM ports'!X15</f>
        <v>#DIV/0!</v>
      </c>
      <c r="K320" s="638" t="e">
        <f>'WDM ports'!Y15</f>
        <v>#DIV/0!</v>
      </c>
      <c r="L320" s="638" t="e">
        <f>'WDM ports'!Z15</f>
        <v>#DIV/0!</v>
      </c>
      <c r="M320" s="65"/>
      <c r="Y320" s="65"/>
      <c r="Z320" s="65"/>
    </row>
    <row r="321" spans="2:27" x14ac:dyDescent="0.35">
      <c r="B321" s="17"/>
      <c r="C321" s="148"/>
      <c r="D321" s="148"/>
      <c r="E321" s="148"/>
      <c r="F321" s="148"/>
      <c r="G321" s="148"/>
      <c r="H321" s="148"/>
      <c r="I321" s="148"/>
      <c r="J321" s="17"/>
      <c r="K321" s="17"/>
      <c r="L321" s="17"/>
      <c r="M321" s="65"/>
      <c r="N321" s="17"/>
      <c r="O321" s="149"/>
      <c r="P321" s="150"/>
      <c r="Q321" s="150"/>
      <c r="R321" s="150"/>
      <c r="S321" s="152"/>
      <c r="T321" s="152"/>
      <c r="U321" s="152"/>
      <c r="V321" s="152"/>
      <c r="W321" s="152"/>
      <c r="X321" s="152"/>
      <c r="Z321" s="152"/>
    </row>
    <row r="322" spans="2:27" s="44" customFormat="1" x14ac:dyDescent="0.35">
      <c r="B322" s="507" t="s">
        <v>297</v>
      </c>
      <c r="C322" s="508"/>
      <c r="D322" s="508"/>
      <c r="E322" s="508"/>
      <c r="F322" s="508"/>
      <c r="G322" s="508"/>
      <c r="H322" s="508"/>
      <c r="I322" s="508"/>
      <c r="J322" s="508"/>
      <c r="K322" s="508"/>
      <c r="L322" s="508"/>
      <c r="M322" s="508"/>
      <c r="N322" s="507"/>
      <c r="O322" s="508"/>
      <c r="P322" s="508"/>
      <c r="Q322" s="508"/>
      <c r="R322" s="508"/>
      <c r="S322" s="509"/>
      <c r="T322" s="509"/>
      <c r="U322" s="509"/>
      <c r="V322" s="509"/>
      <c r="W322" s="509"/>
      <c r="X322" s="509"/>
      <c r="Z322" s="509"/>
      <c r="AA322" s="510"/>
    </row>
    <row r="323" spans="2:27" x14ac:dyDescent="0.35">
      <c r="B323" s="109"/>
      <c r="C323" s="17"/>
      <c r="D323" s="17"/>
      <c r="E323" s="17"/>
      <c r="F323" s="17"/>
      <c r="G323" s="17"/>
      <c r="H323" s="17"/>
      <c r="I323" s="17"/>
      <c r="J323" s="17"/>
      <c r="K323" s="17"/>
      <c r="L323" s="17"/>
      <c r="M323" s="17"/>
      <c r="N323" s="84"/>
      <c r="O323" s="17"/>
      <c r="P323" s="17"/>
      <c r="Q323" s="17"/>
      <c r="R323" s="17"/>
      <c r="S323" s="152"/>
      <c r="T323" s="152"/>
      <c r="U323" s="152"/>
      <c r="V323" s="152"/>
      <c r="W323" s="152"/>
      <c r="X323" s="152"/>
      <c r="Z323" s="152"/>
    </row>
    <row r="324" spans="2:27" x14ac:dyDescent="0.35">
      <c r="B324" s="58"/>
      <c r="C324" s="17"/>
      <c r="D324" s="17"/>
      <c r="E324" s="17"/>
      <c r="F324" s="17"/>
      <c r="G324" s="17"/>
      <c r="H324" s="17"/>
      <c r="I324" s="17"/>
      <c r="J324" s="17"/>
      <c r="K324" s="17"/>
      <c r="L324" s="17"/>
      <c r="M324" s="17"/>
      <c r="N324" s="17"/>
      <c r="O324" s="17"/>
      <c r="P324" s="17"/>
      <c r="Q324" s="17"/>
      <c r="R324" s="17"/>
      <c r="S324" s="152"/>
      <c r="T324" s="152"/>
      <c r="U324" s="152"/>
      <c r="V324" s="152"/>
      <c r="W324" s="152"/>
      <c r="X324" s="152"/>
      <c r="Z324" s="152"/>
    </row>
    <row r="325" spans="2:27" x14ac:dyDescent="0.35">
      <c r="B325" s="58"/>
      <c r="C325" s="17"/>
      <c r="D325" s="17"/>
      <c r="E325" s="17"/>
      <c r="F325" s="17"/>
      <c r="G325" s="17"/>
      <c r="H325" s="17"/>
      <c r="I325" s="17"/>
      <c r="J325" s="17"/>
      <c r="K325" s="17"/>
      <c r="L325" s="17"/>
      <c r="M325" s="17"/>
      <c r="N325" s="17"/>
      <c r="O325" s="17"/>
      <c r="P325" s="17"/>
      <c r="Q325" s="17"/>
      <c r="R325" s="17"/>
      <c r="S325" s="152"/>
      <c r="T325" s="152"/>
      <c r="U325" s="152"/>
      <c r="V325" s="152"/>
      <c r="W325" s="152"/>
      <c r="X325" s="152"/>
      <c r="Z325" s="152"/>
    </row>
    <row r="326" spans="2:27" x14ac:dyDescent="0.35">
      <c r="B326" s="58"/>
      <c r="C326" s="17"/>
      <c r="D326" s="17"/>
      <c r="E326" s="17"/>
      <c r="F326" s="17"/>
      <c r="G326" s="17"/>
      <c r="H326" s="17"/>
      <c r="I326" s="17"/>
      <c r="J326" s="17"/>
      <c r="K326" s="17"/>
      <c r="L326" s="17"/>
      <c r="M326" s="17"/>
      <c r="N326" s="17"/>
      <c r="O326" s="17"/>
      <c r="P326" s="17"/>
      <c r="Q326" s="17"/>
      <c r="R326" s="17"/>
      <c r="S326" s="152"/>
      <c r="T326" s="152"/>
      <c r="U326" s="152"/>
      <c r="V326" s="152"/>
      <c r="W326" s="152"/>
      <c r="X326" s="152"/>
      <c r="Z326" s="152"/>
    </row>
    <row r="327" spans="2:27" x14ac:dyDescent="0.35">
      <c r="B327" s="58"/>
      <c r="C327" s="17"/>
      <c r="D327" s="17"/>
      <c r="E327" s="17"/>
      <c r="F327" s="17"/>
      <c r="G327" s="17"/>
      <c r="H327" s="17"/>
      <c r="I327" s="17"/>
      <c r="J327" s="17"/>
      <c r="K327" s="17"/>
      <c r="L327" s="17"/>
      <c r="M327" s="17"/>
      <c r="N327" s="17"/>
      <c r="O327" s="17"/>
      <c r="P327" s="17"/>
      <c r="Q327" s="17"/>
      <c r="R327" s="17"/>
      <c r="S327" s="152"/>
      <c r="T327" s="152"/>
      <c r="U327" s="152"/>
      <c r="V327" s="152"/>
      <c r="W327" s="152"/>
      <c r="X327" s="152"/>
      <c r="Z327" s="152"/>
    </row>
    <row r="328" spans="2:27" x14ac:dyDescent="0.35">
      <c r="B328" s="58"/>
      <c r="C328" s="17"/>
      <c r="D328" s="17"/>
      <c r="E328" s="17"/>
      <c r="F328" s="17"/>
      <c r="G328" s="17"/>
      <c r="H328" s="17"/>
      <c r="I328" s="17"/>
      <c r="J328" s="17"/>
      <c r="K328" s="17"/>
      <c r="L328" s="17"/>
      <c r="M328" s="17"/>
      <c r="N328" s="17"/>
      <c r="O328" s="17"/>
      <c r="P328" s="17"/>
      <c r="Q328" s="17"/>
      <c r="R328" s="17"/>
      <c r="S328" s="152"/>
      <c r="T328" s="152"/>
      <c r="U328" s="152"/>
      <c r="V328" s="152"/>
      <c r="W328" s="152"/>
      <c r="X328" s="152"/>
      <c r="Z328" s="152"/>
    </row>
    <row r="329" spans="2:27" x14ac:dyDescent="0.35">
      <c r="B329" s="58"/>
      <c r="C329" s="17"/>
      <c r="D329" s="17"/>
      <c r="E329" s="17"/>
      <c r="F329" s="17"/>
      <c r="G329" s="17"/>
      <c r="H329" s="17"/>
      <c r="I329" s="17"/>
      <c r="J329" s="17"/>
      <c r="K329" s="17"/>
      <c r="L329" s="17"/>
      <c r="M329" s="17"/>
      <c r="N329" s="17"/>
      <c r="O329" s="17"/>
      <c r="P329" s="17"/>
      <c r="Q329" s="17"/>
      <c r="R329" s="17"/>
      <c r="S329" s="152"/>
      <c r="T329" s="152"/>
      <c r="U329" s="152"/>
      <c r="V329" s="152"/>
      <c r="W329" s="152"/>
      <c r="X329" s="152"/>
      <c r="Z329" s="152"/>
    </row>
    <row r="330" spans="2:27" x14ac:dyDescent="0.35">
      <c r="B330" s="58"/>
      <c r="C330" s="17"/>
      <c r="D330" s="17"/>
      <c r="E330" s="17"/>
      <c r="F330" s="17"/>
      <c r="G330" s="17"/>
      <c r="H330" s="17"/>
      <c r="I330" s="17"/>
      <c r="J330" s="17"/>
      <c r="K330" s="17"/>
      <c r="L330" s="17"/>
      <c r="M330" s="17"/>
      <c r="N330" s="17"/>
      <c r="O330" s="17"/>
      <c r="P330" s="17"/>
      <c r="Q330" s="17"/>
      <c r="R330" s="17"/>
      <c r="S330" s="152"/>
      <c r="T330" s="152"/>
      <c r="U330" s="152"/>
      <c r="V330" s="152"/>
      <c r="W330" s="152"/>
      <c r="X330" s="152"/>
      <c r="Z330" s="152"/>
    </row>
    <row r="331" spans="2:27" x14ac:dyDescent="0.35">
      <c r="B331" s="58"/>
      <c r="C331" s="17"/>
      <c r="D331" s="17"/>
      <c r="E331" s="17"/>
      <c r="F331" s="17"/>
      <c r="G331" s="17"/>
      <c r="H331" s="17"/>
      <c r="I331" s="17"/>
      <c r="J331" s="17"/>
      <c r="K331" s="17"/>
      <c r="L331" s="17"/>
      <c r="M331" s="17"/>
      <c r="N331" s="17"/>
      <c r="O331" s="17"/>
      <c r="P331" s="17"/>
      <c r="Q331" s="17"/>
      <c r="R331" s="17"/>
      <c r="S331" s="152"/>
      <c r="T331" s="152"/>
      <c r="U331" s="152"/>
      <c r="V331" s="152"/>
      <c r="W331" s="152"/>
      <c r="X331" s="152"/>
      <c r="Z331" s="152"/>
    </row>
    <row r="332" spans="2:27" x14ac:dyDescent="0.35">
      <c r="B332" s="58"/>
      <c r="C332" s="17"/>
      <c r="D332" s="17"/>
      <c r="E332" s="17"/>
      <c r="F332" s="17"/>
      <c r="G332" s="17"/>
      <c r="H332" s="17"/>
      <c r="I332" s="17"/>
      <c r="J332" s="17"/>
      <c r="K332" s="17"/>
      <c r="L332" s="17"/>
      <c r="M332" s="17"/>
      <c r="N332" s="17"/>
      <c r="O332" s="17"/>
      <c r="P332" s="17"/>
      <c r="Q332" s="17"/>
      <c r="R332" s="17"/>
      <c r="S332" s="152"/>
      <c r="T332" s="152"/>
      <c r="U332" s="152"/>
      <c r="V332" s="152"/>
      <c r="W332" s="152"/>
      <c r="X332" s="152"/>
      <c r="Z332" s="152"/>
    </row>
    <row r="333" spans="2:27" x14ac:dyDescent="0.35">
      <c r="B333" s="58"/>
      <c r="C333" s="17"/>
      <c r="D333" s="17"/>
      <c r="E333" s="17"/>
      <c r="F333" s="17"/>
      <c r="G333" s="17"/>
      <c r="H333" s="17"/>
      <c r="I333" s="17"/>
      <c r="J333" s="17"/>
      <c r="K333" s="17"/>
      <c r="L333" s="17"/>
      <c r="M333" s="17"/>
      <c r="N333" s="17"/>
      <c r="O333" s="17"/>
      <c r="P333" s="17"/>
      <c r="Q333" s="17"/>
      <c r="R333" s="17"/>
      <c r="S333" s="152"/>
      <c r="T333" s="152"/>
      <c r="U333" s="152"/>
      <c r="V333" s="152"/>
      <c r="W333" s="152"/>
      <c r="X333" s="152"/>
      <c r="Z333" s="152"/>
    </row>
    <row r="334" spans="2:27" x14ac:dyDescent="0.35">
      <c r="B334" s="58"/>
      <c r="C334" s="17"/>
      <c r="D334" s="17"/>
      <c r="E334" s="17"/>
      <c r="F334" s="17"/>
      <c r="G334" s="17"/>
      <c r="H334" s="17"/>
      <c r="I334" s="17"/>
      <c r="J334" s="17"/>
      <c r="K334" s="17"/>
      <c r="L334" s="17"/>
      <c r="M334" s="17"/>
      <c r="N334" s="17"/>
      <c r="O334" s="17"/>
      <c r="P334" s="17"/>
      <c r="Q334" s="17"/>
      <c r="R334" s="17"/>
      <c r="S334" s="152"/>
      <c r="T334" s="152"/>
      <c r="U334" s="152"/>
      <c r="V334" s="152"/>
      <c r="W334" s="152"/>
      <c r="X334" s="152"/>
      <c r="Z334" s="152"/>
    </row>
    <row r="335" spans="2:27" x14ac:dyDescent="0.35">
      <c r="B335" s="58"/>
      <c r="C335" s="17"/>
      <c r="D335" s="17"/>
      <c r="E335" s="17"/>
      <c r="F335" s="17"/>
      <c r="G335" s="17"/>
      <c r="H335" s="17"/>
      <c r="I335" s="17"/>
      <c r="J335" s="17"/>
      <c r="K335" s="17"/>
      <c r="L335" s="17"/>
      <c r="M335" s="17"/>
      <c r="N335" s="17"/>
      <c r="O335" s="17"/>
      <c r="P335" s="17"/>
      <c r="Q335" s="17"/>
      <c r="R335" s="17"/>
      <c r="S335" s="152"/>
      <c r="T335" s="152"/>
      <c r="U335" s="152"/>
      <c r="V335" s="152"/>
      <c r="W335" s="152"/>
      <c r="X335" s="152"/>
      <c r="Z335" s="152"/>
    </row>
    <row r="336" spans="2:27" x14ac:dyDescent="0.35">
      <c r="B336" s="58"/>
      <c r="C336" s="17"/>
      <c r="D336" s="17"/>
      <c r="E336" s="17"/>
      <c r="F336" s="17"/>
      <c r="G336" s="17"/>
      <c r="H336" s="17"/>
      <c r="I336" s="17"/>
      <c r="J336" s="17"/>
      <c r="K336" s="17"/>
      <c r="L336" s="17"/>
      <c r="M336" s="17"/>
      <c r="N336" s="17"/>
      <c r="O336" s="17"/>
      <c r="P336" s="17"/>
      <c r="Q336" s="17"/>
      <c r="R336" s="17"/>
      <c r="S336" s="152"/>
      <c r="T336" s="152"/>
      <c r="U336" s="152"/>
      <c r="V336" s="152"/>
      <c r="W336" s="152"/>
      <c r="X336" s="152"/>
      <c r="Z336" s="152"/>
    </row>
    <row r="337" spans="1:43" x14ac:dyDescent="0.35">
      <c r="B337" s="58"/>
      <c r="C337" s="17"/>
      <c r="D337" s="17"/>
      <c r="E337" s="17"/>
      <c r="F337" s="17"/>
      <c r="G337" s="17"/>
      <c r="H337" s="17"/>
      <c r="I337" s="17"/>
      <c r="J337" s="17"/>
      <c r="K337" s="17"/>
      <c r="L337" s="17"/>
      <c r="M337" s="17"/>
      <c r="N337" s="17"/>
      <c r="O337" s="17"/>
      <c r="P337" s="17"/>
      <c r="Q337" s="17"/>
      <c r="R337" s="17"/>
      <c r="S337" s="152"/>
      <c r="T337" s="152"/>
      <c r="U337" s="152"/>
      <c r="V337" s="152"/>
      <c r="W337" s="152"/>
      <c r="X337" s="152"/>
      <c r="Z337" s="152"/>
    </row>
    <row r="338" spans="1:43" x14ac:dyDescent="0.35">
      <c r="B338" s="58"/>
      <c r="C338" s="17"/>
      <c r="D338" s="17"/>
      <c r="E338" s="17"/>
      <c r="F338" s="17"/>
      <c r="G338" s="17"/>
      <c r="H338" s="17"/>
      <c r="I338" s="17"/>
      <c r="J338" s="17"/>
      <c r="K338" s="17"/>
      <c r="L338" s="17"/>
      <c r="M338" s="17"/>
      <c r="N338" s="17"/>
      <c r="O338" s="17"/>
      <c r="P338" s="17"/>
      <c r="Q338" s="17"/>
      <c r="R338" s="17"/>
      <c r="S338" s="152"/>
      <c r="T338" s="152"/>
      <c r="U338" s="152"/>
      <c r="V338" s="152"/>
      <c r="W338" s="152"/>
      <c r="X338" s="152"/>
      <c r="Z338" s="152"/>
    </row>
    <row r="339" spans="1:43" x14ac:dyDescent="0.35">
      <c r="B339" s="58"/>
      <c r="C339" s="17"/>
      <c r="D339" s="17"/>
      <c r="E339" s="17"/>
      <c r="F339" s="17"/>
      <c r="G339" s="17"/>
      <c r="H339" s="17"/>
      <c r="I339" s="17"/>
      <c r="J339" s="17"/>
      <c r="K339" s="17"/>
      <c r="L339" s="17"/>
      <c r="M339" s="17"/>
      <c r="N339" s="17"/>
      <c r="O339" s="17"/>
      <c r="P339" s="17"/>
      <c r="Q339" s="17"/>
      <c r="R339" s="17"/>
      <c r="S339" s="152"/>
      <c r="T339" s="152"/>
      <c r="U339" s="152"/>
      <c r="V339" s="152"/>
      <c r="W339" s="152"/>
      <c r="X339" s="152"/>
      <c r="Z339" s="152"/>
    </row>
    <row r="340" spans="1:43" x14ac:dyDescent="0.35">
      <c r="B340" s="58"/>
      <c r="C340" s="17"/>
      <c r="D340" s="17"/>
      <c r="E340" s="17"/>
      <c r="F340" s="17"/>
      <c r="G340" s="17"/>
      <c r="H340" s="17"/>
      <c r="I340" s="17"/>
      <c r="J340" s="17"/>
      <c r="K340" s="17"/>
      <c r="L340" s="17"/>
      <c r="M340" s="17"/>
      <c r="N340" s="17"/>
      <c r="O340" s="17"/>
      <c r="P340" s="17"/>
      <c r="Q340" s="17"/>
      <c r="R340" s="17"/>
      <c r="S340" s="152"/>
      <c r="T340" s="152"/>
      <c r="U340" s="152"/>
      <c r="V340" s="152"/>
      <c r="W340" s="152"/>
      <c r="X340" s="152"/>
      <c r="Z340" s="152"/>
    </row>
    <row r="341" spans="1:43" x14ac:dyDescent="0.35">
      <c r="B341" s="84" t="s">
        <v>298</v>
      </c>
      <c r="C341" s="17"/>
      <c r="D341" s="17"/>
      <c r="E341" s="17"/>
      <c r="F341" s="17"/>
      <c r="G341" s="17"/>
      <c r="H341" s="17"/>
      <c r="I341" s="17"/>
      <c r="J341" s="17"/>
      <c r="K341" s="17"/>
      <c r="L341" s="17"/>
      <c r="M341" s="17"/>
      <c r="N341" s="84"/>
      <c r="O341" s="84"/>
      <c r="P341" s="84"/>
      <c r="Q341" s="84"/>
      <c r="R341" s="84"/>
      <c r="S341" s="84"/>
      <c r="T341" s="84"/>
      <c r="U341" s="84"/>
      <c r="V341" s="84"/>
      <c r="W341" s="84"/>
      <c r="X341" s="84"/>
      <c r="Y341" s="84"/>
      <c r="AA341" s="309"/>
      <c r="AB341" s="56"/>
      <c r="AC341" s="56"/>
      <c r="AD341" s="56"/>
      <c r="AE341" s="56"/>
      <c r="AF341" s="56"/>
      <c r="AG341" s="56"/>
      <c r="AH341" s="56"/>
      <c r="AI341" s="56"/>
      <c r="AJ341" s="56"/>
      <c r="AK341" s="56"/>
      <c r="AL341" s="56"/>
      <c r="AM341" s="56"/>
      <c r="AN341" s="56"/>
      <c r="AO341" s="56"/>
      <c r="AP341" s="56"/>
      <c r="AQ341" s="56"/>
    </row>
    <row r="342" spans="1:43" x14ac:dyDescent="0.35">
      <c r="B342" s="241" t="s">
        <v>80</v>
      </c>
      <c r="C342" s="123">
        <v>2016</v>
      </c>
      <c r="D342" s="140">
        <v>2017</v>
      </c>
      <c r="E342" s="140">
        <v>2018</v>
      </c>
      <c r="F342" s="123">
        <v>2019</v>
      </c>
      <c r="G342" s="123">
        <v>2020</v>
      </c>
      <c r="H342" s="123">
        <v>2021</v>
      </c>
      <c r="I342" s="123">
        <v>2022</v>
      </c>
      <c r="J342" s="123">
        <v>2023</v>
      </c>
      <c r="K342" s="123">
        <v>2024</v>
      </c>
      <c r="L342" s="123">
        <v>2025</v>
      </c>
      <c r="M342" s="17"/>
      <c r="N342" s="84"/>
      <c r="O342" s="84"/>
      <c r="P342" s="84"/>
      <c r="Q342" s="84"/>
      <c r="R342" s="84"/>
      <c r="S342" s="84"/>
      <c r="T342" s="84"/>
      <c r="U342" s="84"/>
      <c r="V342" s="84"/>
      <c r="W342" s="84"/>
      <c r="X342" s="84"/>
      <c r="Y342" s="84"/>
      <c r="AA342" s="307"/>
      <c r="AB342" s="60"/>
      <c r="AC342" s="60"/>
      <c r="AD342" s="60"/>
      <c r="AE342" s="60"/>
      <c r="AF342" s="60"/>
      <c r="AG342" s="60"/>
      <c r="AH342" s="60"/>
      <c r="AI342" s="60"/>
      <c r="AJ342" s="60"/>
      <c r="AK342" s="60"/>
      <c r="AL342" s="56"/>
      <c r="AM342" s="56"/>
      <c r="AN342" s="56"/>
      <c r="AO342" s="56"/>
      <c r="AP342" s="56"/>
      <c r="AQ342" s="56"/>
    </row>
    <row r="343" spans="1:43" x14ac:dyDescent="0.35">
      <c r="B343" s="251" t="s">
        <v>382</v>
      </c>
      <c r="C343" s="162">
        <f>'CWDM and DWDM'!F8</f>
        <v>169680.78000000003</v>
      </c>
      <c r="D343" s="162">
        <f>'CWDM and DWDM'!G8</f>
        <v>102332.38</v>
      </c>
      <c r="E343" s="162">
        <f>'CWDM and DWDM'!H8</f>
        <v>0</v>
      </c>
      <c r="F343" s="162">
        <f>'CWDM and DWDM'!I8</f>
        <v>0</v>
      </c>
      <c r="G343" s="162">
        <f>'CWDM and DWDM'!J8</f>
        <v>0</v>
      </c>
      <c r="H343" s="162">
        <f>'CWDM and DWDM'!K8</f>
        <v>0</v>
      </c>
      <c r="I343" s="162">
        <f>'CWDM and DWDM'!L8</f>
        <v>0</v>
      </c>
      <c r="J343" s="162">
        <f>'CWDM and DWDM'!M8</f>
        <v>0</v>
      </c>
      <c r="K343" s="162">
        <f>'CWDM and DWDM'!N8</f>
        <v>0</v>
      </c>
      <c r="L343" s="162">
        <f>'CWDM and DWDM'!O8</f>
        <v>0</v>
      </c>
      <c r="M343" s="61"/>
      <c r="N343" s="84"/>
      <c r="O343" s="84"/>
      <c r="P343" s="84"/>
      <c r="Q343" s="84"/>
      <c r="R343" s="84"/>
      <c r="S343" s="84"/>
      <c r="T343" s="84"/>
      <c r="U343" s="84"/>
      <c r="V343" s="84"/>
      <c r="W343" s="84"/>
      <c r="X343" s="84"/>
      <c r="Y343" s="84"/>
      <c r="AA343" s="307"/>
      <c r="AB343" s="139"/>
      <c r="AC343" s="139"/>
      <c r="AD343" s="139"/>
      <c r="AE343" s="139"/>
      <c r="AF343" s="139"/>
      <c r="AG343" s="139"/>
      <c r="AH343" s="139"/>
      <c r="AI343" s="61"/>
      <c r="AJ343" s="61"/>
      <c r="AK343" s="20"/>
      <c r="AL343" s="56"/>
      <c r="AM343" s="56"/>
      <c r="AN343" s="56"/>
      <c r="AO343" s="56"/>
      <c r="AP343" s="56"/>
      <c r="AQ343" s="56"/>
    </row>
    <row r="344" spans="1:43" x14ac:dyDescent="0.35">
      <c r="B344" s="250" t="s">
        <v>68</v>
      </c>
      <c r="C344" s="383">
        <f>'WDM ports'!D10</f>
        <v>154385.15625000003</v>
      </c>
      <c r="D344" s="383">
        <f>'WDM ports'!E10</f>
        <v>165593.02040816331</v>
      </c>
      <c r="E344" s="383">
        <f>'WDM ports'!F10</f>
        <v>0</v>
      </c>
      <c r="F344" s="383">
        <f>'WDM ports'!G10</f>
        <v>0</v>
      </c>
      <c r="G344" s="383">
        <f>'WDM ports'!H10</f>
        <v>0</v>
      </c>
      <c r="H344" s="383">
        <f>'WDM ports'!I10</f>
        <v>0</v>
      </c>
      <c r="I344" s="383">
        <f>'WDM ports'!J10</f>
        <v>0</v>
      </c>
      <c r="J344" s="383">
        <f>'WDM ports'!K10</f>
        <v>0</v>
      </c>
      <c r="K344" s="383">
        <f>'WDM ports'!L10</f>
        <v>0</v>
      </c>
      <c r="L344" s="383">
        <f>'WDM ports'!M10</f>
        <v>0</v>
      </c>
      <c r="M344" s="61"/>
      <c r="N344" s="84"/>
      <c r="O344" s="84"/>
      <c r="P344" s="84"/>
      <c r="Q344" s="84"/>
      <c r="R344" s="84"/>
      <c r="S344" s="84"/>
      <c r="T344" s="84"/>
      <c r="U344" s="84"/>
      <c r="V344" s="84"/>
      <c r="W344" s="84"/>
      <c r="X344" s="84"/>
      <c r="Y344" s="84"/>
      <c r="AA344" s="307"/>
      <c r="AB344" s="139"/>
      <c r="AC344" s="139"/>
      <c r="AD344" s="139"/>
      <c r="AE344" s="139"/>
      <c r="AF344" s="139"/>
      <c r="AG344" s="139"/>
      <c r="AH344" s="139"/>
      <c r="AI344" s="61"/>
      <c r="AJ344" s="61"/>
      <c r="AK344" s="20"/>
      <c r="AL344" s="56"/>
      <c r="AM344" s="56"/>
      <c r="AN344" s="56"/>
      <c r="AO344" s="56"/>
      <c r="AP344" s="56"/>
      <c r="AQ344" s="56"/>
    </row>
    <row r="345" spans="1:43" x14ac:dyDescent="0.35">
      <c r="B345" s="250" t="s">
        <v>75</v>
      </c>
      <c r="C345" s="383">
        <f>'WDM ports'!D11</f>
        <v>4264</v>
      </c>
      <c r="D345" s="383">
        <f>'WDM ports'!E11</f>
        <v>501</v>
      </c>
      <c r="E345" s="383">
        <f>'WDM ports'!F11</f>
        <v>0</v>
      </c>
      <c r="F345" s="383">
        <f>'WDM ports'!G11</f>
        <v>0</v>
      </c>
      <c r="G345" s="383">
        <f>'WDM ports'!H11</f>
        <v>0</v>
      </c>
      <c r="H345" s="383">
        <f>'WDM ports'!I11</f>
        <v>0</v>
      </c>
      <c r="I345" s="383">
        <f>'WDM ports'!J11</f>
        <v>0</v>
      </c>
      <c r="J345" s="383">
        <f>'WDM ports'!K11</f>
        <v>0</v>
      </c>
      <c r="K345" s="383">
        <f>'WDM ports'!L11</f>
        <v>0</v>
      </c>
      <c r="L345" s="383">
        <f>'WDM ports'!M11</f>
        <v>0</v>
      </c>
      <c r="M345" s="61"/>
      <c r="N345" s="84"/>
      <c r="O345" s="84"/>
      <c r="P345" s="84"/>
      <c r="Q345" s="84"/>
      <c r="R345" s="84"/>
      <c r="S345" s="84"/>
      <c r="T345" s="84"/>
      <c r="U345" s="84"/>
      <c r="V345" s="84"/>
      <c r="W345" s="84"/>
      <c r="X345" s="84"/>
      <c r="Y345" s="84"/>
      <c r="AA345" s="307"/>
      <c r="AB345" s="139"/>
      <c r="AC345" s="139"/>
      <c r="AD345" s="139"/>
      <c r="AE345" s="139"/>
      <c r="AF345" s="139"/>
      <c r="AG345" s="139"/>
      <c r="AH345" s="139"/>
      <c r="AI345" s="61"/>
      <c r="AJ345" s="61"/>
      <c r="AK345" s="20"/>
      <c r="AL345" s="56"/>
      <c r="AM345" s="56"/>
      <c r="AN345" s="56"/>
      <c r="AO345" s="56"/>
      <c r="AP345" s="56"/>
      <c r="AQ345" s="56"/>
    </row>
    <row r="346" spans="1:43" x14ac:dyDescent="0.35">
      <c r="B346" s="250" t="s">
        <v>26</v>
      </c>
      <c r="C346" s="383">
        <f>'WDM ports'!D12</f>
        <v>86832</v>
      </c>
      <c r="D346" s="383">
        <f>'WDM ports'!E12</f>
        <v>110000</v>
      </c>
      <c r="E346" s="383">
        <f>'WDM ports'!F12</f>
        <v>0</v>
      </c>
      <c r="F346" s="383">
        <f>'WDM ports'!G12</f>
        <v>0</v>
      </c>
      <c r="G346" s="383">
        <f>'WDM ports'!H12</f>
        <v>0</v>
      </c>
      <c r="H346" s="383">
        <f>'WDM ports'!I12</f>
        <v>0</v>
      </c>
      <c r="I346" s="383">
        <f>'WDM ports'!J12</f>
        <v>0</v>
      </c>
      <c r="J346" s="383">
        <f>'WDM ports'!K12</f>
        <v>0</v>
      </c>
      <c r="K346" s="383">
        <f>'WDM ports'!L12</f>
        <v>0</v>
      </c>
      <c r="L346" s="383">
        <f>'WDM ports'!M12</f>
        <v>0</v>
      </c>
      <c r="M346" s="61"/>
      <c r="N346" s="84"/>
      <c r="O346" s="84"/>
      <c r="P346" s="84"/>
      <c r="Q346" s="84"/>
      <c r="R346" s="84"/>
      <c r="S346" s="84"/>
      <c r="T346" s="84"/>
      <c r="U346" s="84"/>
      <c r="V346" s="84"/>
      <c r="W346" s="84"/>
      <c r="X346" s="84"/>
      <c r="Y346" s="84"/>
      <c r="AA346" s="307"/>
      <c r="AB346" s="139"/>
      <c r="AC346" s="139"/>
      <c r="AD346" s="139"/>
      <c r="AE346" s="139"/>
      <c r="AF346" s="139"/>
      <c r="AG346" s="139"/>
      <c r="AH346" s="139"/>
      <c r="AI346" s="61"/>
      <c r="AJ346" s="61"/>
      <c r="AK346" s="20"/>
      <c r="AL346" s="56"/>
      <c r="AM346" s="56"/>
      <c r="AN346" s="56"/>
      <c r="AO346" s="56"/>
      <c r="AP346" s="56"/>
      <c r="AQ346" s="56"/>
    </row>
    <row r="347" spans="1:43" x14ac:dyDescent="0.35">
      <c r="B347" s="250" t="s">
        <v>159</v>
      </c>
      <c r="C347" s="383">
        <f>'WDM ports'!D13</f>
        <v>0</v>
      </c>
      <c r="D347" s="383">
        <f>'WDM ports'!E13</f>
        <v>2000</v>
      </c>
      <c r="E347" s="383">
        <f>'WDM ports'!F13</f>
        <v>0</v>
      </c>
      <c r="F347" s="383">
        <f>'WDM ports'!G13</f>
        <v>0</v>
      </c>
      <c r="G347" s="383">
        <f>'WDM ports'!H13</f>
        <v>0</v>
      </c>
      <c r="H347" s="383">
        <f>'WDM ports'!I13</f>
        <v>0</v>
      </c>
      <c r="I347" s="383">
        <f>'WDM ports'!J13</f>
        <v>0</v>
      </c>
      <c r="J347" s="383">
        <f>'WDM ports'!K13</f>
        <v>0</v>
      </c>
      <c r="K347" s="383">
        <f>'WDM ports'!L13</f>
        <v>0</v>
      </c>
      <c r="L347" s="383">
        <f>'WDM ports'!M13</f>
        <v>0</v>
      </c>
      <c r="M347" s="61"/>
      <c r="N347" s="84"/>
      <c r="O347" s="84"/>
      <c r="P347" s="84"/>
      <c r="Q347" s="84"/>
      <c r="R347" s="84"/>
      <c r="S347" s="84"/>
      <c r="T347" s="84"/>
      <c r="U347" s="84"/>
      <c r="V347" s="84"/>
      <c r="W347" s="84"/>
      <c r="X347" s="84"/>
      <c r="Y347" s="84"/>
      <c r="AA347" s="307"/>
      <c r="AB347" s="139"/>
      <c r="AC347" s="139"/>
      <c r="AD347" s="139"/>
      <c r="AE347" s="139"/>
      <c r="AF347" s="139"/>
      <c r="AG347" s="139"/>
      <c r="AH347" s="139"/>
      <c r="AI347" s="61"/>
      <c r="AJ347" s="61"/>
      <c r="AK347" s="20"/>
      <c r="AL347" s="56"/>
      <c r="AM347" s="56"/>
      <c r="AN347" s="56"/>
      <c r="AO347" s="56"/>
      <c r="AP347" s="56"/>
      <c r="AQ347" s="56"/>
    </row>
    <row r="348" spans="1:43" x14ac:dyDescent="0.35">
      <c r="B348" s="252" t="s">
        <v>95</v>
      </c>
      <c r="C348" s="501">
        <f>'WDM ports'!D14</f>
        <v>0</v>
      </c>
      <c r="D348" s="501">
        <f>'WDM ports'!E14</f>
        <v>0</v>
      </c>
      <c r="E348" s="501">
        <f>'WDM ports'!F14</f>
        <v>0</v>
      </c>
      <c r="F348" s="501">
        <f>'WDM ports'!G14</f>
        <v>0</v>
      </c>
      <c r="G348" s="501">
        <f>'WDM ports'!H14</f>
        <v>0</v>
      </c>
      <c r="H348" s="501">
        <f>'WDM ports'!I14</f>
        <v>0</v>
      </c>
      <c r="I348" s="501">
        <f>'WDM ports'!J14</f>
        <v>0</v>
      </c>
      <c r="J348" s="501">
        <f>'WDM ports'!K14</f>
        <v>0</v>
      </c>
      <c r="K348" s="501">
        <f>'WDM ports'!L14</f>
        <v>0</v>
      </c>
      <c r="L348" s="501">
        <f>'WDM ports'!M14</f>
        <v>0</v>
      </c>
      <c r="M348" s="61"/>
      <c r="N348" s="84"/>
      <c r="O348" s="84"/>
      <c r="P348" s="84"/>
      <c r="Q348" s="84"/>
      <c r="R348" s="84"/>
      <c r="S348" s="84"/>
      <c r="T348" s="84"/>
      <c r="U348" s="84"/>
      <c r="V348" s="84"/>
      <c r="W348" s="84"/>
      <c r="X348" s="84"/>
      <c r="Y348" s="84"/>
      <c r="AA348" s="310"/>
      <c r="AB348" s="139"/>
      <c r="AC348" s="139"/>
      <c r="AD348" s="139"/>
      <c r="AE348" s="139"/>
      <c r="AF348" s="139"/>
      <c r="AG348" s="139"/>
      <c r="AH348" s="139"/>
      <c r="AI348" s="61"/>
      <c r="AJ348" s="61"/>
      <c r="AK348" s="20"/>
      <c r="AL348" s="56"/>
      <c r="AM348" s="56"/>
      <c r="AN348" s="56"/>
      <c r="AO348" s="56"/>
      <c r="AP348" s="56"/>
      <c r="AQ348" s="56"/>
    </row>
    <row r="349" spans="1:43" x14ac:dyDescent="0.35">
      <c r="B349" s="322" t="s">
        <v>79</v>
      </c>
      <c r="C349" s="132">
        <f>SUM(C344:C348)</f>
        <v>245481.15625000003</v>
      </c>
      <c r="D349" s="132">
        <f>SUM(D344:D348)</f>
        <v>278094.02040816331</v>
      </c>
      <c r="E349" s="132">
        <f t="shared" ref="E349:L349" si="49">SUM(E344:E348)</f>
        <v>0</v>
      </c>
      <c r="F349" s="132">
        <f t="shared" si="49"/>
        <v>0</v>
      </c>
      <c r="G349" s="132">
        <f t="shared" si="49"/>
        <v>0</v>
      </c>
      <c r="H349" s="132">
        <f t="shared" si="49"/>
        <v>0</v>
      </c>
      <c r="I349" s="132">
        <f t="shared" si="49"/>
        <v>0</v>
      </c>
      <c r="J349" s="132">
        <f t="shared" si="49"/>
        <v>0</v>
      </c>
      <c r="K349" s="132">
        <f t="shared" si="49"/>
        <v>0</v>
      </c>
      <c r="L349" s="132">
        <f t="shared" si="49"/>
        <v>0</v>
      </c>
      <c r="M349" s="32"/>
      <c r="N349" s="84"/>
      <c r="O349" s="84"/>
      <c r="P349" s="84"/>
      <c r="Q349" s="84"/>
      <c r="R349" s="84"/>
      <c r="S349" s="84"/>
      <c r="T349" s="84"/>
      <c r="U349" s="84"/>
      <c r="V349" s="84"/>
      <c r="W349" s="84"/>
      <c r="X349" s="84"/>
      <c r="Y349" s="84"/>
      <c r="Z349" s="152"/>
    </row>
    <row r="350" spans="1:43" x14ac:dyDescent="0.35">
      <c r="B350" s="58"/>
      <c r="C350" s="17"/>
      <c r="D350" s="17"/>
      <c r="E350" s="17"/>
      <c r="F350" s="17"/>
      <c r="G350" s="17"/>
      <c r="H350" s="17"/>
      <c r="I350" s="17"/>
      <c r="J350" s="17"/>
      <c r="K350" s="17"/>
      <c r="L350" s="17"/>
      <c r="M350" s="17"/>
      <c r="N350" s="15"/>
      <c r="O350" s="32"/>
      <c r="P350" s="32"/>
      <c r="Q350" s="32"/>
      <c r="R350" s="32"/>
      <c r="S350" s="32"/>
      <c r="T350" s="32"/>
      <c r="U350" s="32"/>
      <c r="V350" s="32"/>
      <c r="W350" s="32"/>
      <c r="X350" s="32"/>
      <c r="Y350" s="21"/>
      <c r="Z350" s="152"/>
    </row>
    <row r="351" spans="1:43" x14ac:dyDescent="0.35">
      <c r="B351" s="15"/>
      <c r="C351" s="32"/>
      <c r="D351" s="32"/>
      <c r="E351" s="32"/>
      <c r="F351" s="32"/>
      <c r="G351" s="32"/>
      <c r="H351" s="32"/>
      <c r="I351" s="32"/>
      <c r="J351" s="32"/>
      <c r="K351" s="32"/>
      <c r="L351" s="32"/>
      <c r="M351" s="32"/>
      <c r="N351" s="15"/>
      <c r="O351" s="32"/>
      <c r="P351" s="32"/>
      <c r="Q351" s="32"/>
      <c r="R351" s="32"/>
      <c r="S351" s="32"/>
      <c r="T351" s="32"/>
      <c r="U351" s="32"/>
      <c r="V351" s="32"/>
      <c r="W351" s="32"/>
      <c r="X351" s="32"/>
      <c r="Z351" s="152"/>
    </row>
    <row r="352" spans="1:43" s="92" customFormat="1" ht="18" x14ac:dyDescent="0.4">
      <c r="A352" s="89" t="s">
        <v>8</v>
      </c>
      <c r="B352" s="78"/>
      <c r="C352" s="90"/>
      <c r="D352" s="90"/>
      <c r="E352" s="80"/>
      <c r="F352" s="80"/>
      <c r="G352" s="80"/>
      <c r="H352" s="80"/>
      <c r="I352" s="80"/>
      <c r="J352" s="91"/>
      <c r="K352" s="91"/>
      <c r="L352" s="91"/>
      <c r="M352" s="91"/>
      <c r="N352" s="91"/>
      <c r="O352" s="78"/>
      <c r="P352" s="78"/>
      <c r="Q352" s="78"/>
      <c r="R352" s="78"/>
      <c r="S352" s="78"/>
      <c r="T352" s="78"/>
      <c r="U352" s="78"/>
      <c r="V352" s="78"/>
      <c r="W352" s="78"/>
      <c r="X352" s="78"/>
      <c r="Z352" s="91"/>
      <c r="AA352" s="311"/>
    </row>
    <row r="353" spans="1:26" x14ac:dyDescent="0.35">
      <c r="A353" s="56"/>
      <c r="B353" s="93" t="s">
        <v>81</v>
      </c>
      <c r="C353" s="61"/>
      <c r="D353" s="61"/>
      <c r="E353" s="61"/>
      <c r="F353" s="61"/>
      <c r="G353" s="61"/>
      <c r="H353" s="61"/>
      <c r="I353" s="61"/>
      <c r="J353" s="50"/>
      <c r="K353" s="50"/>
      <c r="L353" s="50"/>
      <c r="M353" s="50"/>
      <c r="N353" s="93" t="s">
        <v>82</v>
      </c>
      <c r="O353" s="17"/>
      <c r="P353" s="17"/>
      <c r="Q353" s="17"/>
      <c r="R353" s="17"/>
      <c r="S353" s="152"/>
      <c r="T353" s="152"/>
      <c r="U353" s="152"/>
      <c r="V353" s="152"/>
      <c r="W353" s="152"/>
      <c r="X353" s="152"/>
      <c r="Z353" s="152"/>
    </row>
    <row r="354" spans="1:26" x14ac:dyDescent="0.35">
      <c r="B354" s="31"/>
      <c r="C354" s="32"/>
      <c r="D354" s="32"/>
      <c r="E354" s="32"/>
      <c r="F354" s="32"/>
      <c r="G354" s="32"/>
      <c r="H354" s="32"/>
      <c r="I354" s="32"/>
      <c r="J354" s="33"/>
      <c r="K354" s="33"/>
      <c r="L354" s="33"/>
      <c r="M354" s="33"/>
      <c r="N354" s="33"/>
      <c r="O354" s="17"/>
      <c r="P354" s="17"/>
      <c r="Q354" s="17"/>
      <c r="R354" s="17"/>
      <c r="S354" s="152"/>
      <c r="T354" s="152"/>
      <c r="U354" s="152"/>
      <c r="V354" s="152"/>
      <c r="W354" s="152"/>
      <c r="X354" s="152"/>
      <c r="Z354" s="152"/>
    </row>
    <row r="355" spans="1:26" x14ac:dyDescent="0.35">
      <c r="B355" s="31"/>
      <c r="C355" s="32"/>
      <c r="D355" s="32"/>
      <c r="E355" s="32"/>
      <c r="F355" s="32"/>
      <c r="G355" s="32"/>
      <c r="H355" s="32"/>
      <c r="I355" s="32"/>
      <c r="J355" s="33"/>
      <c r="K355" s="33"/>
      <c r="L355" s="33"/>
      <c r="M355" s="33"/>
      <c r="N355" s="33"/>
      <c r="O355" s="17"/>
      <c r="P355" s="17"/>
      <c r="Q355" s="17"/>
      <c r="R355" s="17"/>
      <c r="S355" s="152"/>
      <c r="T355" s="152"/>
      <c r="U355" s="152"/>
      <c r="V355" s="152"/>
      <c r="W355" s="152"/>
      <c r="X355" s="152"/>
      <c r="Z355" s="152"/>
    </row>
    <row r="356" spans="1:26" x14ac:dyDescent="0.35">
      <c r="B356" s="31"/>
      <c r="C356" s="32"/>
      <c r="D356" s="32"/>
      <c r="E356" s="32"/>
      <c r="F356" s="32"/>
      <c r="G356" s="32"/>
      <c r="H356" s="32"/>
      <c r="I356" s="32"/>
      <c r="J356" s="33"/>
      <c r="K356" s="33"/>
      <c r="L356" s="33"/>
      <c r="M356" s="33"/>
      <c r="N356" s="33"/>
      <c r="O356" s="17"/>
      <c r="P356" s="17"/>
      <c r="Q356" s="17"/>
      <c r="R356" s="17"/>
      <c r="S356" s="152"/>
      <c r="T356" s="152"/>
      <c r="U356" s="152"/>
      <c r="V356" s="152"/>
      <c r="W356" s="152"/>
      <c r="X356" s="152"/>
      <c r="Z356" s="152"/>
    </row>
    <row r="357" spans="1:26" x14ac:dyDescent="0.35">
      <c r="B357" s="31"/>
      <c r="C357" s="32"/>
      <c r="D357" s="32"/>
      <c r="E357" s="32"/>
      <c r="F357" s="32"/>
      <c r="G357" s="32"/>
      <c r="H357" s="32"/>
      <c r="I357" s="32"/>
      <c r="J357" s="33"/>
      <c r="K357" s="33"/>
      <c r="L357" s="33"/>
      <c r="M357" s="33"/>
      <c r="N357" s="33"/>
      <c r="O357" s="17"/>
      <c r="P357" s="17"/>
      <c r="Q357" s="17"/>
      <c r="R357" s="17"/>
      <c r="S357" s="152"/>
      <c r="T357" s="152"/>
      <c r="U357" s="152"/>
      <c r="V357" s="152"/>
      <c r="W357" s="152"/>
      <c r="X357" s="152"/>
      <c r="Z357" s="152"/>
    </row>
    <row r="358" spans="1:26" x14ac:dyDescent="0.35">
      <c r="B358" s="31"/>
      <c r="C358" s="32"/>
      <c r="D358" s="32"/>
      <c r="E358" s="32"/>
      <c r="F358" s="32"/>
      <c r="G358" s="32"/>
      <c r="H358" s="32"/>
      <c r="I358" s="32"/>
      <c r="J358" s="33"/>
      <c r="K358" s="33"/>
      <c r="L358" s="33"/>
      <c r="M358" s="33"/>
      <c r="N358" s="33"/>
      <c r="O358" s="17"/>
      <c r="P358" s="17"/>
      <c r="Q358" s="17"/>
      <c r="R358" s="17"/>
      <c r="S358" s="152"/>
      <c r="T358" s="152"/>
      <c r="U358" s="152"/>
      <c r="V358" s="152"/>
      <c r="W358" s="152"/>
      <c r="X358" s="152"/>
      <c r="Z358" s="152"/>
    </row>
    <row r="359" spans="1:26" x14ac:dyDescent="0.35">
      <c r="B359" s="31"/>
      <c r="C359" s="32"/>
      <c r="D359" s="32"/>
      <c r="E359" s="32"/>
      <c r="F359" s="32"/>
      <c r="G359" s="32"/>
      <c r="H359" s="32"/>
      <c r="I359" s="32"/>
      <c r="J359" s="33"/>
      <c r="K359" s="33"/>
      <c r="L359" s="33"/>
      <c r="M359" s="33"/>
      <c r="N359" s="33"/>
      <c r="O359" s="17"/>
      <c r="P359" s="17"/>
      <c r="Q359" s="17"/>
      <c r="R359" s="17"/>
      <c r="S359" s="152"/>
      <c r="T359" s="152"/>
      <c r="U359" s="152"/>
      <c r="V359" s="152"/>
      <c r="W359" s="152"/>
      <c r="X359" s="152"/>
      <c r="Z359" s="152"/>
    </row>
    <row r="360" spans="1:26" x14ac:dyDescent="0.35">
      <c r="B360" s="31"/>
      <c r="C360" s="32"/>
      <c r="D360" s="32"/>
      <c r="E360" s="32"/>
      <c r="F360" s="32"/>
      <c r="G360" s="32"/>
      <c r="H360" s="32"/>
      <c r="I360" s="32"/>
      <c r="J360" s="33"/>
      <c r="K360" s="33"/>
      <c r="L360" s="33"/>
      <c r="M360" s="33"/>
      <c r="N360" s="33"/>
      <c r="O360" s="17"/>
      <c r="P360" s="17"/>
      <c r="Q360" s="17"/>
      <c r="R360" s="17"/>
      <c r="S360" s="152"/>
      <c r="T360" s="152"/>
      <c r="U360" s="152"/>
      <c r="V360" s="152"/>
      <c r="W360" s="152"/>
      <c r="X360" s="152"/>
      <c r="Z360" s="152"/>
    </row>
    <row r="361" spans="1:26" x14ac:dyDescent="0.35">
      <c r="B361" s="31"/>
      <c r="C361" s="32"/>
      <c r="D361" s="32"/>
      <c r="E361" s="32"/>
      <c r="F361" s="32"/>
      <c r="G361" s="32"/>
      <c r="H361" s="32"/>
      <c r="I361" s="32"/>
      <c r="J361" s="33"/>
      <c r="K361" s="33"/>
      <c r="L361" s="33"/>
      <c r="M361" s="33"/>
      <c r="N361" s="33"/>
      <c r="O361" s="17"/>
      <c r="P361" s="17"/>
      <c r="Q361" s="17"/>
      <c r="R361" s="17"/>
      <c r="S361" s="152"/>
      <c r="T361" s="152"/>
      <c r="U361" s="152"/>
      <c r="V361" s="152"/>
      <c r="W361" s="152"/>
      <c r="X361" s="152"/>
      <c r="Z361" s="152"/>
    </row>
    <row r="362" spans="1:26" x14ac:dyDescent="0.35">
      <c r="B362" s="31"/>
      <c r="C362" s="32"/>
      <c r="D362" s="32"/>
      <c r="E362" s="32"/>
      <c r="F362" s="32"/>
      <c r="G362" s="32"/>
      <c r="H362" s="32"/>
      <c r="I362" s="32"/>
      <c r="J362" s="33"/>
      <c r="K362" s="33"/>
      <c r="L362" s="33"/>
      <c r="M362" s="33"/>
      <c r="N362" s="33"/>
      <c r="O362" s="17"/>
      <c r="P362" s="17"/>
      <c r="Q362" s="17"/>
      <c r="R362" s="17"/>
      <c r="S362" s="152"/>
      <c r="T362" s="152"/>
      <c r="U362" s="152"/>
      <c r="V362" s="152"/>
      <c r="W362" s="152"/>
      <c r="X362" s="152"/>
      <c r="Z362" s="152"/>
    </row>
    <row r="363" spans="1:26" x14ac:dyDescent="0.35">
      <c r="B363" s="31"/>
      <c r="C363" s="32"/>
      <c r="D363" s="32"/>
      <c r="E363" s="32"/>
      <c r="F363" s="32"/>
      <c r="G363" s="32"/>
      <c r="H363" s="32"/>
      <c r="I363" s="32"/>
      <c r="J363" s="33"/>
      <c r="K363" s="33"/>
      <c r="L363" s="33"/>
      <c r="M363" s="33"/>
      <c r="N363" s="33"/>
      <c r="O363" s="17"/>
      <c r="P363" s="17"/>
      <c r="Q363" s="17"/>
      <c r="R363" s="17"/>
      <c r="S363" s="152"/>
      <c r="T363" s="152"/>
      <c r="U363" s="152"/>
      <c r="V363" s="152"/>
      <c r="W363" s="152"/>
      <c r="X363" s="152"/>
      <c r="Z363" s="152"/>
    </row>
    <row r="364" spans="1:26" x14ac:dyDescent="0.35">
      <c r="B364" s="31"/>
      <c r="C364" s="32"/>
      <c r="D364" s="32"/>
      <c r="E364" s="32"/>
      <c r="F364" s="32"/>
      <c r="G364" s="32"/>
      <c r="H364" s="32"/>
      <c r="I364" s="32"/>
      <c r="J364" s="33"/>
      <c r="K364" s="33"/>
      <c r="L364" s="33"/>
      <c r="M364" s="33"/>
      <c r="N364" s="33"/>
      <c r="O364" s="17"/>
      <c r="P364" s="17"/>
      <c r="Q364" s="17"/>
      <c r="R364" s="17"/>
      <c r="S364" s="152"/>
      <c r="T364" s="152"/>
      <c r="U364" s="152"/>
      <c r="V364" s="152"/>
      <c r="W364" s="152"/>
      <c r="X364" s="152"/>
      <c r="Z364" s="152"/>
    </row>
    <row r="365" spans="1:26" x14ac:dyDescent="0.35">
      <c r="B365" s="31"/>
      <c r="C365" s="32"/>
      <c r="D365" s="32"/>
      <c r="E365" s="32"/>
      <c r="F365" s="32"/>
      <c r="G365" s="32"/>
      <c r="H365" s="32"/>
      <c r="I365" s="32"/>
      <c r="J365" s="33"/>
      <c r="K365" s="33"/>
      <c r="L365" s="33"/>
      <c r="M365" s="33"/>
      <c r="N365" s="33"/>
      <c r="O365" s="17"/>
      <c r="P365" s="17"/>
      <c r="Q365" s="17"/>
      <c r="R365" s="17"/>
      <c r="S365" s="152"/>
      <c r="T365" s="152"/>
      <c r="U365" s="152"/>
      <c r="V365" s="152"/>
      <c r="W365" s="152"/>
      <c r="X365" s="152"/>
      <c r="Z365" s="152"/>
    </row>
    <row r="366" spans="1:26" x14ac:dyDescent="0.35">
      <c r="B366" s="31"/>
      <c r="C366" s="32"/>
      <c r="D366" s="32"/>
      <c r="E366" s="32"/>
      <c r="F366" s="32"/>
      <c r="G366" s="32"/>
      <c r="H366" s="32"/>
      <c r="I366" s="32"/>
      <c r="J366" s="33"/>
      <c r="K366" s="33"/>
      <c r="L366" s="33"/>
      <c r="M366" s="33"/>
      <c r="N366" s="33"/>
      <c r="O366" s="17"/>
      <c r="P366" s="17"/>
      <c r="Q366" s="17"/>
      <c r="R366" s="17"/>
      <c r="S366" s="152"/>
      <c r="T366" s="152"/>
      <c r="U366" s="152"/>
      <c r="V366" s="152"/>
      <c r="W366" s="152"/>
      <c r="X366" s="152"/>
      <c r="Z366" s="152"/>
    </row>
    <row r="367" spans="1:26" x14ac:dyDescent="0.35">
      <c r="B367" s="31"/>
      <c r="C367" s="32"/>
      <c r="D367" s="32"/>
      <c r="E367" s="32"/>
      <c r="F367" s="32"/>
      <c r="G367" s="32"/>
      <c r="H367" s="32"/>
      <c r="I367" s="32"/>
      <c r="J367" s="33"/>
      <c r="K367" s="33"/>
      <c r="L367" s="33"/>
      <c r="M367" s="33"/>
      <c r="N367" s="33"/>
      <c r="O367" s="17"/>
      <c r="P367" s="17"/>
      <c r="Q367" s="17"/>
      <c r="R367" s="17"/>
      <c r="S367" s="152"/>
      <c r="T367" s="152"/>
      <c r="U367" s="152"/>
      <c r="V367" s="152"/>
      <c r="W367" s="152"/>
      <c r="X367" s="152"/>
      <c r="Z367" s="152"/>
    </row>
    <row r="368" spans="1:26" x14ac:dyDescent="0.35">
      <c r="B368" s="31"/>
      <c r="C368" s="32"/>
      <c r="D368" s="32"/>
      <c r="E368" s="32"/>
      <c r="F368" s="32"/>
      <c r="G368" s="32"/>
      <c r="H368" s="32"/>
      <c r="I368" s="32"/>
      <c r="J368" s="33"/>
      <c r="K368" s="33"/>
      <c r="L368" s="33"/>
      <c r="M368" s="33"/>
      <c r="N368" s="33"/>
      <c r="O368" s="17"/>
      <c r="P368" s="17"/>
      <c r="Q368" s="17"/>
      <c r="R368" s="17"/>
      <c r="S368" s="152"/>
      <c r="T368" s="152"/>
      <c r="U368" s="152"/>
      <c r="V368" s="152"/>
      <c r="W368" s="152"/>
      <c r="X368" s="152"/>
      <c r="Z368" s="152"/>
    </row>
    <row r="369" spans="2:27" x14ac:dyDescent="0.35">
      <c r="B369" s="31"/>
      <c r="C369" s="32"/>
      <c r="D369" s="32"/>
      <c r="E369" s="32"/>
      <c r="F369" s="32"/>
      <c r="G369" s="32"/>
      <c r="H369" s="32"/>
      <c r="I369" s="32"/>
      <c r="J369" s="33"/>
      <c r="K369" s="33"/>
      <c r="L369" s="33"/>
      <c r="M369" s="33"/>
      <c r="N369" s="33"/>
      <c r="O369" s="17"/>
      <c r="P369" s="17"/>
      <c r="Q369" s="17"/>
      <c r="R369" s="17"/>
      <c r="S369" s="152"/>
      <c r="T369" s="152"/>
      <c r="U369" s="152"/>
      <c r="V369" s="152"/>
      <c r="W369" s="152"/>
      <c r="X369" s="152"/>
      <c r="Z369" s="152"/>
    </row>
    <row r="370" spans="2:27" x14ac:dyDescent="0.35">
      <c r="B370" s="31"/>
      <c r="C370" s="32"/>
      <c r="D370" s="32"/>
      <c r="E370" s="32"/>
      <c r="F370" s="32"/>
      <c r="G370" s="32"/>
      <c r="H370" s="32"/>
      <c r="I370" s="32"/>
      <c r="J370" s="33"/>
      <c r="K370" s="33"/>
      <c r="L370" s="33"/>
      <c r="M370" s="33"/>
      <c r="N370" s="33"/>
      <c r="O370" s="17"/>
      <c r="P370" s="17"/>
      <c r="Q370" s="17"/>
      <c r="R370" s="17"/>
      <c r="S370" s="152"/>
      <c r="T370" s="152"/>
      <c r="U370" s="152"/>
      <c r="V370" s="152"/>
      <c r="W370" s="152"/>
      <c r="X370" s="152"/>
      <c r="Z370" s="152"/>
    </row>
    <row r="371" spans="2:27" x14ac:dyDescent="0.35">
      <c r="B371" s="31"/>
      <c r="C371" s="32"/>
      <c r="D371" s="32"/>
      <c r="E371" s="32"/>
      <c r="F371" s="32"/>
      <c r="G371" s="32"/>
      <c r="H371" s="32"/>
      <c r="I371" s="32"/>
      <c r="J371" s="33"/>
      <c r="K371" s="33"/>
      <c r="L371" s="33"/>
      <c r="M371" s="33"/>
      <c r="N371" s="33"/>
      <c r="O371" s="17"/>
      <c r="P371" s="17"/>
      <c r="Q371" s="17"/>
      <c r="R371" s="17"/>
      <c r="S371" s="152"/>
      <c r="T371" s="152"/>
      <c r="U371" s="152"/>
      <c r="V371" s="152"/>
      <c r="W371" s="152"/>
      <c r="X371" s="152"/>
      <c r="Z371" s="152"/>
    </row>
    <row r="372" spans="2:27" x14ac:dyDescent="0.35">
      <c r="B372" s="31"/>
      <c r="C372" s="32"/>
      <c r="D372" s="32"/>
      <c r="E372" s="32"/>
      <c r="F372" s="32"/>
      <c r="G372" s="32"/>
      <c r="H372" s="32"/>
      <c r="I372" s="32"/>
      <c r="J372" s="33"/>
      <c r="K372" s="33"/>
      <c r="L372" s="33"/>
      <c r="M372" s="33"/>
      <c r="N372" s="33"/>
      <c r="O372" s="17"/>
      <c r="P372" s="17"/>
      <c r="Q372" s="17"/>
      <c r="R372" s="17"/>
      <c r="S372" s="152"/>
      <c r="T372" s="152"/>
      <c r="U372" s="152"/>
      <c r="V372" s="152"/>
      <c r="W372" s="152"/>
      <c r="X372" s="152"/>
      <c r="Z372" s="152"/>
    </row>
    <row r="373" spans="2:27" x14ac:dyDescent="0.35">
      <c r="B373" s="31"/>
      <c r="C373" s="32"/>
      <c r="D373" s="32"/>
      <c r="E373" s="32"/>
      <c r="F373" s="32"/>
      <c r="G373" s="32"/>
      <c r="H373" s="32"/>
      <c r="I373" s="32"/>
      <c r="J373" s="33"/>
      <c r="K373" s="33"/>
      <c r="L373" s="33"/>
      <c r="M373" s="33"/>
      <c r="N373" s="33"/>
      <c r="O373" s="17"/>
      <c r="P373" s="17"/>
      <c r="Q373" s="17"/>
      <c r="R373" s="17"/>
      <c r="S373" s="152"/>
      <c r="T373" s="152"/>
      <c r="U373" s="152"/>
      <c r="V373" s="152"/>
      <c r="W373" s="152"/>
      <c r="X373" s="152"/>
      <c r="Z373" s="152"/>
    </row>
    <row r="374" spans="2:27" x14ac:dyDescent="0.35">
      <c r="B374" s="31"/>
      <c r="C374" s="32"/>
      <c r="D374" s="32"/>
      <c r="E374" s="32"/>
      <c r="F374" s="32"/>
      <c r="G374" s="32"/>
      <c r="H374" s="32"/>
      <c r="I374" s="32"/>
      <c r="J374" s="33"/>
      <c r="K374" s="33"/>
      <c r="L374" s="33"/>
      <c r="M374" s="33"/>
      <c r="N374" s="33"/>
      <c r="O374" s="17"/>
      <c r="P374" s="17"/>
      <c r="Q374" s="17"/>
      <c r="R374" s="17"/>
      <c r="S374" s="152"/>
      <c r="T374" s="152"/>
      <c r="U374" s="152"/>
      <c r="V374" s="152"/>
      <c r="W374" s="152"/>
      <c r="X374" s="152"/>
      <c r="Z374" s="152"/>
    </row>
    <row r="375" spans="2:27" x14ac:dyDescent="0.35">
      <c r="B375" s="31"/>
      <c r="C375" s="32"/>
      <c r="D375" s="32"/>
      <c r="E375" s="32"/>
      <c r="F375" s="32"/>
      <c r="G375" s="32"/>
      <c r="H375" s="32"/>
      <c r="I375" s="32"/>
      <c r="J375" s="33"/>
      <c r="K375" s="33"/>
      <c r="L375" s="33"/>
      <c r="M375" s="33"/>
      <c r="N375" s="33"/>
      <c r="O375" s="17"/>
      <c r="P375" s="17"/>
      <c r="Q375" s="17"/>
      <c r="R375" s="17"/>
      <c r="S375" s="152"/>
      <c r="T375" s="152"/>
      <c r="U375" s="152"/>
      <c r="V375" s="152"/>
      <c r="W375" s="152"/>
      <c r="X375" s="152"/>
      <c r="Z375" s="152"/>
    </row>
    <row r="376" spans="2:27" x14ac:dyDescent="0.35">
      <c r="B376" s="31"/>
      <c r="C376" s="32"/>
      <c r="D376" s="32"/>
      <c r="E376" s="32"/>
      <c r="F376" s="32"/>
      <c r="G376" s="32"/>
      <c r="H376" s="32"/>
      <c r="I376" s="32"/>
      <c r="J376" s="33"/>
      <c r="K376" s="33"/>
      <c r="L376" s="33"/>
      <c r="M376" s="33"/>
      <c r="N376" s="33"/>
      <c r="O376" s="17"/>
      <c r="P376" s="17"/>
      <c r="Q376" s="17"/>
      <c r="R376" s="17"/>
      <c r="S376" s="152"/>
      <c r="T376" s="152"/>
      <c r="U376" s="152"/>
      <c r="V376" s="152"/>
      <c r="W376" s="152"/>
      <c r="X376" s="152"/>
      <c r="Z376" s="152"/>
    </row>
    <row r="377" spans="2:27" x14ac:dyDescent="0.35">
      <c r="B377" s="84"/>
      <c r="C377" s="61"/>
      <c r="D377" s="61"/>
      <c r="E377" s="61"/>
      <c r="F377" s="61"/>
      <c r="G377" s="61"/>
      <c r="H377" s="61"/>
      <c r="I377" s="61"/>
      <c r="J377" s="65"/>
      <c r="K377" s="65"/>
      <c r="L377" s="65"/>
      <c r="M377" s="65"/>
      <c r="O377" s="17"/>
      <c r="P377" s="17"/>
      <c r="Q377" s="17"/>
      <c r="R377" s="17"/>
      <c r="S377" s="152"/>
      <c r="T377" s="152"/>
      <c r="U377" s="152"/>
      <c r="V377" s="152"/>
      <c r="W377" s="152"/>
      <c r="X377" s="152"/>
      <c r="Z377" s="152"/>
    </row>
    <row r="378" spans="2:27" x14ac:dyDescent="0.35">
      <c r="B378" s="84" t="s">
        <v>252</v>
      </c>
      <c r="C378" s="61"/>
      <c r="D378" s="61"/>
      <c r="E378" s="61"/>
      <c r="F378" s="61"/>
      <c r="G378" s="61"/>
      <c r="H378" s="61"/>
      <c r="I378" s="61"/>
      <c r="J378" s="165"/>
      <c r="K378" s="565"/>
      <c r="L378" s="666"/>
      <c r="M378" s="570"/>
      <c r="N378" s="85" t="s">
        <v>254</v>
      </c>
      <c r="O378" s="174"/>
      <c r="P378" s="174"/>
      <c r="Q378" s="174"/>
      <c r="R378" s="174"/>
      <c r="S378" s="174"/>
      <c r="T378" s="285"/>
      <c r="U378" s="327"/>
      <c r="V378" s="344"/>
      <c r="W378" s="565"/>
      <c r="X378" s="666"/>
      <c r="Y378" s="141" t="s">
        <v>2</v>
      </c>
    </row>
    <row r="379" spans="2:27" x14ac:dyDescent="0.35">
      <c r="B379" s="185" t="s">
        <v>70</v>
      </c>
      <c r="C379" s="123">
        <v>2016</v>
      </c>
      <c r="D379" s="140">
        <v>2017</v>
      </c>
      <c r="E379" s="140">
        <v>2018</v>
      </c>
      <c r="F379" s="123">
        <v>2019</v>
      </c>
      <c r="G379" s="123">
        <v>2020</v>
      </c>
      <c r="H379" s="123">
        <v>2021</v>
      </c>
      <c r="I379" s="123">
        <v>2022</v>
      </c>
      <c r="J379" s="123">
        <v>2023</v>
      </c>
      <c r="K379" s="123">
        <v>2024</v>
      </c>
      <c r="L379" s="123">
        <v>2025</v>
      </c>
      <c r="M379" s="570"/>
      <c r="N379" s="185" t="s">
        <v>70</v>
      </c>
      <c r="O379" s="124">
        <v>2016</v>
      </c>
      <c r="P379" s="123">
        <v>2017</v>
      </c>
      <c r="Q379" s="140">
        <v>2018</v>
      </c>
      <c r="R379" s="140">
        <v>2019</v>
      </c>
      <c r="S379" s="140">
        <v>2020</v>
      </c>
      <c r="T379" s="140">
        <v>2021</v>
      </c>
      <c r="U379" s="140">
        <v>2022</v>
      </c>
      <c r="V379" s="140">
        <v>2023</v>
      </c>
      <c r="W379" s="140">
        <v>2024</v>
      </c>
      <c r="X379" s="140">
        <v>2025</v>
      </c>
      <c r="Y379" s="123" t="str">
        <f>$Y$98</f>
        <v>2020-2025</v>
      </c>
      <c r="AA379" s="304">
        <f>SUM(O380:X382)</f>
        <v>4443.5078310843874</v>
      </c>
    </row>
    <row r="380" spans="2:27" x14ac:dyDescent="0.35">
      <c r="B380" s="24" t="s">
        <v>199</v>
      </c>
      <c r="C380" s="55">
        <f>FTTx!D16</f>
        <v>70628025.638035297</v>
      </c>
      <c r="D380" s="55">
        <f>FTTx!E16</f>
        <v>50547752.350361757</v>
      </c>
      <c r="E380" s="55">
        <f>FTTx!F16</f>
        <v>0</v>
      </c>
      <c r="F380" s="55">
        <f>FTTx!G16</f>
        <v>0</v>
      </c>
      <c r="G380" s="55">
        <f>FTTx!H16</f>
        <v>0</v>
      </c>
      <c r="H380" s="55">
        <f>FTTx!I16</f>
        <v>0</v>
      </c>
      <c r="I380" s="55">
        <f>FTTx!J16</f>
        <v>0</v>
      </c>
      <c r="J380" s="55">
        <f>FTTx!K16</f>
        <v>0</v>
      </c>
      <c r="K380" s="147">
        <f>FTTx!L16</f>
        <v>0</v>
      </c>
      <c r="L380" s="147">
        <f>FTTx!M16</f>
        <v>0</v>
      </c>
      <c r="M380" s="770" t="e">
        <f>(L380/G380)^(0.2)-1</f>
        <v>#DIV/0!</v>
      </c>
      <c r="N380" s="24" t="str">
        <f>B380</f>
        <v>China</v>
      </c>
      <c r="O380" s="125">
        <f>FTTx!D42</f>
        <v>792.3413559550562</v>
      </c>
      <c r="P380" s="125">
        <f>FTTx!E42</f>
        <v>629.54144933007183</v>
      </c>
      <c r="Q380" s="125">
        <f>FTTx!F42</f>
        <v>0</v>
      </c>
      <c r="R380" s="125">
        <f>FTTx!G42</f>
        <v>0</v>
      </c>
      <c r="S380" s="125">
        <f>FTTx!H42</f>
        <v>0</v>
      </c>
      <c r="T380" s="125">
        <f>FTTx!I42</f>
        <v>0</v>
      </c>
      <c r="U380" s="125">
        <f>FTTx!J42</f>
        <v>0</v>
      </c>
      <c r="V380" s="125">
        <f>FTTx!K42</f>
        <v>0</v>
      </c>
      <c r="W380" s="125">
        <f>FTTx!L42</f>
        <v>0</v>
      </c>
      <c r="X380" s="125">
        <f>FTTx!M42</f>
        <v>0</v>
      </c>
      <c r="Y380" s="153" t="e">
        <f>(X380/S380)^(1/5)-1</f>
        <v>#DIV/0!</v>
      </c>
      <c r="AA380" s="305">
        <f>SUM(FTTx!D112:M120)</f>
        <v>4443.5078310843874</v>
      </c>
    </row>
    <row r="381" spans="2:27" x14ac:dyDescent="0.35">
      <c r="B381" s="24" t="s">
        <v>224</v>
      </c>
      <c r="C381" s="55">
        <f>FTTx!D55</f>
        <v>33297968.543307733</v>
      </c>
      <c r="D381" s="55">
        <f>FTTx!E55</f>
        <v>28593895.924461801</v>
      </c>
      <c r="E381" s="55">
        <f>FTTx!F55</f>
        <v>0</v>
      </c>
      <c r="F381" s="55">
        <f>FTTx!G55</f>
        <v>0</v>
      </c>
      <c r="G381" s="55">
        <f>FTTx!H55</f>
        <v>0</v>
      </c>
      <c r="H381" s="55">
        <f>FTTx!I55</f>
        <v>0</v>
      </c>
      <c r="I381" s="55">
        <f>FTTx!J55</f>
        <v>0</v>
      </c>
      <c r="J381" s="55">
        <f>FTTx!K55</f>
        <v>0</v>
      </c>
      <c r="K381" s="10">
        <f>FTTx!L55</f>
        <v>0</v>
      </c>
      <c r="L381" s="10">
        <f>FTTx!M55</f>
        <v>0</v>
      </c>
      <c r="M381" s="770" t="e">
        <f>(L381/G381)^(0.2)-1</f>
        <v>#DIV/0!</v>
      </c>
      <c r="N381" s="24" t="str">
        <f>B381</f>
        <v>Rest of World</v>
      </c>
      <c r="O381" s="69">
        <f>FTTx!D81</f>
        <v>386.44799239180242</v>
      </c>
      <c r="P381" s="69">
        <f>FTTx!E81</f>
        <v>413.42311786526341</v>
      </c>
      <c r="Q381" s="69">
        <f>FTTx!F81</f>
        <v>0</v>
      </c>
      <c r="R381" s="69">
        <f>FTTx!G81</f>
        <v>0</v>
      </c>
      <c r="S381" s="69">
        <f>FTTx!H81</f>
        <v>0</v>
      </c>
      <c r="T381" s="69">
        <f>FTTx!I81</f>
        <v>0</v>
      </c>
      <c r="U381" s="69">
        <f>FTTx!J81</f>
        <v>0</v>
      </c>
      <c r="V381" s="69">
        <f>FTTx!K81</f>
        <v>0</v>
      </c>
      <c r="W381" s="69">
        <f>FTTx!L81</f>
        <v>0</v>
      </c>
      <c r="X381" s="69">
        <f>FTTx!M81</f>
        <v>0</v>
      </c>
      <c r="Y381" s="155" t="e">
        <f>(X381/S381)^(1/5)-1</f>
        <v>#DIV/0!</v>
      </c>
      <c r="AA381" s="304"/>
    </row>
    <row r="382" spans="2:27" x14ac:dyDescent="0.35">
      <c r="B382" s="187" t="s">
        <v>253</v>
      </c>
      <c r="C382" s="193">
        <f t="shared" ref="C382:J382" si="50">C381+C380</f>
        <v>103925994.18134303</v>
      </c>
      <c r="D382" s="193">
        <f t="shared" si="50"/>
        <v>79141648.274823561</v>
      </c>
      <c r="E382" s="193">
        <f t="shared" si="50"/>
        <v>0</v>
      </c>
      <c r="F382" s="193">
        <f t="shared" si="50"/>
        <v>0</v>
      </c>
      <c r="G382" s="193">
        <f t="shared" si="50"/>
        <v>0</v>
      </c>
      <c r="H382" s="193">
        <f t="shared" si="50"/>
        <v>0</v>
      </c>
      <c r="I382" s="193">
        <f t="shared" si="50"/>
        <v>0</v>
      </c>
      <c r="J382" s="193">
        <f t="shared" si="50"/>
        <v>0</v>
      </c>
      <c r="K382" s="130">
        <f>K381+K380</f>
        <v>0</v>
      </c>
      <c r="L382" s="130">
        <f>L381+L380</f>
        <v>0</v>
      </c>
      <c r="M382" s="570"/>
      <c r="N382" s="187" t="str">
        <f>B382</f>
        <v>Global</v>
      </c>
      <c r="O382" s="329">
        <f>O381+O380</f>
        <v>1178.7893483468586</v>
      </c>
      <c r="P382" s="329">
        <f t="shared" ref="P382:X382" si="51">P381+P380</f>
        <v>1042.9645671953353</v>
      </c>
      <c r="Q382" s="329">
        <f t="shared" si="51"/>
        <v>0</v>
      </c>
      <c r="R382" s="329">
        <f t="shared" si="51"/>
        <v>0</v>
      </c>
      <c r="S382" s="329">
        <f t="shared" si="51"/>
        <v>0</v>
      </c>
      <c r="T382" s="329">
        <f t="shared" si="51"/>
        <v>0</v>
      </c>
      <c r="U382" s="329">
        <f t="shared" si="51"/>
        <v>0</v>
      </c>
      <c r="V382" s="329">
        <f t="shared" si="51"/>
        <v>0</v>
      </c>
      <c r="W382" s="329">
        <f t="shared" si="51"/>
        <v>0</v>
      </c>
      <c r="X382" s="329">
        <f t="shared" si="51"/>
        <v>0</v>
      </c>
      <c r="Y382" s="155" t="e">
        <f>(X382/S382)^(1/5)-1</f>
        <v>#DIV/0!</v>
      </c>
    </row>
    <row r="383" spans="2:27" x14ac:dyDescent="0.35">
      <c r="B383" s="454" t="s">
        <v>273</v>
      </c>
      <c r="C383" s="455">
        <f t="shared" ref="C383:L383" si="52">IF(C380=0,"",C380/C382)</f>
        <v>0.6795992301482795</v>
      </c>
      <c r="D383" s="455">
        <f t="shared" si="52"/>
        <v>0.63869976747049817</v>
      </c>
      <c r="E383" s="455" t="str">
        <f t="shared" si="52"/>
        <v/>
      </c>
      <c r="F383" s="455" t="str">
        <f t="shared" si="52"/>
        <v/>
      </c>
      <c r="G383" s="455" t="str">
        <f t="shared" si="52"/>
        <v/>
      </c>
      <c r="H383" s="455" t="str">
        <f t="shared" si="52"/>
        <v/>
      </c>
      <c r="I383" s="455" t="str">
        <f t="shared" si="52"/>
        <v/>
      </c>
      <c r="J383" s="455" t="str">
        <f t="shared" si="52"/>
        <v/>
      </c>
      <c r="K383" s="455" t="str">
        <f t="shared" si="52"/>
        <v/>
      </c>
      <c r="L383" s="455" t="str">
        <f t="shared" si="52"/>
        <v/>
      </c>
      <c r="M383" s="570"/>
      <c r="N383" s="454" t="s">
        <v>273</v>
      </c>
      <c r="O383" s="455">
        <f t="shared" ref="O383:X383" si="53">IF(O380=0,"",O380/O382)</f>
        <v>0.67216535088838447</v>
      </c>
      <c r="P383" s="455">
        <f t="shared" si="53"/>
        <v>0.60360770550718612</v>
      </c>
      <c r="Q383" s="455" t="str">
        <f t="shared" si="53"/>
        <v/>
      </c>
      <c r="R383" s="455" t="str">
        <f t="shared" si="53"/>
        <v/>
      </c>
      <c r="S383" s="455" t="str">
        <f t="shared" si="53"/>
        <v/>
      </c>
      <c r="T383" s="455" t="str">
        <f t="shared" si="53"/>
        <v/>
      </c>
      <c r="U383" s="455" t="str">
        <f t="shared" si="53"/>
        <v/>
      </c>
      <c r="V383" s="455" t="str">
        <f t="shared" si="53"/>
        <v/>
      </c>
      <c r="W383" s="455" t="str">
        <f t="shared" si="53"/>
        <v/>
      </c>
      <c r="X383" s="455" t="str">
        <f t="shared" si="53"/>
        <v/>
      </c>
      <c r="Z383" s="157"/>
    </row>
    <row r="384" spans="2:27" x14ac:dyDescent="0.35">
      <c r="B384" s="31"/>
      <c r="C384" s="32"/>
      <c r="D384" s="32"/>
      <c r="E384" s="32"/>
      <c r="F384" s="32"/>
      <c r="G384" s="32"/>
      <c r="H384" s="32"/>
      <c r="I384" s="32"/>
      <c r="J384" s="33"/>
      <c r="K384" s="33"/>
      <c r="L384" s="33"/>
      <c r="M384" s="570"/>
      <c r="N384" s="33" t="s">
        <v>61</v>
      </c>
      <c r="O384" s="67"/>
      <c r="P384" s="67"/>
      <c r="Q384" s="67"/>
      <c r="R384" s="67"/>
      <c r="S384" s="152"/>
      <c r="T384" s="152"/>
      <c r="U384" s="152"/>
      <c r="V384" s="152"/>
      <c r="W384" s="152"/>
      <c r="X384" s="152"/>
      <c r="Z384" s="158"/>
    </row>
    <row r="385" spans="1:26" x14ac:dyDescent="0.35">
      <c r="A385" s="56"/>
      <c r="B385" s="93" t="s">
        <v>81</v>
      </c>
      <c r="C385" s="61"/>
      <c r="D385" s="61"/>
      <c r="E385" s="61"/>
      <c r="F385" s="61"/>
      <c r="G385" s="61"/>
      <c r="H385" s="61"/>
      <c r="I385" s="61"/>
      <c r="J385" s="50"/>
      <c r="K385" s="50"/>
      <c r="L385" s="50"/>
      <c r="M385" s="50"/>
      <c r="N385" s="93" t="s">
        <v>82</v>
      </c>
      <c r="O385" s="17"/>
      <c r="P385" s="17"/>
      <c r="Q385" s="17"/>
      <c r="R385" s="17"/>
      <c r="S385" s="152"/>
      <c r="T385" s="152"/>
      <c r="U385" s="152"/>
      <c r="V385" s="152"/>
      <c r="W385" s="152"/>
      <c r="X385" s="152"/>
      <c r="Z385" s="152"/>
    </row>
    <row r="386" spans="1:26" x14ac:dyDescent="0.35">
      <c r="B386" s="31"/>
      <c r="C386" s="32"/>
      <c r="D386" s="32"/>
      <c r="E386" s="32"/>
      <c r="F386" s="32"/>
      <c r="G386" s="32"/>
      <c r="H386" s="32"/>
      <c r="I386" s="32"/>
      <c r="J386" s="33"/>
      <c r="K386" s="33"/>
      <c r="L386" s="33"/>
      <c r="M386" s="33"/>
      <c r="N386" s="33"/>
      <c r="O386" s="17"/>
      <c r="P386" s="17"/>
      <c r="Q386" s="17"/>
      <c r="R386" s="17"/>
      <c r="S386" s="152"/>
      <c r="T386" s="152"/>
      <c r="U386" s="152"/>
      <c r="V386" s="152"/>
      <c r="W386" s="152"/>
      <c r="X386" s="152"/>
      <c r="Z386" s="152"/>
    </row>
    <row r="387" spans="1:26" x14ac:dyDescent="0.35">
      <c r="B387" s="31"/>
      <c r="C387" s="32"/>
      <c r="D387" s="32"/>
      <c r="E387" s="32"/>
      <c r="F387" s="32"/>
      <c r="G387" s="32"/>
      <c r="H387" s="32"/>
      <c r="I387" s="32"/>
      <c r="J387" s="33"/>
      <c r="K387" s="33"/>
      <c r="L387" s="33"/>
      <c r="M387" s="33"/>
      <c r="N387" s="33"/>
      <c r="O387" s="17"/>
      <c r="P387" s="17"/>
      <c r="Q387" s="17"/>
      <c r="R387" s="17"/>
      <c r="S387" s="152"/>
      <c r="T387" s="152"/>
      <c r="U387" s="152"/>
      <c r="V387" s="152"/>
      <c r="W387" s="152"/>
      <c r="X387" s="152"/>
      <c r="Z387" s="152"/>
    </row>
    <row r="388" spans="1:26" x14ac:dyDescent="0.35">
      <c r="B388" s="31"/>
      <c r="C388" s="32"/>
      <c r="D388" s="32"/>
      <c r="E388" s="32"/>
      <c r="F388" s="32"/>
      <c r="G388" s="32"/>
      <c r="H388" s="32"/>
      <c r="I388" s="32"/>
      <c r="J388" s="33"/>
      <c r="K388" s="33"/>
      <c r="L388" s="33"/>
      <c r="M388" s="33"/>
      <c r="N388" s="33"/>
      <c r="O388" s="17"/>
      <c r="P388" s="17"/>
      <c r="Q388" s="17"/>
      <c r="R388" s="17"/>
      <c r="S388" s="152"/>
      <c r="T388" s="152"/>
      <c r="U388" s="152"/>
      <c r="V388" s="152"/>
      <c r="W388" s="152"/>
      <c r="X388" s="152"/>
      <c r="Z388" s="152"/>
    </row>
    <row r="389" spans="1:26" x14ac:dyDescent="0.35">
      <c r="B389" s="31"/>
      <c r="C389" s="32"/>
      <c r="D389" s="32"/>
      <c r="E389" s="32"/>
      <c r="F389" s="32"/>
      <c r="G389" s="32"/>
      <c r="H389" s="32"/>
      <c r="I389" s="32"/>
      <c r="J389" s="33"/>
      <c r="K389" s="33"/>
      <c r="L389" s="33"/>
      <c r="M389" s="33"/>
      <c r="N389" s="33"/>
      <c r="O389" s="17"/>
      <c r="P389" s="17"/>
      <c r="Q389" s="17"/>
      <c r="R389" s="17"/>
      <c r="S389" s="152"/>
      <c r="T389" s="152"/>
      <c r="U389" s="152"/>
      <c r="V389" s="152"/>
      <c r="W389" s="152"/>
      <c r="X389" s="152"/>
      <c r="Z389" s="152"/>
    </row>
    <row r="390" spans="1:26" x14ac:dyDescent="0.35">
      <c r="B390" s="31"/>
      <c r="C390" s="32"/>
      <c r="D390" s="32"/>
      <c r="E390" s="32"/>
      <c r="F390" s="32"/>
      <c r="G390" s="32"/>
      <c r="H390" s="32"/>
      <c r="I390" s="32"/>
      <c r="J390" s="33"/>
      <c r="K390" s="33"/>
      <c r="L390" s="33"/>
      <c r="M390" s="33"/>
      <c r="N390" s="33"/>
      <c r="O390" s="17"/>
      <c r="P390" s="17"/>
      <c r="Q390" s="17"/>
      <c r="R390" s="17"/>
      <c r="S390" s="152"/>
      <c r="T390" s="152"/>
      <c r="U390" s="152"/>
      <c r="V390" s="152"/>
      <c r="W390" s="152"/>
      <c r="X390" s="152"/>
      <c r="Z390" s="152"/>
    </row>
    <row r="391" spans="1:26" x14ac:dyDescent="0.35">
      <c r="B391" s="31"/>
      <c r="C391" s="32"/>
      <c r="D391" s="32"/>
      <c r="E391" s="32"/>
      <c r="F391" s="32"/>
      <c r="G391" s="32"/>
      <c r="H391" s="32"/>
      <c r="I391" s="32"/>
      <c r="J391" s="33"/>
      <c r="K391" s="33"/>
      <c r="L391" s="33"/>
      <c r="M391" s="33"/>
      <c r="N391" s="33"/>
      <c r="O391" s="17"/>
      <c r="P391" s="17"/>
      <c r="Q391" s="17"/>
      <c r="R391" s="17"/>
      <c r="S391" s="152"/>
      <c r="T391" s="152"/>
      <c r="U391" s="152"/>
      <c r="V391" s="152"/>
      <c r="W391" s="152"/>
      <c r="X391" s="152"/>
      <c r="Z391" s="152"/>
    </row>
    <row r="392" spans="1:26" x14ac:dyDescent="0.35">
      <c r="B392" s="31"/>
      <c r="C392" s="32"/>
      <c r="D392" s="32"/>
      <c r="E392" s="32"/>
      <c r="F392" s="32"/>
      <c r="G392" s="32"/>
      <c r="H392" s="32"/>
      <c r="I392" s="32"/>
      <c r="J392" s="33"/>
      <c r="K392" s="33"/>
      <c r="L392" s="33"/>
      <c r="M392" s="33"/>
      <c r="N392" s="33"/>
      <c r="O392" s="17"/>
      <c r="P392" s="17"/>
      <c r="Q392" s="17"/>
      <c r="R392" s="17"/>
      <c r="S392" s="152"/>
      <c r="T392" s="152"/>
      <c r="U392" s="152"/>
      <c r="V392" s="152"/>
      <c r="W392" s="152"/>
      <c r="X392" s="152"/>
      <c r="Z392" s="152"/>
    </row>
    <row r="393" spans="1:26" x14ac:dyDescent="0.35">
      <c r="B393" s="31"/>
      <c r="C393" s="32"/>
      <c r="D393" s="32"/>
      <c r="E393" s="32"/>
      <c r="F393" s="32"/>
      <c r="G393" s="32"/>
      <c r="H393" s="32"/>
      <c r="I393" s="32"/>
      <c r="J393" s="33"/>
      <c r="K393" s="33"/>
      <c r="L393" s="33"/>
      <c r="M393" s="33"/>
      <c r="N393" s="33"/>
      <c r="O393" s="17"/>
      <c r="P393" s="17"/>
      <c r="Q393" s="17"/>
      <c r="R393" s="17"/>
      <c r="S393" s="152"/>
      <c r="T393" s="152"/>
      <c r="U393" s="152"/>
      <c r="V393" s="152"/>
      <c r="W393" s="152"/>
      <c r="X393" s="152"/>
      <c r="Z393" s="152"/>
    </row>
    <row r="394" spans="1:26" x14ac:dyDescent="0.35">
      <c r="B394" s="31"/>
      <c r="C394" s="32"/>
      <c r="D394" s="32"/>
      <c r="E394" s="32"/>
      <c r="F394" s="32"/>
      <c r="G394" s="32"/>
      <c r="H394" s="32"/>
      <c r="I394" s="32"/>
      <c r="J394" s="33"/>
      <c r="K394" s="33"/>
      <c r="L394" s="33"/>
      <c r="M394" s="33"/>
      <c r="N394" s="33"/>
      <c r="O394" s="17"/>
      <c r="P394" s="17"/>
      <c r="Q394" s="17"/>
      <c r="R394" s="17"/>
      <c r="S394" s="152"/>
      <c r="T394" s="152"/>
      <c r="U394" s="152"/>
      <c r="V394" s="152"/>
      <c r="W394" s="152"/>
      <c r="X394" s="152"/>
      <c r="Z394" s="152"/>
    </row>
    <row r="395" spans="1:26" x14ac:dyDescent="0.35">
      <c r="B395" s="31"/>
      <c r="C395" s="32"/>
      <c r="D395" s="32"/>
      <c r="E395" s="32"/>
      <c r="F395" s="32"/>
      <c r="G395" s="32"/>
      <c r="H395" s="32"/>
      <c r="I395" s="32"/>
      <c r="J395" s="33"/>
      <c r="K395" s="33"/>
      <c r="L395" s="33"/>
      <c r="M395" s="33"/>
      <c r="N395" s="33"/>
      <c r="O395" s="17"/>
      <c r="P395" s="17"/>
      <c r="Q395" s="17"/>
      <c r="R395" s="17"/>
      <c r="S395" s="152"/>
      <c r="T395" s="152"/>
      <c r="U395" s="152"/>
      <c r="V395" s="152"/>
      <c r="W395" s="152"/>
      <c r="X395" s="152"/>
      <c r="Z395" s="152"/>
    </row>
    <row r="396" spans="1:26" x14ac:dyDescent="0.35">
      <c r="B396" s="31"/>
      <c r="C396" s="32"/>
      <c r="D396" s="32"/>
      <c r="E396" s="32"/>
      <c r="F396" s="32"/>
      <c r="G396" s="32"/>
      <c r="H396" s="32"/>
      <c r="I396" s="32"/>
      <c r="J396" s="33"/>
      <c r="K396" s="33"/>
      <c r="L396" s="33"/>
      <c r="M396" s="33"/>
      <c r="N396" s="33"/>
      <c r="O396" s="17"/>
      <c r="P396" s="17"/>
      <c r="Q396" s="17"/>
      <c r="R396" s="17"/>
      <c r="S396" s="152"/>
      <c r="T396" s="152"/>
      <c r="U396" s="152"/>
      <c r="V396" s="152"/>
      <c r="W396" s="152"/>
      <c r="X396" s="152"/>
      <c r="Z396" s="152"/>
    </row>
    <row r="397" spans="1:26" x14ac:dyDescent="0.35">
      <c r="B397" s="31"/>
      <c r="C397" s="32"/>
      <c r="D397" s="32"/>
      <c r="E397" s="32"/>
      <c r="F397" s="32"/>
      <c r="G397" s="32"/>
      <c r="H397" s="32"/>
      <c r="I397" s="32"/>
      <c r="J397" s="33"/>
      <c r="K397" s="33"/>
      <c r="L397" s="33"/>
      <c r="M397" s="33"/>
      <c r="N397" s="33"/>
      <c r="O397" s="17"/>
      <c r="P397" s="17"/>
      <c r="Q397" s="17"/>
      <c r="R397" s="17"/>
      <c r="S397" s="152"/>
      <c r="T397" s="152"/>
      <c r="U397" s="152"/>
      <c r="V397" s="152"/>
      <c r="W397" s="152"/>
      <c r="X397" s="152"/>
      <c r="Z397" s="152"/>
    </row>
    <row r="398" spans="1:26" x14ac:dyDescent="0.35">
      <c r="B398" s="31"/>
      <c r="C398" s="32"/>
      <c r="D398" s="32"/>
      <c r="E398" s="32"/>
      <c r="F398" s="32"/>
      <c r="G398" s="32"/>
      <c r="H398" s="32"/>
      <c r="I398" s="32"/>
      <c r="J398" s="33"/>
      <c r="K398" s="33"/>
      <c r="L398" s="33"/>
      <c r="M398" s="33"/>
      <c r="N398" s="33"/>
      <c r="O398" s="17"/>
      <c r="P398" s="17"/>
      <c r="Q398" s="17"/>
      <c r="R398" s="17"/>
      <c r="S398" s="152"/>
      <c r="T398" s="152"/>
      <c r="U398" s="152"/>
      <c r="V398" s="152"/>
      <c r="W398" s="152"/>
      <c r="X398" s="152"/>
      <c r="Z398" s="152"/>
    </row>
    <row r="399" spans="1:26" x14ac:dyDescent="0.35">
      <c r="B399" s="31"/>
      <c r="C399" s="32"/>
      <c r="D399" s="32"/>
      <c r="E399" s="32"/>
      <c r="F399" s="32"/>
      <c r="G399" s="32"/>
      <c r="H399" s="32"/>
      <c r="I399" s="32"/>
      <c r="J399" s="33"/>
      <c r="K399" s="33"/>
      <c r="L399" s="33"/>
      <c r="M399" s="33"/>
      <c r="N399" s="33"/>
      <c r="O399" s="17"/>
      <c r="P399" s="17"/>
      <c r="Q399" s="17"/>
      <c r="R399" s="17"/>
      <c r="S399" s="152"/>
      <c r="T399" s="152"/>
      <c r="U399" s="152"/>
      <c r="V399" s="152"/>
      <c r="W399" s="152"/>
      <c r="X399" s="152"/>
      <c r="Z399" s="152"/>
    </row>
    <row r="400" spans="1:26" x14ac:dyDescent="0.35">
      <c r="B400" s="31"/>
      <c r="C400" s="32"/>
      <c r="D400" s="32"/>
      <c r="E400" s="32"/>
      <c r="F400" s="32"/>
      <c r="G400" s="32"/>
      <c r="H400" s="32"/>
      <c r="I400" s="32"/>
      <c r="J400" s="33"/>
      <c r="K400" s="33"/>
      <c r="L400" s="33"/>
      <c r="M400" s="33"/>
      <c r="N400" s="33"/>
      <c r="O400" s="17"/>
      <c r="P400" s="17"/>
      <c r="Q400" s="17"/>
      <c r="R400" s="17"/>
      <c r="S400" s="152"/>
      <c r="T400" s="152"/>
      <c r="U400" s="152"/>
      <c r="V400" s="152"/>
      <c r="W400" s="152"/>
      <c r="X400" s="152"/>
      <c r="Z400" s="152"/>
    </row>
    <row r="401" spans="2:27" x14ac:dyDescent="0.35">
      <c r="B401" s="31"/>
      <c r="C401" s="32"/>
      <c r="D401" s="32"/>
      <c r="E401" s="32"/>
      <c r="F401" s="32"/>
      <c r="G401" s="32"/>
      <c r="H401" s="32"/>
      <c r="I401" s="32"/>
      <c r="J401" s="33"/>
      <c r="K401" s="33"/>
      <c r="L401" s="33"/>
      <c r="M401" s="33"/>
      <c r="N401" s="33"/>
      <c r="O401" s="17"/>
      <c r="P401" s="17"/>
      <c r="Q401" s="17"/>
      <c r="R401" s="17"/>
      <c r="S401" s="152"/>
      <c r="T401" s="152"/>
      <c r="U401" s="152"/>
      <c r="V401" s="152"/>
      <c r="W401" s="152"/>
      <c r="X401" s="152"/>
      <c r="Z401" s="152"/>
    </row>
    <row r="402" spans="2:27" x14ac:dyDescent="0.35">
      <c r="B402" s="31"/>
      <c r="C402" s="32"/>
      <c r="D402" s="32"/>
      <c r="E402" s="32"/>
      <c r="F402" s="32"/>
      <c r="G402" s="32"/>
      <c r="H402" s="32"/>
      <c r="I402" s="32"/>
      <c r="J402" s="33"/>
      <c r="K402" s="33"/>
      <c r="L402" s="33"/>
      <c r="M402" s="33"/>
      <c r="N402" s="33"/>
      <c r="O402" s="17"/>
      <c r="P402" s="17"/>
      <c r="Q402" s="17"/>
      <c r="R402" s="17"/>
      <c r="S402" s="152"/>
      <c r="T402" s="152"/>
      <c r="U402" s="152"/>
      <c r="V402" s="152"/>
      <c r="W402" s="152"/>
      <c r="X402" s="152"/>
      <c r="Z402" s="152"/>
    </row>
    <row r="403" spans="2:27" x14ac:dyDescent="0.35">
      <c r="B403" s="31"/>
      <c r="C403" s="32"/>
      <c r="D403" s="32"/>
      <c r="E403" s="32"/>
      <c r="F403" s="32"/>
      <c r="G403" s="32"/>
      <c r="H403" s="32"/>
      <c r="I403" s="32"/>
      <c r="J403" s="33"/>
      <c r="K403" s="33"/>
      <c r="L403" s="33"/>
      <c r="M403" s="33"/>
      <c r="N403" s="33"/>
      <c r="O403" s="17"/>
      <c r="P403" s="17"/>
      <c r="Q403" s="17"/>
      <c r="R403" s="17"/>
      <c r="S403" s="152"/>
      <c r="T403" s="152"/>
      <c r="U403" s="152"/>
      <c r="V403" s="152"/>
      <c r="W403" s="152"/>
      <c r="X403" s="152"/>
      <c r="Z403" s="152"/>
    </row>
    <row r="404" spans="2:27" x14ac:dyDescent="0.35">
      <c r="B404" s="31"/>
      <c r="C404" s="32"/>
      <c r="D404" s="32"/>
      <c r="E404" s="32"/>
      <c r="F404" s="32"/>
      <c r="G404" s="32"/>
      <c r="H404" s="32"/>
      <c r="I404" s="32"/>
      <c r="J404" s="33"/>
      <c r="K404" s="33"/>
      <c r="L404" s="33"/>
      <c r="M404" s="33"/>
      <c r="N404" s="33"/>
      <c r="O404" s="17"/>
      <c r="P404" s="17"/>
      <c r="Q404" s="17"/>
      <c r="R404" s="17"/>
      <c r="S404" s="152"/>
      <c r="T404" s="152"/>
      <c r="U404" s="152"/>
      <c r="V404" s="152"/>
      <c r="W404" s="152"/>
      <c r="X404" s="152"/>
      <c r="Z404" s="152"/>
    </row>
    <row r="405" spans="2:27" x14ac:dyDescent="0.35">
      <c r="B405" s="31"/>
      <c r="C405" s="32"/>
      <c r="D405" s="32"/>
      <c r="E405" s="32"/>
      <c r="F405" s="32"/>
      <c r="G405" s="32"/>
      <c r="H405" s="32"/>
      <c r="I405" s="32"/>
      <c r="J405" s="33"/>
      <c r="K405" s="33"/>
      <c r="L405" s="33"/>
      <c r="M405" s="33"/>
      <c r="N405" s="33"/>
      <c r="O405" s="17"/>
      <c r="P405" s="17"/>
      <c r="Q405" s="17"/>
      <c r="R405" s="17"/>
      <c r="S405" s="152"/>
      <c r="T405" s="152"/>
      <c r="U405" s="152"/>
      <c r="V405" s="152"/>
      <c r="W405" s="152"/>
      <c r="X405" s="152"/>
      <c r="Z405" s="152"/>
    </row>
    <row r="406" spans="2:27" x14ac:dyDescent="0.35">
      <c r="B406" s="31"/>
      <c r="C406" s="32"/>
      <c r="D406" s="32"/>
      <c r="E406" s="32"/>
      <c r="F406" s="32"/>
      <c r="G406" s="32"/>
      <c r="H406" s="32"/>
      <c r="I406" s="32"/>
      <c r="J406" s="33"/>
      <c r="K406" s="33"/>
      <c r="L406" s="33"/>
      <c r="M406" s="33"/>
      <c r="N406" s="33"/>
      <c r="O406" s="17"/>
      <c r="P406" s="17"/>
      <c r="Q406" s="17"/>
      <c r="R406" s="17"/>
      <c r="S406" s="152"/>
      <c r="T406" s="152"/>
      <c r="U406" s="152"/>
      <c r="V406" s="152"/>
      <c r="W406" s="152"/>
      <c r="X406" s="152"/>
      <c r="Z406" s="152"/>
    </row>
    <row r="407" spans="2:27" x14ac:dyDescent="0.35">
      <c r="B407" s="31"/>
      <c r="C407" s="32"/>
      <c r="D407" s="32"/>
      <c r="E407" s="32"/>
      <c r="F407" s="32"/>
      <c r="G407" s="32"/>
      <c r="H407" s="32"/>
      <c r="I407" s="32"/>
      <c r="J407" s="33"/>
      <c r="K407" s="33"/>
      <c r="L407" s="33"/>
      <c r="M407" s="33"/>
      <c r="N407" s="33"/>
      <c r="O407" s="17"/>
      <c r="P407" s="17"/>
      <c r="Q407" s="17"/>
      <c r="R407" s="17"/>
      <c r="S407" s="152"/>
      <c r="T407" s="152"/>
      <c r="U407" s="152"/>
      <c r="V407" s="152"/>
      <c r="W407" s="152"/>
      <c r="X407" s="152"/>
      <c r="Z407" s="152"/>
    </row>
    <row r="408" spans="2:27" x14ac:dyDescent="0.35">
      <c r="B408" s="31"/>
      <c r="C408" s="32"/>
      <c r="D408" s="32"/>
      <c r="E408" s="32"/>
      <c r="F408" s="32"/>
      <c r="G408" s="32"/>
      <c r="H408" s="32"/>
      <c r="I408" s="32"/>
      <c r="J408" s="33"/>
      <c r="K408" s="33"/>
      <c r="L408" s="33"/>
      <c r="M408" s="33"/>
      <c r="N408" s="33"/>
      <c r="O408" s="17"/>
      <c r="P408" s="17"/>
      <c r="Q408" s="17"/>
      <c r="R408" s="17"/>
      <c r="S408" s="152"/>
      <c r="T408" s="152"/>
      <c r="U408" s="152"/>
      <c r="V408" s="152"/>
      <c r="W408" s="152"/>
      <c r="X408" s="152"/>
      <c r="Z408" s="152"/>
    </row>
    <row r="409" spans="2:27" x14ac:dyDescent="0.35">
      <c r="B409" s="84"/>
      <c r="C409" s="61"/>
      <c r="D409" s="61"/>
      <c r="E409" s="61"/>
      <c r="F409" s="61"/>
      <c r="G409" s="61"/>
      <c r="H409" s="61"/>
      <c r="I409" s="61"/>
      <c r="J409" s="65"/>
      <c r="K409" s="65"/>
      <c r="L409" s="65"/>
      <c r="M409" s="65"/>
      <c r="O409" s="17"/>
      <c r="P409" s="17"/>
      <c r="Q409" s="17"/>
      <c r="R409" s="17"/>
      <c r="S409" s="152"/>
      <c r="T409" s="152"/>
      <c r="U409" s="152"/>
      <c r="V409" s="152"/>
      <c r="W409" s="152"/>
      <c r="X409" s="152"/>
      <c r="Z409" s="152"/>
    </row>
    <row r="410" spans="2:27" x14ac:dyDescent="0.35">
      <c r="B410" s="84" t="s">
        <v>400</v>
      </c>
      <c r="C410" s="61"/>
      <c r="D410" s="61"/>
      <c r="E410" s="61"/>
      <c r="F410" s="61"/>
      <c r="G410" s="61"/>
      <c r="H410" s="61"/>
      <c r="I410" s="61"/>
      <c r="J410" s="419"/>
      <c r="K410" s="565"/>
      <c r="L410" s="666"/>
      <c r="M410" s="570"/>
      <c r="N410" s="85" t="s">
        <v>399</v>
      </c>
      <c r="O410" s="419"/>
      <c r="P410" s="419"/>
      <c r="Q410" s="419"/>
      <c r="R410" s="419"/>
      <c r="S410" s="419"/>
      <c r="T410" s="419"/>
      <c r="U410" s="419"/>
      <c r="V410" s="419"/>
      <c r="W410" s="565"/>
      <c r="X410" s="666"/>
      <c r="Y410" s="141" t="s">
        <v>2</v>
      </c>
    </row>
    <row r="411" spans="2:27" x14ac:dyDescent="0.35">
      <c r="B411" s="185" t="s">
        <v>70</v>
      </c>
      <c r="C411" s="123">
        <v>2016</v>
      </c>
      <c r="D411" s="140">
        <v>2017</v>
      </c>
      <c r="E411" s="140">
        <v>2018</v>
      </c>
      <c r="F411" s="123">
        <v>2019</v>
      </c>
      <c r="G411" s="123">
        <v>2020</v>
      </c>
      <c r="H411" s="123">
        <v>2021</v>
      </c>
      <c r="I411" s="123">
        <v>2022</v>
      </c>
      <c r="J411" s="123">
        <v>2023</v>
      </c>
      <c r="K411" s="123">
        <v>2024</v>
      </c>
      <c r="L411" s="123">
        <v>2025</v>
      </c>
      <c r="M411" s="570"/>
      <c r="N411" s="185" t="s">
        <v>70</v>
      </c>
      <c r="O411" s="124">
        <v>2016</v>
      </c>
      <c r="P411" s="123">
        <v>2017</v>
      </c>
      <c r="Q411" s="140">
        <v>2018</v>
      </c>
      <c r="R411" s="140">
        <v>2019</v>
      </c>
      <c r="S411" s="140">
        <v>2020</v>
      </c>
      <c r="T411" s="140">
        <v>2021</v>
      </c>
      <c r="U411" s="140">
        <v>2022</v>
      </c>
      <c r="V411" s="140">
        <v>2023</v>
      </c>
      <c r="W411" s="140">
        <v>2024</v>
      </c>
      <c r="X411" s="140">
        <v>2025</v>
      </c>
      <c r="Y411" s="123" t="str">
        <f>$Y$98</f>
        <v>2020-2025</v>
      </c>
      <c r="AA411" s="304">
        <f>SUM(O412:X414)</f>
        <v>553.74391000000003</v>
      </c>
    </row>
    <row r="412" spans="2:27" x14ac:dyDescent="0.35">
      <c r="B412" s="24" t="s">
        <v>199</v>
      </c>
      <c r="C412" s="55">
        <f>FTTx!D11+FTTx!D12</f>
        <v>154000</v>
      </c>
      <c r="D412" s="55">
        <f>FTTx!E11+FTTx!E12</f>
        <v>780027.86250000005</v>
      </c>
      <c r="E412" s="55">
        <f>FTTx!F11+FTTx!F12</f>
        <v>0</v>
      </c>
      <c r="F412" s="55">
        <f>FTTx!G11+FTTx!G12</f>
        <v>0</v>
      </c>
      <c r="G412" s="55">
        <f>FTTx!H11+FTTx!H12</f>
        <v>0</v>
      </c>
      <c r="H412" s="55">
        <f>FTTx!I11+FTTx!I12</f>
        <v>0</v>
      </c>
      <c r="I412" s="55">
        <f>FTTx!J11+FTTx!J12</f>
        <v>0</v>
      </c>
      <c r="J412" s="55">
        <f>FTTx!K11+FTTx!K12</f>
        <v>0</v>
      </c>
      <c r="K412" s="147">
        <f>FTTx!L11+FTTx!L12</f>
        <v>0</v>
      </c>
      <c r="L412" s="147">
        <f>FTTx!M11+FTTx!M12</f>
        <v>0</v>
      </c>
      <c r="M412" s="770" t="e">
        <f>(L412/G412)^(0.2)-1</f>
        <v>#DIV/0!</v>
      </c>
      <c r="N412" s="24" t="str">
        <f>B412</f>
        <v>China</v>
      </c>
      <c r="O412" s="125">
        <f>FTTx!D37+FTTx!D38</f>
        <v>14.29</v>
      </c>
      <c r="P412" s="125">
        <f>FTTx!E37+FTTx!E38</f>
        <v>108.51612975</v>
      </c>
      <c r="Q412" s="125">
        <f>FTTx!F37+FTTx!F38</f>
        <v>0</v>
      </c>
      <c r="R412" s="125">
        <f>FTTx!G37+FTTx!G38</f>
        <v>0</v>
      </c>
      <c r="S412" s="125">
        <f>FTTx!H37+FTTx!H38</f>
        <v>0</v>
      </c>
      <c r="T412" s="125">
        <f>FTTx!I37+FTTx!I38</f>
        <v>0</v>
      </c>
      <c r="U412" s="125">
        <f>FTTx!J37+FTTx!J38</f>
        <v>0</v>
      </c>
      <c r="V412" s="125">
        <f>FTTx!K37+FTTx!K38</f>
        <v>0</v>
      </c>
      <c r="W412" s="125">
        <f>FTTx!L37+FTTx!L38</f>
        <v>0</v>
      </c>
      <c r="X412" s="125">
        <f>FTTx!M37+FTTx!M38</f>
        <v>0</v>
      </c>
      <c r="Y412" s="153" t="e">
        <f>(X412/S412)^(1/5)-1</f>
        <v>#DIV/0!</v>
      </c>
      <c r="AA412" s="305">
        <f>SUM(FTTx!D115:M116)*2</f>
        <v>553.74391000000003</v>
      </c>
    </row>
    <row r="413" spans="2:27" x14ac:dyDescent="0.35">
      <c r="B413" s="24" t="s">
        <v>224</v>
      </c>
      <c r="C413" s="55">
        <f>FTTx!D50+FTTx!D51</f>
        <v>231000</v>
      </c>
      <c r="D413" s="55">
        <f>FTTx!E50+FTTx!E51</f>
        <v>953367.38749999995</v>
      </c>
      <c r="E413" s="55">
        <f>FTTx!F50+FTTx!F51</f>
        <v>0</v>
      </c>
      <c r="F413" s="55">
        <f>FTTx!G50+FTTx!G51</f>
        <v>0</v>
      </c>
      <c r="G413" s="55">
        <f>FTTx!H50+FTTx!H51</f>
        <v>0</v>
      </c>
      <c r="H413" s="55">
        <f>FTTx!I50+FTTx!I51</f>
        <v>0</v>
      </c>
      <c r="I413" s="55">
        <f>FTTx!J50+FTTx!J51</f>
        <v>0</v>
      </c>
      <c r="J413" s="55">
        <f>FTTx!K50+FTTx!K51</f>
        <v>0</v>
      </c>
      <c r="K413" s="10">
        <f>FTTx!L50+FTTx!L51</f>
        <v>0</v>
      </c>
      <c r="L413" s="10">
        <f>FTTx!M50+FTTx!M51</f>
        <v>0</v>
      </c>
      <c r="M413" s="770" t="e">
        <f>(L413/G413)^(0.2)-1</f>
        <v>#DIV/0!</v>
      </c>
      <c r="N413" s="24" t="str">
        <f>B413</f>
        <v>Rest of World</v>
      </c>
      <c r="O413" s="69">
        <f>SUM(FTTx!D76:D77)</f>
        <v>21.434999999999999</v>
      </c>
      <c r="P413" s="69">
        <f>SUM(FTTx!E76:E77)</f>
        <v>132.63082525000002</v>
      </c>
      <c r="Q413" s="69">
        <f>SUM(FTTx!F76:F77)</f>
        <v>0</v>
      </c>
      <c r="R413" s="69">
        <f>SUM(FTTx!G76:G77)</f>
        <v>0</v>
      </c>
      <c r="S413" s="69">
        <f>SUM(FTTx!H76:H77)</f>
        <v>0</v>
      </c>
      <c r="T413" s="69">
        <f>SUM(FTTx!I76:I77)</f>
        <v>0</v>
      </c>
      <c r="U413" s="69">
        <f>SUM(FTTx!J76:J77)</f>
        <v>0</v>
      </c>
      <c r="V413" s="69">
        <f>SUM(FTTx!K76:K77)</f>
        <v>0</v>
      </c>
      <c r="W413" s="69">
        <f>SUM(FTTx!L76:L77)</f>
        <v>0</v>
      </c>
      <c r="X413" s="69">
        <f>SUM(FTTx!M76:M77)</f>
        <v>0</v>
      </c>
      <c r="Y413" s="155" t="e">
        <f>(X413/S413)^(1/5)-1</f>
        <v>#DIV/0!</v>
      </c>
      <c r="AA413" s="304"/>
    </row>
    <row r="414" spans="2:27" x14ac:dyDescent="0.35">
      <c r="B414" s="187" t="s">
        <v>253</v>
      </c>
      <c r="C414" s="193">
        <f t="shared" ref="C414:L414" si="54">C413+C412</f>
        <v>385000</v>
      </c>
      <c r="D414" s="193">
        <f t="shared" si="54"/>
        <v>1733395.25</v>
      </c>
      <c r="E414" s="193">
        <f t="shared" si="54"/>
        <v>0</v>
      </c>
      <c r="F414" s="193">
        <f t="shared" si="54"/>
        <v>0</v>
      </c>
      <c r="G414" s="193">
        <f t="shared" si="54"/>
        <v>0</v>
      </c>
      <c r="H414" s="193">
        <f t="shared" si="54"/>
        <v>0</v>
      </c>
      <c r="I414" s="193">
        <f t="shared" si="54"/>
        <v>0</v>
      </c>
      <c r="J414" s="193">
        <f t="shared" si="54"/>
        <v>0</v>
      </c>
      <c r="K414" s="130">
        <f t="shared" si="54"/>
        <v>0</v>
      </c>
      <c r="L414" s="130">
        <f t="shared" si="54"/>
        <v>0</v>
      </c>
      <c r="M414" s="570"/>
      <c r="N414" s="187" t="str">
        <f>B414</f>
        <v>Global</v>
      </c>
      <c r="O414" s="329">
        <f t="shared" ref="O414:X414" si="55">O413+O412</f>
        <v>35.724999999999994</v>
      </c>
      <c r="P414" s="329">
        <f t="shared" si="55"/>
        <v>241.14695500000002</v>
      </c>
      <c r="Q414" s="329">
        <f t="shared" si="55"/>
        <v>0</v>
      </c>
      <c r="R414" s="329">
        <f t="shared" si="55"/>
        <v>0</v>
      </c>
      <c r="S414" s="329">
        <f t="shared" si="55"/>
        <v>0</v>
      </c>
      <c r="T414" s="329">
        <f t="shared" si="55"/>
        <v>0</v>
      </c>
      <c r="U414" s="329">
        <f t="shared" si="55"/>
        <v>0</v>
      </c>
      <c r="V414" s="329">
        <f t="shared" si="55"/>
        <v>0</v>
      </c>
      <c r="W414" s="329">
        <f t="shared" si="55"/>
        <v>0</v>
      </c>
      <c r="X414" s="329">
        <f t="shared" si="55"/>
        <v>0</v>
      </c>
      <c r="Y414" s="155" t="e">
        <f>(X414/S414)^(1/5)-1</f>
        <v>#DIV/0!</v>
      </c>
    </row>
    <row r="415" spans="2:27" x14ac:dyDescent="0.35">
      <c r="B415" s="454" t="s">
        <v>273</v>
      </c>
      <c r="C415" s="455">
        <f t="shared" ref="C415:L415" si="56">IF(C412=0,"",C412/C414)</f>
        <v>0.4</v>
      </c>
      <c r="D415" s="455">
        <f t="shared" si="56"/>
        <v>0.45</v>
      </c>
      <c r="E415" s="455" t="str">
        <f t="shared" si="56"/>
        <v/>
      </c>
      <c r="F415" s="455" t="str">
        <f t="shared" si="56"/>
        <v/>
      </c>
      <c r="G415" s="455" t="str">
        <f t="shared" si="56"/>
        <v/>
      </c>
      <c r="H415" s="455" t="str">
        <f t="shared" si="56"/>
        <v/>
      </c>
      <c r="I415" s="455" t="str">
        <f t="shared" si="56"/>
        <v/>
      </c>
      <c r="J415" s="455" t="str">
        <f t="shared" si="56"/>
        <v/>
      </c>
      <c r="K415" s="455" t="str">
        <f t="shared" si="56"/>
        <v/>
      </c>
      <c r="L415" s="455" t="str">
        <f t="shared" si="56"/>
        <v/>
      </c>
      <c r="M415" s="570"/>
      <c r="N415" s="454" t="s">
        <v>273</v>
      </c>
      <c r="O415" s="455">
        <f t="shared" ref="O415:X415" si="57">IF(O412=0,"",O412/O414)</f>
        <v>0.4</v>
      </c>
      <c r="P415" s="455">
        <f t="shared" si="57"/>
        <v>0.44999999999999996</v>
      </c>
      <c r="Q415" s="455" t="str">
        <f t="shared" si="57"/>
        <v/>
      </c>
      <c r="R415" s="455" t="str">
        <f t="shared" si="57"/>
        <v/>
      </c>
      <c r="S415" s="455" t="str">
        <f t="shared" si="57"/>
        <v/>
      </c>
      <c r="T415" s="455" t="str">
        <f t="shared" si="57"/>
        <v/>
      </c>
      <c r="U415" s="455" t="str">
        <f t="shared" si="57"/>
        <v/>
      </c>
      <c r="V415" s="455" t="str">
        <f t="shared" si="57"/>
        <v/>
      </c>
      <c r="W415" s="455" t="str">
        <f t="shared" si="57"/>
        <v/>
      </c>
      <c r="X415" s="455" t="str">
        <f t="shared" si="57"/>
        <v/>
      </c>
      <c r="Z415" s="157"/>
    </row>
    <row r="416" spans="2:27" x14ac:dyDescent="0.35">
      <c r="B416" s="31"/>
      <c r="C416" s="32"/>
      <c r="D416" s="32"/>
      <c r="E416" s="32"/>
      <c r="F416" s="32"/>
      <c r="G416" s="32"/>
      <c r="H416" s="32"/>
      <c r="I416" s="32"/>
      <c r="J416" s="33"/>
      <c r="K416" s="33"/>
      <c r="L416" s="33"/>
      <c r="M416" s="33"/>
      <c r="N416" s="33" t="s">
        <v>61</v>
      </c>
      <c r="O416" s="67"/>
      <c r="P416" s="67"/>
      <c r="Q416" s="67"/>
      <c r="R416" s="67"/>
      <c r="S416" s="152"/>
      <c r="T416" s="152"/>
      <c r="U416" s="152"/>
      <c r="V416" s="152"/>
      <c r="W416" s="152"/>
      <c r="X416" s="152"/>
      <c r="Z416" s="158"/>
    </row>
    <row r="417" spans="2:27" s="56" customFormat="1" x14ac:dyDescent="0.35">
      <c r="B417" s="84" t="s">
        <v>77</v>
      </c>
      <c r="C417" s="58"/>
      <c r="D417" s="58"/>
      <c r="E417" s="60"/>
      <c r="F417" s="60"/>
      <c r="G417" s="60"/>
      <c r="H417" s="60"/>
      <c r="I417" s="60"/>
      <c r="J417" s="60"/>
      <c r="K417" s="60"/>
      <c r="L417" s="60"/>
      <c r="M417" s="60"/>
      <c r="N417" s="84" t="s">
        <v>78</v>
      </c>
      <c r="O417" s="19"/>
      <c r="P417" s="19"/>
      <c r="Q417" s="19"/>
      <c r="R417" s="19"/>
      <c r="S417" s="152"/>
      <c r="T417" s="152"/>
      <c r="U417" s="152"/>
      <c r="V417" s="152"/>
      <c r="W417" s="152"/>
      <c r="X417" s="152"/>
      <c r="Z417" s="165"/>
      <c r="AA417" s="309"/>
    </row>
    <row r="418" spans="2:27" s="56" customFormat="1" x14ac:dyDescent="0.35">
      <c r="B418" s="19"/>
      <c r="C418" s="47"/>
      <c r="D418" s="47"/>
      <c r="E418" s="47"/>
      <c r="F418" s="47"/>
      <c r="G418" s="47"/>
      <c r="H418" s="47"/>
      <c r="I418" s="47"/>
      <c r="J418" s="47"/>
      <c r="K418" s="47"/>
      <c r="L418" s="47"/>
      <c r="M418" s="47"/>
      <c r="N418" s="47"/>
      <c r="O418" s="19"/>
      <c r="P418" s="19"/>
      <c r="Q418" s="19"/>
      <c r="R418" s="19"/>
      <c r="S418" s="152"/>
      <c r="T418" s="152"/>
      <c r="U418" s="152"/>
      <c r="V418" s="152"/>
      <c r="W418" s="152"/>
      <c r="X418" s="152"/>
      <c r="Z418" s="165"/>
      <c r="AA418" s="309"/>
    </row>
    <row r="419" spans="2:27" s="56" customFormat="1" x14ac:dyDescent="0.35">
      <c r="B419" s="19"/>
      <c r="C419" s="47"/>
      <c r="D419" s="47"/>
      <c r="E419" s="47"/>
      <c r="F419" s="47"/>
      <c r="G419" s="47"/>
      <c r="H419" s="47"/>
      <c r="I419" s="47"/>
      <c r="J419" s="47"/>
      <c r="K419" s="47"/>
      <c r="L419" s="47"/>
      <c r="M419" s="47"/>
      <c r="N419" s="47"/>
      <c r="O419" s="19"/>
      <c r="P419" s="19"/>
      <c r="Q419" s="19"/>
      <c r="R419" s="19"/>
      <c r="S419" s="152"/>
      <c r="T419" s="152"/>
      <c r="U419" s="152"/>
      <c r="V419" s="152"/>
      <c r="W419" s="152"/>
      <c r="X419" s="152"/>
      <c r="Z419" s="165"/>
      <c r="AA419" s="309"/>
    </row>
    <row r="420" spans="2:27" s="56" customFormat="1" x14ac:dyDescent="0.35">
      <c r="B420" s="19"/>
      <c r="C420" s="47"/>
      <c r="D420" s="47"/>
      <c r="E420" s="47"/>
      <c r="F420" s="47"/>
      <c r="G420" s="47"/>
      <c r="H420" s="47"/>
      <c r="I420" s="47"/>
      <c r="J420" s="47"/>
      <c r="K420" s="47"/>
      <c r="L420" s="47"/>
      <c r="M420" s="47"/>
      <c r="N420" s="47"/>
      <c r="O420" s="19"/>
      <c r="P420" s="19"/>
      <c r="Q420" s="19"/>
      <c r="R420" s="19"/>
      <c r="S420" s="152"/>
      <c r="T420" s="152"/>
      <c r="U420" s="152"/>
      <c r="V420" s="152"/>
      <c r="W420" s="152"/>
      <c r="X420" s="152"/>
      <c r="Z420" s="165"/>
      <c r="AA420" s="309"/>
    </row>
    <row r="421" spans="2:27" s="56" customFormat="1" x14ac:dyDescent="0.35">
      <c r="B421" s="19"/>
      <c r="C421" s="61"/>
      <c r="D421" s="61"/>
      <c r="E421" s="50"/>
      <c r="F421" s="50"/>
      <c r="G421" s="50"/>
      <c r="H421" s="50"/>
      <c r="I421" s="50"/>
      <c r="J421" s="50"/>
      <c r="K421" s="50"/>
      <c r="L421" s="50"/>
      <c r="M421" s="50"/>
      <c r="N421" s="50"/>
      <c r="O421" s="19"/>
      <c r="P421" s="19"/>
      <c r="Q421" s="19"/>
      <c r="R421" s="19"/>
      <c r="S421" s="152"/>
      <c r="T421" s="152"/>
      <c r="U421" s="152"/>
      <c r="V421" s="152"/>
      <c r="W421" s="152"/>
      <c r="X421" s="152"/>
      <c r="Z421" s="165"/>
      <c r="AA421" s="309"/>
    </row>
    <row r="422" spans="2:27" s="56" customFormat="1" x14ac:dyDescent="0.35">
      <c r="B422" s="19"/>
      <c r="C422" s="61"/>
      <c r="D422" s="61"/>
      <c r="E422" s="50"/>
      <c r="F422" s="50"/>
      <c r="G422" s="50"/>
      <c r="H422" s="50"/>
      <c r="I422" s="50"/>
      <c r="J422" s="50"/>
      <c r="K422" s="50"/>
      <c r="L422" s="50"/>
      <c r="M422" s="50"/>
      <c r="N422" s="50"/>
      <c r="O422" s="19"/>
      <c r="P422" s="19"/>
      <c r="Q422" s="19"/>
      <c r="R422" s="19"/>
      <c r="S422" s="152"/>
      <c r="T422" s="152"/>
      <c r="U422" s="152"/>
      <c r="V422" s="152"/>
      <c r="W422" s="152"/>
      <c r="X422" s="152"/>
      <c r="Z422" s="165"/>
      <c r="AA422" s="309"/>
    </row>
    <row r="423" spans="2:27" s="56" customFormat="1" x14ac:dyDescent="0.35">
      <c r="B423" s="19"/>
      <c r="C423" s="61"/>
      <c r="D423" s="61"/>
      <c r="E423" s="50"/>
      <c r="F423" s="50"/>
      <c r="G423" s="50"/>
      <c r="H423" s="50"/>
      <c r="I423" s="50"/>
      <c r="J423" s="50"/>
      <c r="K423" s="50"/>
      <c r="L423" s="50"/>
      <c r="M423" s="50"/>
      <c r="N423" s="50"/>
      <c r="O423" s="19"/>
      <c r="P423" s="19"/>
      <c r="Q423" s="19"/>
      <c r="R423" s="19"/>
      <c r="S423" s="152"/>
      <c r="T423" s="152"/>
      <c r="U423" s="152"/>
      <c r="V423" s="152"/>
      <c r="W423" s="152"/>
      <c r="X423" s="152"/>
      <c r="Z423" s="165"/>
      <c r="AA423" s="309"/>
    </row>
    <row r="424" spans="2:27" s="56" customFormat="1" x14ac:dyDescent="0.35">
      <c r="B424" s="19"/>
      <c r="C424" s="19"/>
      <c r="D424" s="19"/>
      <c r="E424" s="19"/>
      <c r="F424" s="19"/>
      <c r="G424" s="19"/>
      <c r="H424" s="19"/>
      <c r="I424" s="19"/>
      <c r="J424" s="19"/>
      <c r="K424" s="19"/>
      <c r="L424" s="19"/>
      <c r="M424" s="19"/>
      <c r="N424" s="19"/>
      <c r="O424" s="19"/>
      <c r="P424" s="19"/>
      <c r="Q424" s="19"/>
      <c r="R424" s="19"/>
      <c r="S424" s="152"/>
      <c r="T424" s="152"/>
      <c r="U424" s="152"/>
      <c r="V424" s="152"/>
      <c r="W424" s="152"/>
      <c r="X424" s="152"/>
      <c r="Z424" s="165"/>
      <c r="AA424" s="309"/>
    </row>
    <row r="425" spans="2:27" x14ac:dyDescent="0.35">
      <c r="B425" s="17"/>
      <c r="C425" s="17"/>
      <c r="D425" s="17"/>
      <c r="E425" s="17"/>
      <c r="F425" s="17"/>
      <c r="G425" s="17"/>
      <c r="H425" s="17"/>
      <c r="I425" s="17"/>
      <c r="J425" s="17"/>
      <c r="K425" s="17"/>
      <c r="L425" s="17"/>
      <c r="M425" s="17"/>
      <c r="N425" s="17"/>
      <c r="O425" s="17"/>
      <c r="P425" s="17"/>
      <c r="Q425" s="17"/>
      <c r="R425" s="17"/>
      <c r="S425" s="152"/>
      <c r="T425" s="152"/>
      <c r="U425" s="152"/>
      <c r="V425" s="152"/>
      <c r="W425" s="152"/>
      <c r="X425" s="152"/>
      <c r="Z425" s="152"/>
    </row>
    <row r="426" spans="2:27" x14ac:dyDescent="0.35">
      <c r="B426" s="17"/>
      <c r="C426" s="17"/>
      <c r="D426" s="17"/>
      <c r="E426" s="17"/>
      <c r="F426" s="17"/>
      <c r="G426" s="17"/>
      <c r="H426" s="17"/>
      <c r="I426" s="17"/>
      <c r="J426" s="17"/>
      <c r="K426" s="17"/>
      <c r="L426" s="17"/>
      <c r="M426" s="17"/>
      <c r="N426" s="17"/>
      <c r="O426" s="17"/>
      <c r="P426" s="17"/>
      <c r="Q426" s="17"/>
      <c r="R426" s="17"/>
      <c r="S426" s="152"/>
      <c r="T426" s="152"/>
      <c r="U426" s="152"/>
      <c r="V426" s="152"/>
      <c r="W426" s="152"/>
      <c r="X426" s="152"/>
      <c r="Z426" s="152"/>
    </row>
    <row r="427" spans="2:27" x14ac:dyDescent="0.35">
      <c r="B427" s="17"/>
      <c r="C427" s="17"/>
      <c r="D427" s="17"/>
      <c r="E427" s="17"/>
      <c r="F427" s="17"/>
      <c r="G427" s="17"/>
      <c r="H427" s="17"/>
      <c r="I427" s="17"/>
      <c r="J427" s="17"/>
      <c r="K427" s="17"/>
      <c r="L427" s="17"/>
      <c r="M427" s="17"/>
      <c r="N427" s="17"/>
      <c r="O427" s="17"/>
      <c r="P427" s="17"/>
      <c r="Q427" s="17"/>
      <c r="R427" s="17"/>
      <c r="S427" s="152"/>
      <c r="T427" s="152"/>
      <c r="U427" s="152"/>
      <c r="V427" s="152"/>
      <c r="W427" s="152"/>
      <c r="X427" s="152"/>
      <c r="Z427" s="152"/>
    </row>
    <row r="428" spans="2:27" x14ac:dyDescent="0.35">
      <c r="B428" s="17"/>
      <c r="C428" s="17"/>
      <c r="D428" s="17"/>
      <c r="E428" s="17"/>
      <c r="F428" s="17"/>
      <c r="G428" s="17"/>
      <c r="H428" s="17"/>
      <c r="I428" s="17"/>
      <c r="J428" s="17"/>
      <c r="K428" s="17"/>
      <c r="L428" s="17"/>
      <c r="M428" s="17"/>
      <c r="N428" s="17"/>
      <c r="O428" s="17"/>
      <c r="P428" s="17"/>
      <c r="Q428" s="17"/>
      <c r="R428" s="17"/>
      <c r="S428" s="152"/>
      <c r="T428" s="152"/>
      <c r="U428" s="152"/>
      <c r="V428" s="152"/>
      <c r="W428" s="152"/>
      <c r="X428" s="152"/>
      <c r="Z428" s="152"/>
    </row>
    <row r="429" spans="2:27" x14ac:dyDescent="0.35">
      <c r="B429" s="17"/>
      <c r="C429" s="17"/>
      <c r="D429" s="17"/>
      <c r="E429" s="17"/>
      <c r="F429" s="17"/>
      <c r="G429" s="17"/>
      <c r="H429" s="17"/>
      <c r="I429" s="17"/>
      <c r="J429" s="17"/>
      <c r="K429" s="17"/>
      <c r="L429" s="17"/>
      <c r="M429" s="17"/>
      <c r="N429" s="17"/>
      <c r="O429" s="17"/>
      <c r="P429" s="17"/>
      <c r="Q429" s="17"/>
      <c r="R429" s="17"/>
      <c r="S429" s="152"/>
      <c r="T429" s="152"/>
      <c r="U429" s="152"/>
      <c r="V429" s="152"/>
      <c r="W429" s="152"/>
      <c r="X429" s="152"/>
      <c r="Z429" s="152"/>
    </row>
    <row r="430" spans="2:27" x14ac:dyDescent="0.35">
      <c r="B430" s="17"/>
      <c r="C430" s="17"/>
      <c r="D430" s="17"/>
      <c r="E430" s="17"/>
      <c r="F430" s="17"/>
      <c r="G430" s="17"/>
      <c r="H430" s="17"/>
      <c r="I430" s="17"/>
      <c r="J430" s="17"/>
      <c r="K430" s="17"/>
      <c r="L430" s="17"/>
      <c r="M430" s="17"/>
      <c r="N430" s="17"/>
      <c r="O430" s="17"/>
      <c r="P430" s="17"/>
      <c r="Q430" s="17"/>
      <c r="R430" s="17"/>
      <c r="S430" s="152"/>
      <c r="T430" s="152"/>
      <c r="U430" s="152"/>
      <c r="V430" s="152"/>
      <c r="W430" s="152"/>
      <c r="X430" s="152"/>
      <c r="Z430" s="152"/>
    </row>
    <row r="431" spans="2:27" x14ac:dyDescent="0.35">
      <c r="B431" s="17"/>
      <c r="C431" s="17"/>
      <c r="D431" s="17"/>
      <c r="E431" s="17"/>
      <c r="F431" s="17"/>
      <c r="G431" s="17"/>
      <c r="H431" s="17"/>
      <c r="I431" s="17"/>
      <c r="J431" s="17"/>
      <c r="K431" s="17"/>
      <c r="L431" s="17"/>
      <c r="M431" s="17"/>
      <c r="N431" s="17"/>
      <c r="O431" s="17"/>
      <c r="P431" s="17"/>
      <c r="Q431" s="17"/>
      <c r="R431" s="17"/>
      <c r="S431" s="152"/>
      <c r="T431" s="152"/>
      <c r="U431" s="152"/>
      <c r="V431" s="152"/>
      <c r="W431" s="152"/>
      <c r="X431" s="152"/>
      <c r="Z431" s="152"/>
    </row>
    <row r="432" spans="2:27" x14ac:dyDescent="0.35">
      <c r="B432" s="17"/>
      <c r="C432" s="17"/>
      <c r="D432" s="17"/>
      <c r="E432" s="17"/>
      <c r="F432" s="17"/>
      <c r="G432" s="17"/>
      <c r="H432" s="17"/>
      <c r="I432" s="17"/>
      <c r="J432" s="17"/>
      <c r="K432" s="17"/>
      <c r="L432" s="17"/>
      <c r="M432" s="17"/>
      <c r="N432" s="17"/>
      <c r="O432" s="17"/>
      <c r="P432" s="17"/>
      <c r="Q432" s="17"/>
      <c r="R432" s="17"/>
      <c r="S432" s="152"/>
      <c r="T432" s="152"/>
      <c r="U432" s="152"/>
      <c r="V432" s="152"/>
      <c r="W432" s="152"/>
      <c r="X432" s="152"/>
      <c r="Z432" s="152"/>
    </row>
    <row r="433" spans="1:27" x14ac:dyDescent="0.35">
      <c r="B433" s="17"/>
      <c r="C433" s="17"/>
      <c r="D433" s="17"/>
      <c r="E433" s="17"/>
      <c r="F433" s="17"/>
      <c r="G433" s="17"/>
      <c r="H433" s="17"/>
      <c r="I433" s="17"/>
      <c r="J433" s="17"/>
      <c r="K433" s="17"/>
      <c r="L433" s="17"/>
      <c r="M433" s="17"/>
      <c r="N433" s="17"/>
      <c r="O433" s="17"/>
      <c r="P433" s="17"/>
      <c r="Q433" s="17"/>
      <c r="R433" s="17"/>
      <c r="S433" s="152"/>
      <c r="T433" s="152"/>
      <c r="U433" s="152"/>
      <c r="V433" s="152"/>
      <c r="W433" s="152"/>
      <c r="X433" s="152"/>
      <c r="Z433" s="152"/>
    </row>
    <row r="434" spans="1:27" x14ac:dyDescent="0.35">
      <c r="A434" s="56"/>
      <c r="B434" s="19"/>
      <c r="C434" s="793"/>
      <c r="D434" s="793"/>
      <c r="E434" s="793"/>
      <c r="F434" s="165"/>
      <c r="G434" s="165"/>
      <c r="H434" s="285"/>
      <c r="I434" s="327"/>
      <c r="J434" s="669"/>
      <c r="K434" s="669"/>
      <c r="L434" s="669"/>
      <c r="M434" s="669"/>
      <c r="N434" s="669"/>
      <c r="O434" s="17"/>
      <c r="P434" s="17"/>
      <c r="Q434" s="17"/>
      <c r="R434" s="17"/>
      <c r="S434" s="152"/>
      <c r="T434" s="152"/>
      <c r="U434" s="152"/>
      <c r="V434" s="152"/>
      <c r="W434" s="152"/>
      <c r="X434" s="152"/>
      <c r="Z434" s="152"/>
    </row>
    <row r="435" spans="1:27" x14ac:dyDescent="0.35">
      <c r="A435" s="56"/>
      <c r="B435" s="19"/>
      <c r="C435" s="165"/>
      <c r="D435" s="165"/>
      <c r="E435" s="165"/>
      <c r="F435" s="165"/>
      <c r="G435" s="165"/>
      <c r="H435" s="285"/>
      <c r="I435" s="327"/>
      <c r="J435" s="165"/>
      <c r="K435" s="565"/>
      <c r="L435" s="666"/>
      <c r="M435" s="570"/>
      <c r="N435" s="165"/>
      <c r="O435" s="17"/>
      <c r="P435" s="17"/>
      <c r="Q435" s="17"/>
      <c r="R435" s="17"/>
      <c r="S435" s="152"/>
      <c r="T435" s="152"/>
      <c r="U435" s="152"/>
      <c r="V435" s="152"/>
      <c r="W435" s="152"/>
      <c r="X435" s="152"/>
      <c r="Z435" s="152"/>
    </row>
    <row r="436" spans="1:27" x14ac:dyDescent="0.35">
      <c r="A436" s="56"/>
      <c r="B436" s="19"/>
      <c r="C436" s="61"/>
      <c r="D436" s="61"/>
      <c r="E436" s="61"/>
      <c r="F436" s="61"/>
      <c r="G436" s="61"/>
      <c r="H436" s="61"/>
      <c r="I436" s="61"/>
      <c r="J436" s="65"/>
      <c r="K436" s="65"/>
      <c r="L436" s="65"/>
      <c r="M436" s="65"/>
      <c r="N436" s="65"/>
      <c r="O436" s="17"/>
      <c r="P436" s="17"/>
      <c r="Q436" s="17"/>
      <c r="R436" s="17"/>
      <c r="S436" s="152"/>
      <c r="T436" s="152"/>
      <c r="U436" s="152"/>
      <c r="V436" s="152"/>
      <c r="W436" s="152"/>
      <c r="X436" s="152"/>
      <c r="Z436" s="152"/>
    </row>
    <row r="437" spans="1:27" x14ac:dyDescent="0.35">
      <c r="A437" s="56"/>
      <c r="B437" s="19"/>
      <c r="C437" s="61"/>
      <c r="D437" s="61"/>
      <c r="E437" s="61"/>
      <c r="F437" s="61"/>
      <c r="G437" s="61"/>
      <c r="H437" s="61"/>
      <c r="I437" s="61"/>
      <c r="J437" s="65"/>
      <c r="K437" s="65"/>
      <c r="L437" s="65"/>
      <c r="M437" s="65"/>
      <c r="N437" s="65"/>
      <c r="O437" s="17"/>
      <c r="P437" s="17"/>
      <c r="Q437" s="17"/>
      <c r="R437" s="17"/>
      <c r="S437" s="152"/>
      <c r="T437" s="152"/>
      <c r="U437" s="152"/>
      <c r="V437" s="152"/>
      <c r="W437" s="152"/>
      <c r="X437" s="152"/>
      <c r="Z437" s="152"/>
    </row>
    <row r="438" spans="1:27" x14ac:dyDescent="0.35">
      <c r="A438" s="56"/>
      <c r="B438" s="19"/>
      <c r="C438" s="61"/>
      <c r="D438" s="61"/>
      <c r="E438" s="61"/>
      <c r="F438" s="61"/>
      <c r="G438" s="61"/>
      <c r="H438" s="61"/>
      <c r="I438" s="61"/>
      <c r="J438" s="65"/>
      <c r="K438" s="65"/>
      <c r="L438" s="65"/>
      <c r="M438" s="65"/>
      <c r="N438" s="65"/>
      <c r="O438" s="17"/>
      <c r="P438" s="17"/>
      <c r="Q438" s="17"/>
      <c r="R438" s="17"/>
      <c r="S438" s="152"/>
      <c r="T438" s="152"/>
      <c r="U438" s="152"/>
      <c r="V438" s="152"/>
      <c r="W438" s="152"/>
      <c r="X438" s="152"/>
      <c r="Z438" s="152"/>
    </row>
    <row r="439" spans="1:27" x14ac:dyDescent="0.35">
      <c r="A439" s="56"/>
      <c r="B439" s="19"/>
      <c r="C439" s="61"/>
      <c r="D439" s="61"/>
      <c r="E439" s="61"/>
      <c r="F439" s="61"/>
      <c r="G439" s="61"/>
      <c r="H439" s="61"/>
      <c r="I439" s="61"/>
      <c r="J439" s="65"/>
      <c r="K439" s="65"/>
      <c r="L439" s="65"/>
      <c r="M439" s="65"/>
      <c r="N439" s="65"/>
      <c r="O439" s="17"/>
      <c r="P439" s="17"/>
      <c r="Q439" s="17"/>
      <c r="R439" s="17"/>
      <c r="S439" s="152"/>
      <c r="T439" s="152"/>
      <c r="U439" s="152"/>
      <c r="V439" s="152"/>
      <c r="W439" s="152"/>
      <c r="X439" s="152"/>
      <c r="Z439" s="152"/>
    </row>
    <row r="440" spans="1:27" x14ac:dyDescent="0.35">
      <c r="A440" s="56"/>
      <c r="C440" s="61"/>
      <c r="D440" s="61"/>
      <c r="E440" s="61"/>
      <c r="F440" s="61"/>
      <c r="G440" s="61"/>
      <c r="H440" s="61"/>
      <c r="I440" s="61"/>
      <c r="J440" s="65"/>
      <c r="K440" s="65"/>
      <c r="L440" s="65"/>
      <c r="M440" s="65"/>
      <c r="O440" s="17"/>
      <c r="P440" s="17"/>
      <c r="Q440" s="17"/>
      <c r="R440" s="17"/>
      <c r="S440" s="152"/>
      <c r="T440" s="152"/>
      <c r="U440" s="152"/>
      <c r="V440" s="152"/>
      <c r="W440" s="152"/>
      <c r="X440" s="152"/>
      <c r="Z440" s="152"/>
    </row>
    <row r="441" spans="1:27" x14ac:dyDescent="0.35">
      <c r="A441" s="56"/>
      <c r="B441" s="84" t="s">
        <v>127</v>
      </c>
      <c r="C441" s="56"/>
      <c r="D441" s="56"/>
      <c r="E441" s="56"/>
      <c r="F441" s="56"/>
      <c r="G441" s="56"/>
      <c r="H441" s="56"/>
      <c r="I441" s="56"/>
      <c r="J441" s="165"/>
      <c r="K441" s="565"/>
      <c r="L441" s="666"/>
      <c r="M441" s="570"/>
      <c r="N441" s="85" t="s">
        <v>128</v>
      </c>
      <c r="O441" s="174"/>
      <c r="P441" s="174"/>
      <c r="Q441" s="174"/>
      <c r="R441" s="174"/>
      <c r="S441" s="174"/>
      <c r="T441" s="285"/>
      <c r="U441" s="327"/>
      <c r="V441" s="344"/>
      <c r="W441" s="565"/>
      <c r="X441" s="666"/>
      <c r="Y441" s="141" t="s">
        <v>2</v>
      </c>
    </row>
    <row r="442" spans="1:27" x14ac:dyDescent="0.35">
      <c r="A442" s="56"/>
      <c r="B442" s="185" t="s">
        <v>70</v>
      </c>
      <c r="C442" s="123">
        <v>2016</v>
      </c>
      <c r="D442" s="140">
        <v>2017</v>
      </c>
      <c r="E442" s="140">
        <v>2018</v>
      </c>
      <c r="F442" s="123">
        <v>2019</v>
      </c>
      <c r="G442" s="123">
        <v>2020</v>
      </c>
      <c r="H442" s="123">
        <v>2021</v>
      </c>
      <c r="I442" s="123">
        <v>2022</v>
      </c>
      <c r="J442" s="123">
        <v>2023</v>
      </c>
      <c r="K442" s="123">
        <v>2024</v>
      </c>
      <c r="L442" s="123">
        <v>2025</v>
      </c>
      <c r="M442" s="570"/>
      <c r="N442" s="185" t="s">
        <v>70</v>
      </c>
      <c r="O442" s="124">
        <v>2016</v>
      </c>
      <c r="P442" s="123">
        <v>2017</v>
      </c>
      <c r="Q442" s="140">
        <v>2018</v>
      </c>
      <c r="R442" s="140">
        <v>2019</v>
      </c>
      <c r="S442" s="140">
        <v>2020</v>
      </c>
      <c r="T442" s="140">
        <v>2021</v>
      </c>
      <c r="U442" s="140">
        <v>2022</v>
      </c>
      <c r="V442" s="140">
        <v>2023</v>
      </c>
      <c r="W442" s="140">
        <v>2024</v>
      </c>
      <c r="X442" s="140">
        <v>2025</v>
      </c>
      <c r="Y442" s="129" t="str">
        <f>$Y$98</f>
        <v>2020-2025</v>
      </c>
    </row>
    <row r="443" spans="1:27" x14ac:dyDescent="0.35">
      <c r="A443" s="56"/>
      <c r="B443" s="24" t="s">
        <v>15</v>
      </c>
      <c r="C443" s="55">
        <f>FTTx!D8</f>
        <v>0</v>
      </c>
      <c r="D443" s="55">
        <f>FTTx!E8</f>
        <v>0</v>
      </c>
      <c r="E443" s="55">
        <f>FTTx!F8</f>
        <v>0</v>
      </c>
      <c r="F443" s="55">
        <f>FTTx!G8</f>
        <v>0</v>
      </c>
      <c r="G443" s="55">
        <f>FTTx!H8</f>
        <v>0</v>
      </c>
      <c r="H443" s="55">
        <f>FTTx!I8</f>
        <v>0</v>
      </c>
      <c r="I443" s="55">
        <f>FTTx!J8</f>
        <v>0</v>
      </c>
      <c r="J443" s="55">
        <f>FTTx!K8</f>
        <v>0</v>
      </c>
      <c r="K443" s="10">
        <f>FTTx!L8</f>
        <v>0</v>
      </c>
      <c r="L443" s="10">
        <f>FTTx!M8</f>
        <v>0</v>
      </c>
      <c r="M443" s="570"/>
      <c r="N443" s="24" t="str">
        <f t="shared" ref="N443:N448" si="58">B443</f>
        <v>BPON</v>
      </c>
      <c r="O443" s="69">
        <f>FTTx!D34</f>
        <v>0</v>
      </c>
      <c r="P443" s="69">
        <f>FTTx!E34</f>
        <v>0</v>
      </c>
      <c r="Q443" s="69">
        <f>FTTx!F34</f>
        <v>0</v>
      </c>
      <c r="R443" s="69">
        <f>FTTx!G34</f>
        <v>0</v>
      </c>
      <c r="S443" s="69">
        <f>FTTx!H34</f>
        <v>0</v>
      </c>
      <c r="T443" s="69">
        <f>FTTx!I34</f>
        <v>0</v>
      </c>
      <c r="U443" s="69">
        <f>FTTx!J34</f>
        <v>0</v>
      </c>
      <c r="V443" s="69">
        <f>FTTx!K34</f>
        <v>0</v>
      </c>
      <c r="W443" s="69">
        <f>FTTx!L34</f>
        <v>0</v>
      </c>
      <c r="X443" s="69">
        <f>FTTx!M34</f>
        <v>0</v>
      </c>
      <c r="Y443" s="153"/>
    </row>
    <row r="444" spans="1:27" x14ac:dyDescent="0.35">
      <c r="A444" s="56"/>
      <c r="B444" s="24" t="s">
        <v>16</v>
      </c>
      <c r="C444" s="55">
        <f>FTTx!D9</f>
        <v>62994371.409235299</v>
      </c>
      <c r="D444" s="55">
        <f>FTTx!E9</f>
        <v>44968624.335061759</v>
      </c>
      <c r="E444" s="55">
        <f>FTTx!F9</f>
        <v>0</v>
      </c>
      <c r="F444" s="55">
        <f>FTTx!G9</f>
        <v>0</v>
      </c>
      <c r="G444" s="55">
        <f>FTTx!H9</f>
        <v>0</v>
      </c>
      <c r="H444" s="55">
        <f>FTTx!I9</f>
        <v>0</v>
      </c>
      <c r="I444" s="55">
        <f>FTTx!J9</f>
        <v>0</v>
      </c>
      <c r="J444" s="55">
        <f>FTTx!K9</f>
        <v>0</v>
      </c>
      <c r="K444" s="10">
        <f>FTTx!L9</f>
        <v>0</v>
      </c>
      <c r="L444" s="10">
        <f>FTTx!M9</f>
        <v>0</v>
      </c>
      <c r="M444" s="570"/>
      <c r="N444" s="24" t="str">
        <f t="shared" si="58"/>
        <v>GPON</v>
      </c>
      <c r="O444" s="69">
        <f>FTTx!D35</f>
        <v>704.89584010939382</v>
      </c>
      <c r="P444" s="69">
        <f>FTTx!E35</f>
        <v>481.50864754431825</v>
      </c>
      <c r="Q444" s="69">
        <f>FTTx!F35</f>
        <v>0</v>
      </c>
      <c r="R444" s="69">
        <f>FTTx!G35</f>
        <v>0</v>
      </c>
      <c r="S444" s="69">
        <f>FTTx!H35</f>
        <v>0</v>
      </c>
      <c r="T444" s="69">
        <f>FTTx!I35</f>
        <v>0</v>
      </c>
      <c r="U444" s="69">
        <f>FTTx!J35</f>
        <v>0</v>
      </c>
      <c r="V444" s="69">
        <f>FTTx!K35</f>
        <v>0</v>
      </c>
      <c r="W444" s="69">
        <f>FTTx!L35</f>
        <v>0</v>
      </c>
      <c r="X444" s="69">
        <f>FTTx!M35</f>
        <v>0</v>
      </c>
      <c r="Y444" s="154" t="e">
        <f t="shared" ref="Y444:Y449" si="59">(X444/S444)^(1/5)-1</f>
        <v>#DIV/0!</v>
      </c>
      <c r="AA444" s="304">
        <f>SUM(O443:X448)</f>
        <v>1421.8828052851281</v>
      </c>
    </row>
    <row r="445" spans="1:27" x14ac:dyDescent="0.35">
      <c r="A445" s="56"/>
      <c r="B445" s="24" t="s">
        <v>17</v>
      </c>
      <c r="C445" s="55">
        <f>FTTx!D10</f>
        <v>6984520.1999999983</v>
      </c>
      <c r="D445" s="55">
        <f>FTTx!E10</f>
        <v>4378662.6527999993</v>
      </c>
      <c r="E445" s="55">
        <f>FTTx!F10</f>
        <v>0</v>
      </c>
      <c r="F445" s="55">
        <f>FTTx!G10</f>
        <v>0</v>
      </c>
      <c r="G445" s="55">
        <f>FTTx!H10</f>
        <v>0</v>
      </c>
      <c r="H445" s="55">
        <f>FTTx!I10</f>
        <v>0</v>
      </c>
      <c r="I445" s="55">
        <f>FTTx!J10</f>
        <v>0</v>
      </c>
      <c r="J445" s="55">
        <f>FTTx!K10</f>
        <v>0</v>
      </c>
      <c r="K445" s="10">
        <f>FTTx!L10</f>
        <v>0</v>
      </c>
      <c r="L445" s="10">
        <f>FTTx!M10</f>
        <v>0</v>
      </c>
      <c r="M445" s="570"/>
      <c r="N445" s="24" t="str">
        <f t="shared" si="58"/>
        <v>EPON</v>
      </c>
      <c r="O445" s="69">
        <f>FTTx!D36</f>
        <v>59.541827717662414</v>
      </c>
      <c r="P445" s="69">
        <f>FTTx!E36</f>
        <v>29.086334285753459</v>
      </c>
      <c r="Q445" s="69">
        <f>FTTx!F36</f>
        <v>0</v>
      </c>
      <c r="R445" s="69">
        <f>FTTx!G36</f>
        <v>0</v>
      </c>
      <c r="S445" s="69">
        <f>FTTx!H36</f>
        <v>0</v>
      </c>
      <c r="T445" s="69">
        <f>FTTx!I36</f>
        <v>0</v>
      </c>
      <c r="U445" s="69">
        <f>FTTx!J36</f>
        <v>0</v>
      </c>
      <c r="V445" s="69">
        <f>FTTx!K36</f>
        <v>0</v>
      </c>
      <c r="W445" s="69">
        <f>FTTx!L36</f>
        <v>0</v>
      </c>
      <c r="X445" s="69">
        <f>FTTx!M36</f>
        <v>0</v>
      </c>
      <c r="Y445" s="154" t="e">
        <f t="shared" si="59"/>
        <v>#DIV/0!</v>
      </c>
      <c r="AA445" s="305">
        <f>SUM(O449:X449)</f>
        <v>1421.8828052851281</v>
      </c>
    </row>
    <row r="446" spans="1:27" x14ac:dyDescent="0.35">
      <c r="A446" s="56"/>
      <c r="B446" s="24" t="s">
        <v>29</v>
      </c>
      <c r="C446" s="55">
        <f>FTTx!D11+FTTx!D12</f>
        <v>154000</v>
      </c>
      <c r="D446" s="55">
        <f>FTTx!E11+FTTx!E12</f>
        <v>780027.86250000005</v>
      </c>
      <c r="E446" s="55">
        <f>FTTx!F11+FTTx!F12</f>
        <v>0</v>
      </c>
      <c r="F446" s="55">
        <f>FTTx!G11+FTTx!G12</f>
        <v>0</v>
      </c>
      <c r="G446" s="55">
        <f>FTTx!H11+FTTx!H12</f>
        <v>0</v>
      </c>
      <c r="H446" s="55">
        <f>FTTx!I11+FTTx!I12</f>
        <v>0</v>
      </c>
      <c r="I446" s="55">
        <f>FTTx!J11+FTTx!J12</f>
        <v>0</v>
      </c>
      <c r="J446" s="55">
        <f>FTTx!K11+FTTx!K12</f>
        <v>0</v>
      </c>
      <c r="K446" s="10">
        <f>FTTx!L11+FTTx!L12</f>
        <v>0</v>
      </c>
      <c r="L446" s="10">
        <f>FTTx!M11+FTTx!M12</f>
        <v>0</v>
      </c>
      <c r="M446" s="570"/>
      <c r="N446" s="24" t="str">
        <f t="shared" si="58"/>
        <v>10G PON</v>
      </c>
      <c r="O446" s="69">
        <f>FTTx!D37+FTTx!D38</f>
        <v>14.29</v>
      </c>
      <c r="P446" s="69">
        <f>FTTx!E37+FTTx!E38</f>
        <v>108.51612975</v>
      </c>
      <c r="Q446" s="69">
        <f>FTTx!F37+FTTx!F38</f>
        <v>0</v>
      </c>
      <c r="R446" s="69">
        <f>FTTx!G37+FTTx!G38</f>
        <v>0</v>
      </c>
      <c r="S446" s="69">
        <f>FTTx!H37+FTTx!H38</f>
        <v>0</v>
      </c>
      <c r="T446" s="69">
        <f>FTTx!I37+FTTx!I38</f>
        <v>0</v>
      </c>
      <c r="U446" s="69">
        <f>FTTx!J37+FTTx!J38</f>
        <v>0</v>
      </c>
      <c r="V446" s="69">
        <f>FTTx!K37+FTTx!K38</f>
        <v>0</v>
      </c>
      <c r="W446" s="69">
        <f>FTTx!L37+FTTx!L38</f>
        <v>0</v>
      </c>
      <c r="X446" s="69">
        <f>FTTx!M37+FTTx!M38</f>
        <v>0</v>
      </c>
      <c r="Y446" s="154" t="e">
        <f t="shared" si="59"/>
        <v>#DIV/0!</v>
      </c>
      <c r="AA446" s="305">
        <f>SUM(FTTx!D34:M42)/2</f>
        <v>1421.8828052851279</v>
      </c>
    </row>
    <row r="447" spans="1:27" ht="12.5" x14ac:dyDescent="0.25">
      <c r="A447" s="56"/>
      <c r="B447" s="24" t="s">
        <v>365</v>
      </c>
      <c r="C447" s="55">
        <f>FTTx!D13+FTTx!D14</f>
        <v>0</v>
      </c>
      <c r="D447" s="55">
        <f>FTTx!E13+FTTx!E14</f>
        <v>0</v>
      </c>
      <c r="E447" s="55">
        <f>FTTx!F13+FTTx!F14</f>
        <v>0</v>
      </c>
      <c r="F447" s="55">
        <f>FTTx!G13+FTTx!G14</f>
        <v>0</v>
      </c>
      <c r="G447" s="55">
        <f>FTTx!H13+FTTx!H14</f>
        <v>0</v>
      </c>
      <c r="H447" s="55">
        <f>FTTx!I13+FTTx!I14</f>
        <v>0</v>
      </c>
      <c r="I447" s="55">
        <f>FTTx!J13+FTTx!J14</f>
        <v>0</v>
      </c>
      <c r="J447" s="55">
        <f>FTTx!K13+FTTx!K14</f>
        <v>0</v>
      </c>
      <c r="K447" s="10">
        <f>FTTx!L13+FTTx!L14</f>
        <v>0</v>
      </c>
      <c r="L447" s="10">
        <f>FTTx!M13+FTTx!M14</f>
        <v>0</v>
      </c>
      <c r="M447" s="570"/>
      <c r="N447" s="24" t="str">
        <f t="shared" si="58"/>
        <v>NG PON2/Nx25G PON</v>
      </c>
      <c r="O447" s="69">
        <f>SUM(FTTx!D39:D40)</f>
        <v>0</v>
      </c>
      <c r="P447" s="69">
        <f>SUM(FTTx!E39:E40)</f>
        <v>0</v>
      </c>
      <c r="Q447" s="69">
        <f>SUM(FTTx!F39:F40)</f>
        <v>0</v>
      </c>
      <c r="R447" s="69">
        <f>SUM(FTTx!G39:G40)</f>
        <v>0</v>
      </c>
      <c r="S447" s="69">
        <f>SUM(FTTx!H39:H40)</f>
        <v>0</v>
      </c>
      <c r="T447" s="69">
        <f>SUM(FTTx!I39:I40)</f>
        <v>0</v>
      </c>
      <c r="U447" s="69">
        <f>SUM(FTTx!J39:J40)</f>
        <v>0</v>
      </c>
      <c r="V447" s="69">
        <f>SUM(FTTx!K39:K40)</f>
        <v>0</v>
      </c>
      <c r="W447" s="69">
        <f>SUM(FTTx!L39:L40)</f>
        <v>0</v>
      </c>
      <c r="X447" s="69">
        <f>SUM(FTTx!M39:M40)</f>
        <v>0</v>
      </c>
      <c r="Y447" s="154"/>
      <c r="AA447" s="160"/>
    </row>
    <row r="448" spans="1:27" x14ac:dyDescent="0.35">
      <c r="A448" s="56"/>
      <c r="B448" s="24" t="s">
        <v>18</v>
      </c>
      <c r="C448" s="55">
        <f>FTTx!D15</f>
        <v>495134.02880000009</v>
      </c>
      <c r="D448" s="55">
        <f>FTTx!E15</f>
        <v>420437.50000000012</v>
      </c>
      <c r="E448" s="55">
        <f>FTTx!F15</f>
        <v>0</v>
      </c>
      <c r="F448" s="55">
        <f>FTTx!G15</f>
        <v>0</v>
      </c>
      <c r="G448" s="55">
        <f>FTTx!H15</f>
        <v>0</v>
      </c>
      <c r="H448" s="55">
        <f>FTTx!I15</f>
        <v>0</v>
      </c>
      <c r="I448" s="55">
        <f>FTTx!J15</f>
        <v>0</v>
      </c>
      <c r="J448" s="55">
        <f>FTTx!K15</f>
        <v>0</v>
      </c>
      <c r="K448" s="240">
        <f>FTTx!L15</f>
        <v>0</v>
      </c>
      <c r="L448" s="240">
        <f>FTTx!M15</f>
        <v>0</v>
      </c>
      <c r="M448" s="570"/>
      <c r="N448" s="24" t="str">
        <f t="shared" si="58"/>
        <v>Point-to-point</v>
      </c>
      <c r="O448" s="69">
        <f>FTTx!D41</f>
        <v>13.613688128000003</v>
      </c>
      <c r="P448" s="69">
        <f>FTTx!E41</f>
        <v>10.430337750000003</v>
      </c>
      <c r="Q448" s="69">
        <f>FTTx!F41</f>
        <v>0</v>
      </c>
      <c r="R448" s="69">
        <f>FTTx!G41</f>
        <v>0</v>
      </c>
      <c r="S448" s="69">
        <f>FTTx!H41</f>
        <v>0</v>
      </c>
      <c r="T448" s="69">
        <f>FTTx!I41</f>
        <v>0</v>
      </c>
      <c r="U448" s="69">
        <f>FTTx!J41</f>
        <v>0</v>
      </c>
      <c r="V448" s="69">
        <f>FTTx!K41</f>
        <v>0</v>
      </c>
      <c r="W448" s="69">
        <f>FTTx!L41</f>
        <v>0</v>
      </c>
      <c r="X448" s="69">
        <f>FTTx!M41</f>
        <v>0</v>
      </c>
      <c r="Y448" s="155" t="e">
        <f t="shared" si="59"/>
        <v>#DIV/0!</v>
      </c>
    </row>
    <row r="449" spans="1:27" x14ac:dyDescent="0.35">
      <c r="A449" s="56"/>
      <c r="B449" s="187" t="s">
        <v>79</v>
      </c>
      <c r="C449" s="193">
        <f t="shared" ref="C449:L449" si="60">SUM(C443:C448)</f>
        <v>70628025.638035297</v>
      </c>
      <c r="D449" s="193">
        <f t="shared" si="60"/>
        <v>50547752.350361757</v>
      </c>
      <c r="E449" s="130">
        <f t="shared" si="60"/>
        <v>0</v>
      </c>
      <c r="F449" s="130">
        <f t="shared" si="60"/>
        <v>0</v>
      </c>
      <c r="G449" s="130">
        <f t="shared" si="60"/>
        <v>0</v>
      </c>
      <c r="H449" s="130">
        <f t="shared" si="60"/>
        <v>0</v>
      </c>
      <c r="I449" s="130">
        <f t="shared" si="60"/>
        <v>0</v>
      </c>
      <c r="J449" s="130">
        <f t="shared" si="60"/>
        <v>0</v>
      </c>
      <c r="K449" s="130">
        <f t="shared" si="60"/>
        <v>0</v>
      </c>
      <c r="L449" s="130">
        <f t="shared" si="60"/>
        <v>0</v>
      </c>
      <c r="M449" s="570"/>
      <c r="N449" s="189" t="s">
        <v>79</v>
      </c>
      <c r="O449" s="126">
        <f t="shared" ref="O449:X449" si="61">SUM(O443:O448)</f>
        <v>792.3413559550562</v>
      </c>
      <c r="P449" s="126">
        <f t="shared" si="61"/>
        <v>629.54144933007183</v>
      </c>
      <c r="Q449" s="126">
        <f t="shared" si="61"/>
        <v>0</v>
      </c>
      <c r="R449" s="126">
        <f t="shared" si="61"/>
        <v>0</v>
      </c>
      <c r="S449" s="126">
        <f t="shared" si="61"/>
        <v>0</v>
      </c>
      <c r="T449" s="126">
        <f t="shared" si="61"/>
        <v>0</v>
      </c>
      <c r="U449" s="126">
        <f t="shared" si="61"/>
        <v>0</v>
      </c>
      <c r="V449" s="126">
        <f t="shared" si="61"/>
        <v>0</v>
      </c>
      <c r="W449" s="126">
        <f t="shared" si="61"/>
        <v>0</v>
      </c>
      <c r="X449" s="126">
        <f t="shared" si="61"/>
        <v>0</v>
      </c>
      <c r="Y449" s="155" t="e">
        <f t="shared" si="59"/>
        <v>#DIV/0!</v>
      </c>
    </row>
    <row r="450" spans="1:27" x14ac:dyDescent="0.35">
      <c r="A450" s="56"/>
      <c r="B450" s="87"/>
      <c r="C450" s="268"/>
      <c r="D450" s="268"/>
      <c r="E450" s="268"/>
      <c r="F450" s="268"/>
      <c r="G450" s="268"/>
      <c r="H450" s="268"/>
      <c r="I450" s="268"/>
      <c r="J450" s="268"/>
      <c r="K450" s="268"/>
      <c r="L450" s="268"/>
      <c r="M450" s="570"/>
      <c r="N450" s="50"/>
      <c r="O450" s="267"/>
      <c r="P450" s="267"/>
      <c r="Q450" s="267"/>
      <c r="R450" s="267"/>
      <c r="S450" s="267"/>
      <c r="T450" s="267"/>
      <c r="U450" s="267"/>
      <c r="V450" s="267"/>
      <c r="W450" s="267"/>
      <c r="X450" s="267"/>
      <c r="Z450" s="152"/>
    </row>
    <row r="451" spans="1:27" s="42" customFormat="1" ht="18" x14ac:dyDescent="0.4">
      <c r="A451" s="83" t="s">
        <v>354</v>
      </c>
      <c r="B451" s="78"/>
      <c r="C451" s="79"/>
      <c r="D451" s="79"/>
      <c r="E451" s="79"/>
      <c r="F451" s="79"/>
      <c r="G451" s="79"/>
      <c r="H451" s="79"/>
      <c r="I451" s="79"/>
      <c r="J451" s="88"/>
      <c r="K451" s="88"/>
      <c r="L451" s="88"/>
      <c r="M451" s="88"/>
      <c r="N451" s="88"/>
      <c r="O451" s="86"/>
      <c r="P451" s="86"/>
      <c r="Q451" s="86"/>
      <c r="R451" s="86"/>
      <c r="S451" s="86"/>
      <c r="T451" s="86"/>
      <c r="U451" s="86"/>
      <c r="V451" s="86"/>
      <c r="W451" s="86"/>
      <c r="X451" s="86"/>
      <c r="Z451" s="156"/>
      <c r="AA451" s="308"/>
    </row>
    <row r="452" spans="1:27" x14ac:dyDescent="0.35">
      <c r="A452" s="56"/>
      <c r="B452" s="93" t="s">
        <v>366</v>
      </c>
      <c r="C452" s="61"/>
      <c r="D452" s="61"/>
      <c r="E452" s="61"/>
      <c r="F452" s="61"/>
      <c r="G452" s="61"/>
      <c r="H452" s="61"/>
      <c r="I452" s="61"/>
      <c r="J452" s="50"/>
      <c r="K452" s="50"/>
      <c r="L452" s="50"/>
      <c r="M452" s="50"/>
      <c r="N452" s="93" t="s">
        <v>255</v>
      </c>
      <c r="O452" s="17"/>
      <c r="P452" s="17"/>
      <c r="Q452" s="17"/>
      <c r="R452" s="17"/>
      <c r="S452" s="152"/>
      <c r="T452" s="152"/>
      <c r="U452" s="152"/>
      <c r="V452" s="152"/>
      <c r="W452" s="152"/>
      <c r="X452" s="152"/>
      <c r="Z452" s="152"/>
    </row>
    <row r="453" spans="1:27" x14ac:dyDescent="0.35">
      <c r="B453" s="31"/>
      <c r="C453" s="32"/>
      <c r="D453" s="32"/>
      <c r="E453" s="32"/>
      <c r="F453" s="32"/>
      <c r="G453" s="32"/>
      <c r="H453" s="32"/>
      <c r="I453" s="32"/>
      <c r="J453" s="33"/>
      <c r="K453" s="33"/>
      <c r="L453" s="33"/>
      <c r="M453" s="33"/>
      <c r="N453" s="33"/>
      <c r="O453" s="17"/>
      <c r="P453" s="17"/>
      <c r="Q453" s="17"/>
      <c r="R453" s="17"/>
      <c r="S453" s="152"/>
      <c r="T453" s="152"/>
      <c r="U453" s="152"/>
      <c r="V453" s="152"/>
      <c r="W453" s="152"/>
      <c r="X453" s="152"/>
      <c r="Z453" s="152"/>
    </row>
    <row r="454" spans="1:27" x14ac:dyDescent="0.35">
      <c r="B454" s="31"/>
      <c r="C454" s="32"/>
      <c r="D454" s="32"/>
      <c r="E454" s="32"/>
      <c r="F454" s="32"/>
      <c r="G454" s="32"/>
      <c r="H454" s="32"/>
      <c r="I454" s="32"/>
      <c r="J454" s="33"/>
      <c r="K454" s="33"/>
      <c r="L454" s="33"/>
      <c r="M454" s="33"/>
      <c r="N454" s="33"/>
      <c r="O454" s="17"/>
      <c r="P454" s="17"/>
      <c r="Q454" s="17"/>
      <c r="R454" s="17"/>
      <c r="S454" s="152"/>
      <c r="T454" s="152"/>
      <c r="U454" s="152"/>
      <c r="V454" s="152"/>
      <c r="W454" s="152"/>
      <c r="X454" s="152"/>
      <c r="Z454" s="152"/>
    </row>
    <row r="455" spans="1:27" x14ac:dyDescent="0.35">
      <c r="B455" s="31"/>
      <c r="C455" s="32"/>
      <c r="D455" s="32"/>
      <c r="E455" s="32"/>
      <c r="F455" s="32"/>
      <c r="G455" s="32"/>
      <c r="H455" s="32"/>
      <c r="I455" s="32"/>
      <c r="J455" s="33"/>
      <c r="K455" s="33"/>
      <c r="L455" s="33"/>
      <c r="M455" s="33"/>
      <c r="N455" s="33"/>
      <c r="O455" s="17"/>
      <c r="P455" s="17"/>
      <c r="Q455" s="17"/>
      <c r="R455" s="17"/>
      <c r="S455" s="152"/>
      <c r="T455" s="152"/>
      <c r="U455" s="152"/>
      <c r="V455" s="152"/>
      <c r="W455" s="152"/>
      <c r="X455" s="152"/>
      <c r="Z455" s="152"/>
    </row>
    <row r="456" spans="1:27" x14ac:dyDescent="0.35">
      <c r="B456" s="31"/>
      <c r="C456" s="32"/>
      <c r="D456" s="32"/>
      <c r="E456" s="32"/>
      <c r="F456" s="32"/>
      <c r="G456" s="32"/>
      <c r="H456" s="32"/>
      <c r="I456" s="32"/>
      <c r="J456" s="33"/>
      <c r="K456" s="33"/>
      <c r="L456" s="33"/>
      <c r="M456" s="33"/>
      <c r="N456" s="33"/>
      <c r="O456" s="17"/>
      <c r="P456" s="17"/>
      <c r="Q456" s="17"/>
      <c r="R456" s="17"/>
      <c r="S456" s="152"/>
      <c r="T456" s="152"/>
      <c r="U456" s="152"/>
      <c r="V456" s="152"/>
      <c r="W456" s="152"/>
      <c r="X456" s="152"/>
      <c r="Z456" s="152"/>
    </row>
    <row r="457" spans="1:27" x14ac:dyDescent="0.35">
      <c r="B457" s="31"/>
      <c r="C457" s="32"/>
      <c r="D457" s="32"/>
      <c r="E457" s="32"/>
      <c r="F457" s="32"/>
      <c r="G457" s="32"/>
      <c r="H457" s="32"/>
      <c r="I457" s="32"/>
      <c r="J457" s="33"/>
      <c r="K457" s="33"/>
      <c r="L457" s="33"/>
      <c r="M457" s="33"/>
      <c r="N457" s="33"/>
      <c r="O457" s="17"/>
      <c r="P457" s="17"/>
      <c r="Q457" s="17"/>
      <c r="R457" s="17"/>
      <c r="S457" s="152"/>
      <c r="T457" s="152"/>
      <c r="U457" s="152"/>
      <c r="V457" s="152"/>
      <c r="W457" s="152"/>
      <c r="X457" s="152"/>
      <c r="Z457" s="152"/>
    </row>
    <row r="458" spans="1:27" x14ac:dyDescent="0.35">
      <c r="B458" s="31"/>
      <c r="C458" s="32"/>
      <c r="D458" s="32"/>
      <c r="E458" s="32"/>
      <c r="F458" s="32"/>
      <c r="G458" s="32"/>
      <c r="H458" s="32"/>
      <c r="I458" s="32"/>
      <c r="J458" s="33"/>
      <c r="K458" s="33"/>
      <c r="L458" s="33"/>
      <c r="M458" s="33"/>
      <c r="N458" s="33"/>
      <c r="O458" s="17"/>
      <c r="P458" s="17"/>
      <c r="Q458" s="17"/>
      <c r="R458" s="17"/>
      <c r="S458" s="152"/>
      <c r="T458" s="152"/>
      <c r="U458" s="152"/>
      <c r="V458" s="152"/>
      <c r="W458" s="152"/>
      <c r="X458" s="152"/>
      <c r="Z458" s="152"/>
    </row>
    <row r="459" spans="1:27" x14ac:dyDescent="0.35">
      <c r="B459" s="31"/>
      <c r="C459" s="32"/>
      <c r="D459" s="32"/>
      <c r="E459" s="32"/>
      <c r="F459" s="32"/>
      <c r="G459" s="32"/>
      <c r="H459" s="32"/>
      <c r="I459" s="32"/>
      <c r="J459" s="33"/>
      <c r="K459" s="33"/>
      <c r="L459" s="33"/>
      <c r="M459" s="33"/>
      <c r="N459" s="33"/>
      <c r="O459" s="17"/>
      <c r="P459" s="17"/>
      <c r="Q459" s="17"/>
      <c r="R459" s="17"/>
      <c r="S459" s="152"/>
      <c r="T459" s="152"/>
      <c r="U459" s="152"/>
      <c r="V459" s="152"/>
      <c r="W459" s="152"/>
      <c r="X459" s="152"/>
      <c r="Z459" s="152"/>
    </row>
    <row r="460" spans="1:27" x14ac:dyDescent="0.35">
      <c r="B460" s="31"/>
      <c r="C460" s="32"/>
      <c r="D460" s="32"/>
      <c r="E460" s="32"/>
      <c r="F460" s="32"/>
      <c r="G460" s="32"/>
      <c r="H460" s="32"/>
      <c r="I460" s="32"/>
      <c r="J460" s="33"/>
      <c r="K460" s="33"/>
      <c r="L460" s="33"/>
      <c r="M460" s="33"/>
      <c r="N460" s="33"/>
      <c r="O460" s="17"/>
      <c r="P460" s="17"/>
      <c r="Q460" s="17"/>
      <c r="R460" s="17"/>
      <c r="S460" s="152"/>
      <c r="T460" s="152"/>
      <c r="U460" s="152"/>
      <c r="V460" s="152"/>
      <c r="W460" s="152"/>
      <c r="X460" s="152"/>
      <c r="Z460" s="152"/>
    </row>
    <row r="461" spans="1:27" x14ac:dyDescent="0.35">
      <c r="B461" s="31"/>
      <c r="C461" s="32"/>
      <c r="D461" s="32"/>
      <c r="E461" s="32"/>
      <c r="F461" s="32"/>
      <c r="G461" s="32"/>
      <c r="H461" s="32"/>
      <c r="I461" s="32"/>
      <c r="J461" s="33"/>
      <c r="K461" s="33"/>
      <c r="L461" s="33"/>
      <c r="M461" s="33"/>
      <c r="N461" s="33"/>
      <c r="O461" s="17"/>
      <c r="P461" s="17"/>
      <c r="Q461" s="17"/>
      <c r="R461" s="17"/>
      <c r="S461" s="152"/>
      <c r="T461" s="152"/>
      <c r="U461" s="152"/>
      <c r="V461" s="152"/>
      <c r="W461" s="152"/>
      <c r="X461" s="152"/>
      <c r="Z461" s="152"/>
    </row>
    <row r="462" spans="1:27" x14ac:dyDescent="0.35">
      <c r="B462" s="31"/>
      <c r="C462" s="32"/>
      <c r="D462" s="32"/>
      <c r="E462" s="32"/>
      <c r="F462" s="32"/>
      <c r="G462" s="32"/>
      <c r="H462" s="32"/>
      <c r="I462" s="32"/>
      <c r="J462" s="33"/>
      <c r="K462" s="33"/>
      <c r="L462" s="33"/>
      <c r="M462" s="33"/>
      <c r="N462" s="33"/>
      <c r="O462" s="17"/>
      <c r="P462" s="17"/>
      <c r="Q462" s="17"/>
      <c r="R462" s="17"/>
      <c r="S462" s="152"/>
      <c r="T462" s="152"/>
      <c r="U462" s="152"/>
      <c r="V462" s="152"/>
      <c r="W462" s="152"/>
      <c r="X462" s="152"/>
      <c r="Z462" s="152"/>
    </row>
    <row r="463" spans="1:27" x14ac:dyDescent="0.35">
      <c r="B463" s="31"/>
      <c r="C463" s="32"/>
      <c r="D463" s="32"/>
      <c r="E463" s="32"/>
      <c r="F463" s="32"/>
      <c r="G463" s="32"/>
      <c r="H463" s="32"/>
      <c r="I463" s="32"/>
      <c r="J463" s="33"/>
      <c r="K463" s="33"/>
      <c r="L463" s="33"/>
      <c r="M463" s="33"/>
      <c r="N463" s="33"/>
      <c r="O463" s="17"/>
      <c r="P463" s="17"/>
      <c r="Q463" s="17"/>
      <c r="R463" s="17"/>
      <c r="S463" s="152"/>
      <c r="T463" s="152"/>
      <c r="U463" s="152"/>
      <c r="V463" s="152"/>
      <c r="W463" s="152"/>
      <c r="X463" s="152"/>
      <c r="Z463" s="152"/>
    </row>
    <row r="464" spans="1:27" x14ac:dyDescent="0.35">
      <c r="B464" s="31"/>
      <c r="C464" s="32"/>
      <c r="D464" s="32"/>
      <c r="E464" s="32"/>
      <c r="F464" s="32"/>
      <c r="G464" s="32"/>
      <c r="H464" s="32"/>
      <c r="I464" s="32"/>
      <c r="J464" s="33"/>
      <c r="K464" s="33"/>
      <c r="L464" s="33"/>
      <c r="M464" s="33"/>
      <c r="N464" s="33"/>
      <c r="O464" s="17"/>
      <c r="P464" s="17"/>
      <c r="Q464" s="17"/>
      <c r="R464" s="17"/>
      <c r="S464" s="152"/>
      <c r="T464" s="152"/>
      <c r="U464" s="152"/>
      <c r="V464" s="152"/>
      <c r="W464" s="152"/>
      <c r="X464" s="152"/>
      <c r="Z464" s="152"/>
    </row>
    <row r="465" spans="2:27" x14ac:dyDescent="0.35">
      <c r="B465" s="31"/>
      <c r="C465" s="32"/>
      <c r="D465" s="32"/>
      <c r="E465" s="32"/>
      <c r="F465" s="32"/>
      <c r="G465" s="32"/>
      <c r="H465" s="32"/>
      <c r="I465" s="32"/>
      <c r="J465" s="33"/>
      <c r="K465" s="33"/>
      <c r="L465" s="33"/>
      <c r="M465" s="33"/>
      <c r="N465" s="33"/>
      <c r="O465" s="17"/>
      <c r="P465" s="17"/>
      <c r="Q465" s="17"/>
      <c r="R465" s="17"/>
      <c r="S465" s="152"/>
      <c r="T465" s="152"/>
      <c r="U465" s="152"/>
      <c r="V465" s="152"/>
      <c r="W465" s="152"/>
      <c r="X465" s="152"/>
      <c r="Z465" s="152"/>
    </row>
    <row r="466" spans="2:27" x14ac:dyDescent="0.35">
      <c r="B466" s="31"/>
      <c r="C466" s="32"/>
      <c r="D466" s="32"/>
      <c r="E466" s="32"/>
      <c r="F466" s="32"/>
      <c r="G466" s="32"/>
      <c r="H466" s="32"/>
      <c r="I466" s="32"/>
      <c r="J466" s="33"/>
      <c r="K466" s="33"/>
      <c r="L466" s="33"/>
      <c r="M466" s="33"/>
      <c r="N466" s="33"/>
      <c r="O466" s="17"/>
      <c r="P466" s="17"/>
      <c r="Q466" s="17"/>
      <c r="R466" s="17"/>
      <c r="S466" s="152"/>
      <c r="T466" s="152"/>
      <c r="U466" s="152"/>
      <c r="V466" s="152"/>
      <c r="W466" s="152"/>
      <c r="X466" s="152"/>
      <c r="Z466" s="152"/>
    </row>
    <row r="467" spans="2:27" x14ac:dyDescent="0.35">
      <c r="B467" s="31"/>
      <c r="C467" s="32"/>
      <c r="D467" s="32"/>
      <c r="E467" s="32"/>
      <c r="F467" s="32"/>
      <c r="G467" s="32"/>
      <c r="H467" s="32"/>
      <c r="I467" s="32"/>
      <c r="J467" s="33"/>
      <c r="K467" s="33"/>
      <c r="L467" s="33"/>
      <c r="M467" s="33"/>
      <c r="N467" s="33"/>
      <c r="O467" s="17"/>
      <c r="P467" s="17"/>
      <c r="Q467" s="17"/>
      <c r="R467" s="17"/>
      <c r="S467" s="152"/>
      <c r="T467" s="152"/>
      <c r="U467" s="152"/>
      <c r="V467" s="152"/>
      <c r="W467" s="152"/>
      <c r="X467" s="152"/>
      <c r="Z467" s="152"/>
    </row>
    <row r="468" spans="2:27" x14ac:dyDescent="0.35">
      <c r="B468" s="31"/>
      <c r="C468" s="32"/>
      <c r="D468" s="32"/>
      <c r="E468" s="32"/>
      <c r="F468" s="32"/>
      <c r="G468" s="32"/>
      <c r="H468" s="32"/>
      <c r="I468" s="32"/>
      <c r="J468" s="33"/>
      <c r="K468" s="33"/>
      <c r="L468" s="33"/>
      <c r="M468" s="33"/>
      <c r="N468" s="33"/>
      <c r="O468" s="17"/>
      <c r="P468" s="17"/>
      <c r="Q468" s="17"/>
      <c r="R468" s="17"/>
      <c r="S468" s="152"/>
      <c r="T468" s="152"/>
      <c r="U468" s="152"/>
      <c r="V468" s="152"/>
      <c r="W468" s="152"/>
      <c r="X468" s="152"/>
      <c r="Z468" s="152"/>
    </row>
    <row r="469" spans="2:27" x14ac:dyDescent="0.35">
      <c r="B469" s="31"/>
      <c r="C469" s="32"/>
      <c r="D469" s="32"/>
      <c r="E469" s="32"/>
      <c r="F469" s="32"/>
      <c r="G469" s="32"/>
      <c r="H469" s="32"/>
      <c r="I469" s="32"/>
      <c r="J469" s="33"/>
      <c r="K469" s="33"/>
      <c r="L469" s="33"/>
      <c r="M469" s="33"/>
      <c r="N469" s="33"/>
      <c r="O469" s="17"/>
      <c r="P469" s="17"/>
      <c r="Q469" s="17"/>
      <c r="R469" s="17"/>
      <c r="S469" s="152"/>
      <c r="T469" s="152"/>
      <c r="U469" s="152"/>
      <c r="V469" s="152"/>
      <c r="W469" s="152"/>
      <c r="X469" s="152"/>
      <c r="Z469" s="152"/>
    </row>
    <row r="470" spans="2:27" x14ac:dyDescent="0.35">
      <c r="B470" s="31"/>
      <c r="C470" s="32"/>
      <c r="D470" s="32"/>
      <c r="E470" s="32"/>
      <c r="F470" s="32"/>
      <c r="G470" s="32"/>
      <c r="H470" s="32"/>
      <c r="I470" s="32"/>
      <c r="J470" s="33"/>
      <c r="K470" s="33"/>
      <c r="L470" s="33"/>
      <c r="M470" s="33"/>
      <c r="N470" s="33"/>
      <c r="O470" s="17"/>
      <c r="P470" s="17"/>
      <c r="Q470" s="17"/>
      <c r="R470" s="17"/>
      <c r="S470" s="152"/>
      <c r="T470" s="152"/>
      <c r="U470" s="152"/>
      <c r="V470" s="152"/>
      <c r="W470" s="152"/>
      <c r="X470" s="152"/>
      <c r="Z470" s="152"/>
    </row>
    <row r="471" spans="2:27" x14ac:dyDescent="0.35">
      <c r="B471" s="31"/>
      <c r="C471" s="32"/>
      <c r="D471" s="32"/>
      <c r="E471" s="32"/>
      <c r="F471" s="32"/>
      <c r="G471" s="32"/>
      <c r="H471" s="32"/>
      <c r="I471" s="32"/>
      <c r="J471" s="33"/>
      <c r="K471" s="33"/>
      <c r="L471" s="33"/>
      <c r="M471" s="33"/>
      <c r="N471" s="33"/>
      <c r="O471" s="17"/>
      <c r="P471" s="17"/>
      <c r="Q471" s="17"/>
      <c r="R471" s="17"/>
      <c r="S471" s="152"/>
      <c r="T471" s="152"/>
      <c r="U471" s="152"/>
      <c r="V471" s="152"/>
      <c r="W471" s="152"/>
      <c r="X471" s="152"/>
      <c r="Z471" s="152"/>
    </row>
    <row r="472" spans="2:27" x14ac:dyDescent="0.35">
      <c r="B472" s="31"/>
      <c r="C472" s="32"/>
      <c r="D472" s="32"/>
      <c r="E472" s="32"/>
      <c r="F472" s="32"/>
      <c r="G472" s="32"/>
      <c r="H472" s="32"/>
      <c r="I472" s="32"/>
      <c r="J472" s="33"/>
      <c r="K472" s="33"/>
      <c r="L472" s="33"/>
      <c r="M472" s="33"/>
      <c r="N472" s="33"/>
      <c r="O472" s="17"/>
      <c r="P472" s="17"/>
      <c r="Q472" s="17"/>
      <c r="R472" s="17"/>
      <c r="S472" s="152"/>
      <c r="T472" s="152"/>
      <c r="U472" s="152"/>
      <c r="V472" s="152"/>
      <c r="W472" s="152"/>
      <c r="X472" s="152"/>
      <c r="Z472" s="152"/>
    </row>
    <row r="473" spans="2:27" x14ac:dyDescent="0.35">
      <c r="B473" s="31"/>
      <c r="C473" s="32"/>
      <c r="D473" s="32"/>
      <c r="E473" s="32"/>
      <c r="F473" s="32"/>
      <c r="G473" s="32"/>
      <c r="H473" s="32"/>
      <c r="I473" s="32"/>
      <c r="J473" s="33"/>
      <c r="K473" s="33"/>
      <c r="L473" s="33"/>
      <c r="M473" s="33"/>
      <c r="N473" s="33"/>
      <c r="O473" s="17"/>
      <c r="P473" s="17"/>
      <c r="Q473" s="17"/>
      <c r="R473" s="17"/>
      <c r="S473" s="152"/>
      <c r="T473" s="152"/>
      <c r="U473" s="152"/>
      <c r="V473" s="152"/>
      <c r="W473" s="152"/>
      <c r="X473" s="152"/>
      <c r="Z473" s="152"/>
    </row>
    <row r="474" spans="2:27" x14ac:dyDescent="0.35">
      <c r="B474" s="31"/>
      <c r="C474" s="32"/>
      <c r="D474" s="32"/>
      <c r="E474" s="32"/>
      <c r="F474" s="32"/>
      <c r="G474" s="32"/>
      <c r="H474" s="32"/>
      <c r="I474" s="32"/>
      <c r="J474" s="33"/>
      <c r="K474" s="33"/>
      <c r="L474" s="33"/>
      <c r="M474" s="33"/>
      <c r="N474" s="33"/>
      <c r="O474" s="17"/>
      <c r="P474" s="17"/>
      <c r="Q474" s="17"/>
      <c r="R474" s="17"/>
      <c r="S474" s="152"/>
      <c r="T474" s="152"/>
      <c r="U474" s="152"/>
      <c r="V474" s="152"/>
      <c r="W474" s="152"/>
      <c r="X474" s="152"/>
      <c r="Z474" s="152"/>
    </row>
    <row r="475" spans="2:27" x14ac:dyDescent="0.35">
      <c r="B475" s="31"/>
      <c r="C475" s="32"/>
      <c r="D475" s="32"/>
      <c r="E475" s="32"/>
      <c r="F475" s="32"/>
      <c r="G475" s="32"/>
      <c r="H475" s="32"/>
      <c r="I475" s="32"/>
      <c r="J475" s="33"/>
      <c r="K475" s="33"/>
      <c r="L475" s="33"/>
      <c r="M475" s="33"/>
      <c r="N475" s="33"/>
      <c r="O475" s="17"/>
      <c r="P475" s="17"/>
      <c r="Q475" s="17"/>
      <c r="R475" s="17"/>
      <c r="S475" s="152"/>
      <c r="T475" s="152"/>
      <c r="U475" s="152"/>
      <c r="V475" s="152"/>
      <c r="W475" s="152"/>
      <c r="X475" s="152"/>
      <c r="Z475" s="152"/>
    </row>
    <row r="476" spans="2:27" x14ac:dyDescent="0.35">
      <c r="B476" s="84"/>
      <c r="C476" s="61"/>
      <c r="D476" s="61"/>
      <c r="E476" s="61"/>
      <c r="F476" s="61"/>
      <c r="G476" s="61"/>
      <c r="H476" s="61"/>
      <c r="I476" s="61"/>
      <c r="J476" s="65"/>
      <c r="K476" s="65"/>
      <c r="L476" s="65"/>
      <c r="M476" s="33"/>
      <c r="O476" s="17"/>
      <c r="P476" s="17"/>
      <c r="Q476" s="17"/>
      <c r="R476" s="17"/>
      <c r="S476" s="152"/>
      <c r="T476" s="152"/>
      <c r="U476" s="152"/>
      <c r="V476" s="152"/>
      <c r="W476" s="152"/>
      <c r="X476" s="152"/>
      <c r="Z476" s="152"/>
    </row>
    <row r="477" spans="2:27" x14ac:dyDescent="0.35">
      <c r="B477" s="84" t="s">
        <v>368</v>
      </c>
      <c r="C477" s="61"/>
      <c r="D477" s="61"/>
      <c r="E477" s="61"/>
      <c r="F477" s="61"/>
      <c r="G477" s="61"/>
      <c r="H477" s="61"/>
      <c r="I477" s="61"/>
      <c r="J477" s="419"/>
      <c r="K477" s="565"/>
      <c r="L477" s="666"/>
      <c r="M477" s="33"/>
      <c r="N477" s="85" t="s">
        <v>369</v>
      </c>
      <c r="O477" s="419"/>
      <c r="P477" s="419"/>
      <c r="Q477" s="419"/>
      <c r="R477" s="419"/>
      <c r="S477" s="419"/>
      <c r="T477" s="419"/>
      <c r="U477" s="419"/>
      <c r="V477" s="419"/>
      <c r="W477" s="565"/>
      <c r="X477" s="666"/>
      <c r="Y477" s="141" t="s">
        <v>2</v>
      </c>
    </row>
    <row r="478" spans="2:27" x14ac:dyDescent="0.35">
      <c r="B478" s="185" t="s">
        <v>70</v>
      </c>
      <c r="C478" s="123">
        <v>2016</v>
      </c>
      <c r="D478" s="140">
        <v>2017</v>
      </c>
      <c r="E478" s="140">
        <v>2018</v>
      </c>
      <c r="F478" s="123">
        <v>2019</v>
      </c>
      <c r="G478" s="123">
        <v>2020</v>
      </c>
      <c r="H478" s="123">
        <v>2021</v>
      </c>
      <c r="I478" s="123">
        <v>2022</v>
      </c>
      <c r="J478" s="123">
        <v>2023</v>
      </c>
      <c r="K478" s="123">
        <v>2024</v>
      </c>
      <c r="L478" s="123">
        <v>2025</v>
      </c>
      <c r="M478" s="33"/>
      <c r="N478" s="185" t="s">
        <v>70</v>
      </c>
      <c r="O478" s="124">
        <v>2016</v>
      </c>
      <c r="P478" s="123">
        <v>2017</v>
      </c>
      <c r="Q478" s="140">
        <v>2018</v>
      </c>
      <c r="R478" s="140">
        <v>2019</v>
      </c>
      <c r="S478" s="140">
        <v>2020</v>
      </c>
      <c r="T478" s="140">
        <v>2021</v>
      </c>
      <c r="U478" s="140">
        <v>2022</v>
      </c>
      <c r="V478" s="140">
        <v>2023</v>
      </c>
      <c r="W478" s="140">
        <v>2024</v>
      </c>
      <c r="X478" s="140">
        <v>2025</v>
      </c>
      <c r="Y478" s="123" t="str">
        <f>$Y$98</f>
        <v>2020-2025</v>
      </c>
      <c r="AA478" s="304">
        <f>SUM(O479:X481)</f>
        <v>1259.2114892834863</v>
      </c>
    </row>
    <row r="479" spans="2:27" x14ac:dyDescent="0.35">
      <c r="B479" s="24" t="s">
        <v>199</v>
      </c>
      <c r="C479" s="55">
        <f>Wireless!E20</f>
        <v>11390120.661512379</v>
      </c>
      <c r="D479" s="55">
        <f>Wireless!F20</f>
        <v>7193790.5449723806</v>
      </c>
      <c r="E479" s="55">
        <f>Wireless!G20</f>
        <v>0</v>
      </c>
      <c r="F479" s="55">
        <f>Wireless!H20</f>
        <v>0</v>
      </c>
      <c r="G479" s="55">
        <f>Wireless!I20</f>
        <v>0</v>
      </c>
      <c r="H479" s="55">
        <f>Wireless!J20</f>
        <v>0</v>
      </c>
      <c r="I479" s="55">
        <f>Wireless!K20</f>
        <v>0</v>
      </c>
      <c r="J479" s="55">
        <f>Wireless!L20</f>
        <v>0</v>
      </c>
      <c r="K479" s="10">
        <f>Wireless!M20</f>
        <v>0</v>
      </c>
      <c r="L479" s="10">
        <f>Wireless!N20</f>
        <v>0</v>
      </c>
      <c r="M479" s="770" t="e">
        <f>SUM(H479:L479)/SUM(H481:L481)</f>
        <v>#DIV/0!</v>
      </c>
      <c r="N479" s="24" t="str">
        <f>B479</f>
        <v>China</v>
      </c>
      <c r="O479" s="125">
        <f>Wireless!E64</f>
        <v>218.74931045678585</v>
      </c>
      <c r="P479" s="125">
        <f>Wireless!F64</f>
        <v>118.15802502183853</v>
      </c>
      <c r="Q479" s="125">
        <f>Wireless!G64</f>
        <v>0</v>
      </c>
      <c r="R479" s="125">
        <f>Wireless!H64</f>
        <v>0</v>
      </c>
      <c r="S479" s="125">
        <f>Wireless!I64</f>
        <v>0</v>
      </c>
      <c r="T479" s="125">
        <f>Wireless!J64</f>
        <v>0</v>
      </c>
      <c r="U479" s="125">
        <f>Wireless!K64</f>
        <v>0</v>
      </c>
      <c r="V479" s="125">
        <f>Wireless!L64</f>
        <v>0</v>
      </c>
      <c r="W479" s="125">
        <f>Wireless!M64</f>
        <v>0</v>
      </c>
      <c r="X479" s="125">
        <f>Wireless!N64</f>
        <v>0</v>
      </c>
      <c r="Y479" s="153" t="e">
        <f>(X479/S479)^(1/5)-1</f>
        <v>#DIV/0!</v>
      </c>
      <c r="AA479" s="305">
        <f>SUM(Wireless!E189:N201)</f>
        <v>1259.2114892834863</v>
      </c>
    </row>
    <row r="480" spans="2:27" x14ac:dyDescent="0.35">
      <c r="B480" s="24" t="s">
        <v>224</v>
      </c>
      <c r="C480" s="55">
        <f>Wireless!E89</f>
        <v>7633999.1108612223</v>
      </c>
      <c r="D480" s="55">
        <f>Wireless!F89</f>
        <v>5805763.9996211585</v>
      </c>
      <c r="E480" s="55">
        <f>Wireless!G89</f>
        <v>0</v>
      </c>
      <c r="F480" s="55">
        <f>Wireless!H89</f>
        <v>0</v>
      </c>
      <c r="G480" s="55">
        <f>Wireless!I89</f>
        <v>0</v>
      </c>
      <c r="H480" s="55">
        <f>Wireless!J89</f>
        <v>0</v>
      </c>
      <c r="I480" s="55">
        <f>Wireless!K89</f>
        <v>0</v>
      </c>
      <c r="J480" s="55">
        <f>Wireless!L89</f>
        <v>0</v>
      </c>
      <c r="K480" s="10">
        <f>Wireless!M89</f>
        <v>0</v>
      </c>
      <c r="L480" s="10">
        <f>Wireless!N89</f>
        <v>0</v>
      </c>
      <c r="M480" s="33"/>
      <c r="N480" s="24" t="str">
        <f>B480</f>
        <v>Rest of World</v>
      </c>
      <c r="O480" s="69">
        <f>Wireless!E133</f>
        <v>163.50751053190257</v>
      </c>
      <c r="P480" s="69">
        <f>Wireless!F133</f>
        <v>129.19089863121624</v>
      </c>
      <c r="Q480" s="69">
        <f>Wireless!G133</f>
        <v>0</v>
      </c>
      <c r="R480" s="69">
        <f>Wireless!H133</f>
        <v>0</v>
      </c>
      <c r="S480" s="69">
        <f>Wireless!I133</f>
        <v>0</v>
      </c>
      <c r="T480" s="69">
        <f>Wireless!J133</f>
        <v>0</v>
      </c>
      <c r="U480" s="69">
        <f>Wireless!K133</f>
        <v>0</v>
      </c>
      <c r="V480" s="69">
        <f>Wireless!L133</f>
        <v>0</v>
      </c>
      <c r="W480" s="69">
        <f>Wireless!M133</f>
        <v>0</v>
      </c>
      <c r="X480" s="69">
        <f>Wireless!N133</f>
        <v>0</v>
      </c>
      <c r="Y480" s="154" t="e">
        <f>(X480/S480)^(1/5)-1</f>
        <v>#DIV/0!</v>
      </c>
      <c r="AA480" s="304"/>
    </row>
    <row r="481" spans="1:26" x14ac:dyDescent="0.35">
      <c r="B481" s="187" t="s">
        <v>253</v>
      </c>
      <c r="C481" s="193">
        <f t="shared" ref="C481:K481" si="62">C480+C479</f>
        <v>19024119.772373602</v>
      </c>
      <c r="D481" s="193">
        <f t="shared" si="62"/>
        <v>12999554.544593539</v>
      </c>
      <c r="E481" s="193">
        <f t="shared" si="62"/>
        <v>0</v>
      </c>
      <c r="F481" s="193">
        <f t="shared" si="62"/>
        <v>0</v>
      </c>
      <c r="G481" s="193">
        <f t="shared" si="62"/>
        <v>0</v>
      </c>
      <c r="H481" s="193">
        <f t="shared" si="62"/>
        <v>0</v>
      </c>
      <c r="I481" s="193">
        <f t="shared" si="62"/>
        <v>0</v>
      </c>
      <c r="J481" s="193">
        <f t="shared" si="62"/>
        <v>0</v>
      </c>
      <c r="K481" s="130">
        <f t="shared" si="62"/>
        <v>0</v>
      </c>
      <c r="L481" s="130">
        <f>L480+L479</f>
        <v>0</v>
      </c>
      <c r="M481" s="33"/>
      <c r="N481" s="187" t="str">
        <f>B481</f>
        <v>Global</v>
      </c>
      <c r="O481" s="329">
        <f>O480+O479</f>
        <v>382.25682098868845</v>
      </c>
      <c r="P481" s="329">
        <f>P480+P479</f>
        <v>247.34892365305478</v>
      </c>
      <c r="Q481" s="329">
        <f t="shared" ref="Q481:X481" si="63">Q480+Q479</f>
        <v>0</v>
      </c>
      <c r="R481" s="329">
        <f t="shared" si="63"/>
        <v>0</v>
      </c>
      <c r="S481" s="329">
        <f t="shared" si="63"/>
        <v>0</v>
      </c>
      <c r="T481" s="329">
        <f t="shared" si="63"/>
        <v>0</v>
      </c>
      <c r="U481" s="329">
        <f t="shared" si="63"/>
        <v>0</v>
      </c>
      <c r="V481" s="329">
        <f t="shared" si="63"/>
        <v>0</v>
      </c>
      <c r="W481" s="329">
        <f t="shared" si="63"/>
        <v>0</v>
      </c>
      <c r="X481" s="329">
        <f t="shared" si="63"/>
        <v>0</v>
      </c>
      <c r="Y481" s="159" t="e">
        <f>(X481/S481)^(1/5)-1</f>
        <v>#DIV/0!</v>
      </c>
    </row>
    <row r="482" spans="1:26" x14ac:dyDescent="0.35">
      <c r="B482" s="454" t="s">
        <v>273</v>
      </c>
      <c r="C482" s="455">
        <f t="shared" ref="C482:L482" si="64">IF(C479=0,"",C479/C481)</f>
        <v>0.59871998272702509</v>
      </c>
      <c r="D482" s="455">
        <f t="shared" si="64"/>
        <v>0.55338746572391195</v>
      </c>
      <c r="E482" s="455" t="str">
        <f t="shared" si="64"/>
        <v/>
      </c>
      <c r="F482" s="455" t="str">
        <f t="shared" si="64"/>
        <v/>
      </c>
      <c r="G482" s="455" t="str">
        <f t="shared" si="64"/>
        <v/>
      </c>
      <c r="H482" s="455" t="str">
        <f t="shared" si="64"/>
        <v/>
      </c>
      <c r="I482" s="455" t="str">
        <f t="shared" si="64"/>
        <v/>
      </c>
      <c r="J482" s="455" t="str">
        <f t="shared" si="64"/>
        <v/>
      </c>
      <c r="K482" s="455" t="str">
        <f t="shared" si="64"/>
        <v/>
      </c>
      <c r="L482" s="455" t="str">
        <f t="shared" si="64"/>
        <v/>
      </c>
      <c r="M482" s="33"/>
      <c r="N482" s="454" t="s">
        <v>273</v>
      </c>
      <c r="O482" s="455">
        <f t="shared" ref="O482:X482" si="65">IF(O479=0,"",O479/O481)</f>
        <v>0.5722574417141898</v>
      </c>
      <c r="P482" s="455">
        <f t="shared" si="65"/>
        <v>0.4776977529426143</v>
      </c>
      <c r="Q482" s="455" t="str">
        <f t="shared" si="65"/>
        <v/>
      </c>
      <c r="R482" s="455" t="str">
        <f t="shared" si="65"/>
        <v/>
      </c>
      <c r="S482" s="455" t="str">
        <f t="shared" si="65"/>
        <v/>
      </c>
      <c r="T482" s="455" t="str">
        <f t="shared" si="65"/>
        <v/>
      </c>
      <c r="U482" s="455" t="str">
        <f t="shared" si="65"/>
        <v/>
      </c>
      <c r="V482" s="455" t="str">
        <f t="shared" si="65"/>
        <v/>
      </c>
      <c r="W482" s="455" t="str">
        <f t="shared" si="65"/>
        <v/>
      </c>
      <c r="X482" s="455" t="str">
        <f t="shared" si="65"/>
        <v/>
      </c>
      <c r="Z482" s="157"/>
    </row>
    <row r="483" spans="1:26" x14ac:dyDescent="0.35">
      <c r="B483" s="31"/>
      <c r="C483" s="32"/>
      <c r="D483" s="32"/>
      <c r="E483" s="32"/>
      <c r="F483" s="32"/>
      <c r="G483" s="32"/>
      <c r="H483" s="32"/>
      <c r="I483" s="32"/>
      <c r="J483" s="33"/>
      <c r="K483" s="33"/>
      <c r="L483" s="33"/>
      <c r="M483" s="33"/>
      <c r="N483" s="33" t="s">
        <v>61</v>
      </c>
      <c r="O483" s="67"/>
      <c r="P483" s="67"/>
      <c r="Q483" s="67"/>
      <c r="R483" s="67"/>
      <c r="S483" s="152"/>
      <c r="T483" s="152"/>
      <c r="U483" s="152"/>
      <c r="V483" s="152"/>
      <c r="W483" s="152"/>
      <c r="X483" s="152"/>
      <c r="Z483" s="158"/>
    </row>
    <row r="484" spans="1:26" x14ac:dyDescent="0.35">
      <c r="A484" s="56"/>
      <c r="B484" s="93" t="s">
        <v>370</v>
      </c>
      <c r="C484" s="61"/>
      <c r="D484" s="61"/>
      <c r="E484" s="61"/>
      <c r="F484" s="61"/>
      <c r="G484" s="61"/>
      <c r="H484" s="61"/>
      <c r="I484" s="61"/>
      <c r="J484" s="50"/>
      <c r="K484" s="50"/>
      <c r="L484" s="50"/>
      <c r="M484" s="33"/>
      <c r="N484" s="93" t="s">
        <v>371</v>
      </c>
      <c r="O484" s="17"/>
      <c r="P484" s="17"/>
      <c r="Q484" s="17"/>
      <c r="R484" s="17"/>
      <c r="S484" s="152"/>
      <c r="T484" s="152"/>
      <c r="U484" s="152"/>
      <c r="V484" s="152"/>
      <c r="W484" s="152"/>
      <c r="X484" s="152"/>
      <c r="Z484" s="152"/>
    </row>
    <row r="485" spans="1:26" x14ac:dyDescent="0.35">
      <c r="B485" s="31"/>
      <c r="C485" s="32"/>
      <c r="D485" s="32"/>
      <c r="E485" s="32"/>
      <c r="F485" s="32"/>
      <c r="G485" s="32"/>
      <c r="H485" s="32"/>
      <c r="I485" s="32"/>
      <c r="J485" s="33"/>
      <c r="K485" s="33"/>
      <c r="L485" s="33"/>
      <c r="M485" s="33"/>
      <c r="N485" s="33"/>
      <c r="O485" s="17"/>
      <c r="P485" s="17"/>
      <c r="Q485" s="17"/>
      <c r="R485" s="17"/>
      <c r="S485" s="152"/>
      <c r="T485" s="152"/>
      <c r="U485" s="152"/>
      <c r="V485" s="152"/>
      <c r="W485" s="152"/>
      <c r="X485" s="152"/>
      <c r="Z485" s="152"/>
    </row>
    <row r="486" spans="1:26" x14ac:dyDescent="0.35">
      <c r="B486" s="31"/>
      <c r="C486" s="32"/>
      <c r="D486" s="32"/>
      <c r="E486" s="32"/>
      <c r="F486" s="32"/>
      <c r="G486" s="32"/>
      <c r="H486" s="32"/>
      <c r="I486" s="32"/>
      <c r="J486" s="33"/>
      <c r="K486" s="33"/>
      <c r="L486" s="33"/>
      <c r="M486" s="33"/>
      <c r="N486" s="33"/>
      <c r="O486" s="17"/>
      <c r="P486" s="17"/>
      <c r="Q486" s="17"/>
      <c r="R486" s="17"/>
      <c r="S486" s="152"/>
      <c r="T486" s="152"/>
      <c r="U486" s="152"/>
      <c r="V486" s="152"/>
      <c r="W486" s="152"/>
      <c r="X486" s="152"/>
      <c r="Z486" s="152"/>
    </row>
    <row r="487" spans="1:26" x14ac:dyDescent="0.35">
      <c r="B487" s="31"/>
      <c r="C487" s="32"/>
      <c r="D487" s="32"/>
      <c r="E487" s="32"/>
      <c r="F487" s="32"/>
      <c r="G487" s="32"/>
      <c r="H487" s="32"/>
      <c r="I487" s="32"/>
      <c r="J487" s="33"/>
      <c r="K487" s="33"/>
      <c r="L487" s="33"/>
      <c r="M487" s="33"/>
      <c r="N487" s="33"/>
      <c r="O487" s="17"/>
      <c r="P487" s="17"/>
      <c r="Q487" s="17"/>
      <c r="R487" s="17"/>
      <c r="S487" s="152"/>
      <c r="T487" s="152"/>
      <c r="U487" s="152"/>
      <c r="V487" s="152"/>
      <c r="W487" s="152"/>
      <c r="X487" s="152"/>
      <c r="Z487" s="152"/>
    </row>
    <row r="488" spans="1:26" x14ac:dyDescent="0.35">
      <c r="B488" s="31"/>
      <c r="C488" s="32"/>
      <c r="D488" s="32"/>
      <c r="E488" s="32"/>
      <c r="F488" s="32"/>
      <c r="G488" s="32"/>
      <c r="H488" s="32"/>
      <c r="I488" s="32"/>
      <c r="J488" s="33"/>
      <c r="K488" s="33"/>
      <c r="L488" s="33"/>
      <c r="M488" s="33"/>
      <c r="N488" s="33"/>
      <c r="O488" s="17"/>
      <c r="P488" s="17"/>
      <c r="Q488" s="17"/>
      <c r="R488" s="17"/>
      <c r="S488" s="152"/>
      <c r="T488" s="152"/>
      <c r="U488" s="152"/>
      <c r="V488" s="152"/>
      <c r="W488" s="152"/>
      <c r="X488" s="152"/>
      <c r="Z488" s="152"/>
    </row>
    <row r="489" spans="1:26" x14ac:dyDescent="0.35">
      <c r="B489" s="31"/>
      <c r="C489" s="32"/>
      <c r="D489" s="32"/>
      <c r="E489" s="32"/>
      <c r="F489" s="32"/>
      <c r="G489" s="32"/>
      <c r="H489" s="32"/>
      <c r="I489" s="32"/>
      <c r="J489" s="33"/>
      <c r="K489" s="33"/>
      <c r="L489" s="33"/>
      <c r="M489" s="33"/>
      <c r="N489" s="33"/>
      <c r="O489" s="17"/>
      <c r="P489" s="17"/>
      <c r="Q489" s="17"/>
      <c r="R489" s="17"/>
      <c r="S489" s="152"/>
      <c r="T489" s="152"/>
      <c r="U489" s="152"/>
      <c r="V489" s="152"/>
      <c r="W489" s="152"/>
      <c r="X489" s="152"/>
      <c r="Z489" s="152"/>
    </row>
    <row r="490" spans="1:26" x14ac:dyDescent="0.35">
      <c r="B490" s="31"/>
      <c r="C490" s="32"/>
      <c r="D490" s="32"/>
      <c r="E490" s="32"/>
      <c r="F490" s="32"/>
      <c r="G490" s="32"/>
      <c r="H490" s="32"/>
      <c r="I490" s="32"/>
      <c r="J490" s="33"/>
      <c r="K490" s="33"/>
      <c r="L490" s="33"/>
      <c r="M490" s="33"/>
      <c r="N490" s="33"/>
      <c r="O490" s="17"/>
      <c r="P490" s="17"/>
      <c r="Q490" s="17"/>
      <c r="R490" s="17"/>
      <c r="S490" s="152"/>
      <c r="T490" s="152"/>
      <c r="U490" s="152"/>
      <c r="V490" s="152"/>
      <c r="W490" s="152"/>
      <c r="X490" s="152"/>
      <c r="Z490" s="152"/>
    </row>
    <row r="491" spans="1:26" x14ac:dyDescent="0.35">
      <c r="B491" s="31"/>
      <c r="C491" s="32"/>
      <c r="D491" s="32"/>
      <c r="E491" s="32"/>
      <c r="F491" s="32"/>
      <c r="G491" s="32"/>
      <c r="H491" s="32"/>
      <c r="I491" s="32"/>
      <c r="J491" s="33"/>
      <c r="K491" s="33"/>
      <c r="L491" s="33"/>
      <c r="M491" s="33"/>
      <c r="N491" s="33"/>
      <c r="O491" s="17"/>
      <c r="P491" s="17"/>
      <c r="Q491" s="17"/>
      <c r="R491" s="17"/>
      <c r="S491" s="152"/>
      <c r="T491" s="152"/>
      <c r="U491" s="152"/>
      <c r="V491" s="152"/>
      <c r="W491" s="152"/>
      <c r="X491" s="152"/>
      <c r="Z491" s="152"/>
    </row>
    <row r="492" spans="1:26" x14ac:dyDescent="0.35">
      <c r="B492" s="31"/>
      <c r="C492" s="32"/>
      <c r="D492" s="32"/>
      <c r="E492" s="32"/>
      <c r="F492" s="32"/>
      <c r="G492" s="32"/>
      <c r="H492" s="32"/>
      <c r="I492" s="32"/>
      <c r="J492" s="33"/>
      <c r="K492" s="33"/>
      <c r="L492" s="33"/>
      <c r="M492" s="33"/>
      <c r="N492" s="33"/>
      <c r="O492" s="17"/>
      <c r="P492" s="17"/>
      <c r="Q492" s="17"/>
      <c r="R492" s="17"/>
      <c r="S492" s="152"/>
      <c r="T492" s="152"/>
      <c r="U492" s="152"/>
      <c r="V492" s="152"/>
      <c r="W492" s="152"/>
      <c r="X492" s="152"/>
      <c r="Z492" s="152"/>
    </row>
    <row r="493" spans="1:26" x14ac:dyDescent="0.35">
      <c r="B493" s="31"/>
      <c r="C493" s="32"/>
      <c r="D493" s="32"/>
      <c r="E493" s="32"/>
      <c r="F493" s="32"/>
      <c r="G493" s="32"/>
      <c r="H493" s="32"/>
      <c r="I493" s="32"/>
      <c r="J493" s="33"/>
      <c r="K493" s="33"/>
      <c r="L493" s="33"/>
      <c r="M493" s="33"/>
      <c r="N493" s="33"/>
      <c r="O493" s="17"/>
      <c r="P493" s="17"/>
      <c r="Q493" s="17"/>
      <c r="R493" s="17"/>
      <c r="S493" s="152"/>
      <c r="T493" s="152"/>
      <c r="U493" s="152"/>
      <c r="V493" s="152"/>
      <c r="W493" s="152"/>
      <c r="X493" s="152"/>
      <c r="Z493" s="152"/>
    </row>
    <row r="494" spans="1:26" x14ac:dyDescent="0.35">
      <c r="B494" s="31"/>
      <c r="C494" s="32"/>
      <c r="D494" s="32"/>
      <c r="E494" s="32"/>
      <c r="F494" s="32"/>
      <c r="G494" s="32"/>
      <c r="H494" s="32"/>
      <c r="I494" s="32"/>
      <c r="J494" s="33"/>
      <c r="K494" s="33"/>
      <c r="L494" s="33"/>
      <c r="M494" s="33"/>
      <c r="N494" s="33"/>
      <c r="O494" s="17"/>
      <c r="P494" s="17"/>
      <c r="Q494" s="17"/>
      <c r="R494" s="17"/>
      <c r="S494" s="152"/>
      <c r="T494" s="152"/>
      <c r="U494" s="152"/>
      <c r="V494" s="152"/>
      <c r="W494" s="152"/>
      <c r="X494" s="152"/>
      <c r="Z494" s="152"/>
    </row>
    <row r="495" spans="1:26" x14ac:dyDescent="0.35">
      <c r="B495" s="31"/>
      <c r="C495" s="32"/>
      <c r="D495" s="32"/>
      <c r="E495" s="32"/>
      <c r="F495" s="32"/>
      <c r="G495" s="32"/>
      <c r="H495" s="32"/>
      <c r="I495" s="32"/>
      <c r="J495" s="33"/>
      <c r="K495" s="33"/>
      <c r="L495" s="33"/>
      <c r="M495" s="33"/>
      <c r="N495" s="33"/>
      <c r="O495" s="17"/>
      <c r="P495" s="17"/>
      <c r="Q495" s="17"/>
      <c r="R495" s="17"/>
      <c r="S495" s="152"/>
      <c r="T495" s="152"/>
      <c r="U495" s="152"/>
      <c r="V495" s="152"/>
      <c r="W495" s="152"/>
      <c r="X495" s="152"/>
      <c r="Z495" s="152"/>
    </row>
    <row r="496" spans="1:26" x14ac:dyDescent="0.35">
      <c r="B496" s="31"/>
      <c r="C496" s="32"/>
      <c r="D496" s="32"/>
      <c r="E496" s="32"/>
      <c r="F496" s="32"/>
      <c r="G496" s="32"/>
      <c r="H496" s="32"/>
      <c r="I496" s="32"/>
      <c r="J496" s="33"/>
      <c r="K496" s="33"/>
      <c r="L496" s="33"/>
      <c r="M496" s="33"/>
      <c r="N496" s="33"/>
      <c r="O496" s="17"/>
      <c r="P496" s="17"/>
      <c r="Q496" s="17"/>
      <c r="R496" s="17"/>
      <c r="S496" s="152"/>
      <c r="T496" s="152"/>
      <c r="U496" s="152"/>
      <c r="V496" s="152"/>
      <c r="W496" s="152"/>
      <c r="X496" s="152"/>
      <c r="Z496" s="152"/>
    </row>
    <row r="497" spans="2:27" x14ac:dyDescent="0.35">
      <c r="B497" s="31"/>
      <c r="C497" s="32"/>
      <c r="D497" s="32"/>
      <c r="E497" s="32"/>
      <c r="F497" s="32"/>
      <c r="G497" s="32"/>
      <c r="H497" s="32"/>
      <c r="I497" s="32"/>
      <c r="J497" s="33"/>
      <c r="K497" s="33"/>
      <c r="L497" s="33"/>
      <c r="M497" s="33"/>
      <c r="N497" s="33"/>
      <c r="O497" s="17"/>
      <c r="P497" s="17"/>
      <c r="Q497" s="17"/>
      <c r="R497" s="17"/>
      <c r="S497" s="152"/>
      <c r="T497" s="152"/>
      <c r="U497" s="152"/>
      <c r="V497" s="152"/>
      <c r="W497" s="152"/>
      <c r="X497" s="152"/>
      <c r="Z497" s="152"/>
    </row>
    <row r="498" spans="2:27" x14ac:dyDescent="0.35">
      <c r="B498" s="31"/>
      <c r="C498" s="32"/>
      <c r="D498" s="32"/>
      <c r="E498" s="32"/>
      <c r="F498" s="32"/>
      <c r="G498" s="32"/>
      <c r="H498" s="32"/>
      <c r="I498" s="32"/>
      <c r="J498" s="33"/>
      <c r="K498" s="33"/>
      <c r="L498" s="33"/>
      <c r="M498" s="33"/>
      <c r="N498" s="33"/>
      <c r="O498" s="17"/>
      <c r="P498" s="17"/>
      <c r="Q498" s="17"/>
      <c r="R498" s="17"/>
      <c r="S498" s="152"/>
      <c r="T498" s="152"/>
      <c r="U498" s="152"/>
      <c r="V498" s="152"/>
      <c r="W498" s="152"/>
      <c r="X498" s="152"/>
      <c r="Z498" s="152"/>
    </row>
    <row r="499" spans="2:27" x14ac:dyDescent="0.35">
      <c r="B499" s="31"/>
      <c r="C499" s="32"/>
      <c r="D499" s="32"/>
      <c r="E499" s="32"/>
      <c r="F499" s="32"/>
      <c r="G499" s="32"/>
      <c r="H499" s="32"/>
      <c r="I499" s="32"/>
      <c r="J499" s="33"/>
      <c r="K499" s="33"/>
      <c r="L499" s="33"/>
      <c r="M499" s="33"/>
      <c r="N499" s="33"/>
      <c r="O499" s="17"/>
      <c r="P499" s="17"/>
      <c r="Q499" s="17"/>
      <c r="R499" s="17"/>
      <c r="S499" s="152"/>
      <c r="T499" s="152"/>
      <c r="U499" s="152"/>
      <c r="V499" s="152"/>
      <c r="W499" s="152"/>
      <c r="X499" s="152"/>
      <c r="Z499" s="152"/>
    </row>
    <row r="500" spans="2:27" x14ac:dyDescent="0.35">
      <c r="B500" s="31"/>
      <c r="C500" s="32"/>
      <c r="D500" s="32"/>
      <c r="E500" s="32"/>
      <c r="F500" s="32"/>
      <c r="G500" s="32"/>
      <c r="H500" s="32"/>
      <c r="I500" s="32"/>
      <c r="J500" s="33"/>
      <c r="K500" s="33"/>
      <c r="L500" s="33"/>
      <c r="M500" s="33"/>
      <c r="N500" s="33"/>
      <c r="O500" s="17"/>
      <c r="P500" s="17"/>
      <c r="Q500" s="17"/>
      <c r="R500" s="17"/>
      <c r="S500" s="152"/>
      <c r="T500" s="152"/>
      <c r="U500" s="152"/>
      <c r="V500" s="152"/>
      <c r="W500" s="152"/>
      <c r="X500" s="152"/>
      <c r="Z500" s="152"/>
    </row>
    <row r="501" spans="2:27" x14ac:dyDescent="0.35">
      <c r="B501" s="31"/>
      <c r="C501" s="32"/>
      <c r="D501" s="32"/>
      <c r="E501" s="32"/>
      <c r="F501" s="32"/>
      <c r="G501" s="32"/>
      <c r="H501" s="32"/>
      <c r="I501" s="32"/>
      <c r="J501" s="33"/>
      <c r="K501" s="33"/>
      <c r="L501" s="33"/>
      <c r="M501" s="33"/>
      <c r="N501" s="33"/>
      <c r="O501" s="17"/>
      <c r="P501" s="17"/>
      <c r="Q501" s="17"/>
      <c r="R501" s="17"/>
      <c r="S501" s="152"/>
      <c r="T501" s="152"/>
      <c r="U501" s="152"/>
      <c r="V501" s="152"/>
      <c r="W501" s="152"/>
      <c r="X501" s="152"/>
      <c r="Z501" s="152"/>
    </row>
    <row r="502" spans="2:27" x14ac:dyDescent="0.35">
      <c r="B502" s="31"/>
      <c r="C502" s="32"/>
      <c r="D502" s="32"/>
      <c r="E502" s="32"/>
      <c r="F502" s="32"/>
      <c r="G502" s="32"/>
      <c r="H502" s="32"/>
      <c r="I502" s="32"/>
      <c r="J502" s="33"/>
      <c r="K502" s="33"/>
      <c r="L502" s="33"/>
      <c r="M502" s="33"/>
      <c r="N502" s="33"/>
      <c r="O502" s="17"/>
      <c r="P502" s="17"/>
      <c r="Q502" s="17"/>
      <c r="R502" s="17"/>
      <c r="S502" s="152"/>
      <c r="T502" s="152"/>
      <c r="U502" s="152"/>
      <c r="V502" s="152"/>
      <c r="W502" s="152"/>
      <c r="X502" s="152"/>
      <c r="Z502" s="152"/>
    </row>
    <row r="503" spans="2:27" x14ac:dyDescent="0.35">
      <c r="B503" s="31"/>
      <c r="C503" s="32"/>
      <c r="D503" s="32"/>
      <c r="E503" s="32"/>
      <c r="F503" s="32"/>
      <c r="G503" s="32"/>
      <c r="H503" s="32"/>
      <c r="I503" s="32"/>
      <c r="J503" s="33"/>
      <c r="K503" s="33"/>
      <c r="L503" s="33"/>
      <c r="M503" s="33"/>
      <c r="N503" s="33"/>
      <c r="O503" s="17"/>
      <c r="P503" s="17"/>
      <c r="Q503" s="17"/>
      <c r="R503" s="17"/>
      <c r="S503" s="152"/>
      <c r="T503" s="152"/>
      <c r="U503" s="152"/>
      <c r="V503" s="152"/>
      <c r="W503" s="152"/>
      <c r="X503" s="152"/>
      <c r="Z503" s="152"/>
    </row>
    <row r="504" spans="2:27" x14ac:dyDescent="0.35">
      <c r="B504" s="31"/>
      <c r="C504" s="32"/>
      <c r="D504" s="32"/>
      <c r="E504" s="32"/>
      <c r="F504" s="32"/>
      <c r="G504" s="32"/>
      <c r="H504" s="32"/>
      <c r="I504" s="32"/>
      <c r="J504" s="33"/>
      <c r="K504" s="33"/>
      <c r="L504" s="33"/>
      <c r="M504" s="33"/>
      <c r="N504" s="33"/>
      <c r="O504" s="17"/>
      <c r="P504" s="17"/>
      <c r="Q504" s="17"/>
      <c r="R504" s="17"/>
      <c r="S504" s="152"/>
      <c r="T504" s="152"/>
      <c r="U504" s="152"/>
      <c r="V504" s="152"/>
      <c r="W504" s="152"/>
      <c r="X504" s="152"/>
      <c r="Z504" s="152"/>
    </row>
    <row r="505" spans="2:27" x14ac:dyDescent="0.35">
      <c r="B505" s="31"/>
      <c r="C505" s="32"/>
      <c r="D505" s="32"/>
      <c r="E505" s="32"/>
      <c r="F505" s="32"/>
      <c r="G505" s="32"/>
      <c r="H505" s="32"/>
      <c r="I505" s="32"/>
      <c r="J505" s="33"/>
      <c r="K505" s="33"/>
      <c r="L505" s="33"/>
      <c r="M505" s="33"/>
      <c r="N505" s="33"/>
      <c r="O505" s="17"/>
      <c r="P505" s="17"/>
      <c r="Q505" s="17"/>
      <c r="R505" s="17"/>
      <c r="S505" s="152"/>
      <c r="T505" s="152"/>
      <c r="U505" s="152"/>
      <c r="V505" s="152"/>
      <c r="W505" s="152"/>
      <c r="X505" s="152"/>
      <c r="Z505" s="152"/>
    </row>
    <row r="506" spans="2:27" x14ac:dyDescent="0.35">
      <c r="B506" s="31"/>
      <c r="C506" s="32"/>
      <c r="D506" s="32"/>
      <c r="E506" s="32"/>
      <c r="F506" s="32"/>
      <c r="G506" s="32"/>
      <c r="H506" s="32"/>
      <c r="I506" s="32"/>
      <c r="J506" s="33"/>
      <c r="K506" s="33"/>
      <c r="L506" s="33"/>
      <c r="M506" s="33"/>
      <c r="N506" s="33"/>
      <c r="O506" s="17"/>
      <c r="P506" s="17"/>
      <c r="Q506" s="17"/>
      <c r="R506" s="17"/>
      <c r="S506" s="152"/>
      <c r="T506" s="152"/>
      <c r="U506" s="152"/>
      <c r="V506" s="152"/>
      <c r="W506" s="152"/>
      <c r="X506" s="152"/>
      <c r="Z506" s="152"/>
    </row>
    <row r="507" spans="2:27" x14ac:dyDescent="0.35">
      <c r="B507" s="31"/>
      <c r="C507" s="32"/>
      <c r="D507" s="32"/>
      <c r="E507" s="32"/>
      <c r="F507" s="32"/>
      <c r="G507" s="32"/>
      <c r="H507" s="32"/>
      <c r="I507" s="32"/>
      <c r="J507" s="33"/>
      <c r="K507" s="33"/>
      <c r="L507" s="33"/>
      <c r="M507" s="33"/>
      <c r="N507" s="33"/>
      <c r="O507" s="17"/>
      <c r="P507" s="17"/>
      <c r="Q507" s="17"/>
      <c r="R507" s="17"/>
      <c r="S507" s="152"/>
      <c r="T507" s="152"/>
      <c r="U507" s="152"/>
      <c r="V507" s="152"/>
      <c r="W507" s="152"/>
      <c r="X507" s="152"/>
      <c r="Z507" s="152"/>
    </row>
    <row r="508" spans="2:27" x14ac:dyDescent="0.35">
      <c r="B508" s="84"/>
      <c r="C508" s="61"/>
      <c r="D508" s="61"/>
      <c r="E508" s="61"/>
      <c r="F508" s="61"/>
      <c r="G508" s="61"/>
      <c r="H508" s="61"/>
      <c r="I508" s="61"/>
      <c r="J508" s="65"/>
      <c r="K508" s="65"/>
      <c r="L508" s="65"/>
      <c r="M508" s="65"/>
      <c r="O508" s="17"/>
      <c r="P508" s="17"/>
      <c r="Q508" s="17"/>
      <c r="R508" s="17"/>
      <c r="S508" s="152"/>
      <c r="T508" s="152"/>
      <c r="U508" s="152"/>
      <c r="V508" s="152"/>
      <c r="W508" s="152"/>
      <c r="X508" s="152"/>
      <c r="Z508" s="152"/>
    </row>
    <row r="509" spans="2:27" x14ac:dyDescent="0.35">
      <c r="B509" s="84" t="s">
        <v>367</v>
      </c>
      <c r="C509" s="61"/>
      <c r="D509" s="61"/>
      <c r="E509" s="61"/>
      <c r="F509" s="61"/>
      <c r="G509" s="61"/>
      <c r="H509" s="61"/>
      <c r="I509" s="61"/>
      <c r="J509" s="419"/>
      <c r="K509" s="565"/>
      <c r="L509" s="666"/>
      <c r="M509" s="65"/>
      <c r="N509" s="85" t="s">
        <v>378</v>
      </c>
      <c r="O509" s="419"/>
      <c r="P509" s="419"/>
      <c r="Q509" s="419"/>
      <c r="R509" s="419"/>
      <c r="S509" s="419"/>
      <c r="T509" s="419"/>
      <c r="U509" s="419"/>
      <c r="V509" s="419"/>
      <c r="W509" s="565"/>
      <c r="X509" s="666"/>
      <c r="Y509" s="141" t="s">
        <v>2</v>
      </c>
    </row>
    <row r="510" spans="2:27" x14ac:dyDescent="0.35">
      <c r="B510" s="185" t="s">
        <v>70</v>
      </c>
      <c r="C510" s="123">
        <v>2016</v>
      </c>
      <c r="D510" s="140">
        <v>2017</v>
      </c>
      <c r="E510" s="140">
        <v>2018</v>
      </c>
      <c r="F510" s="123">
        <v>2019</v>
      </c>
      <c r="G510" s="123">
        <v>2020</v>
      </c>
      <c r="H510" s="123">
        <v>2021</v>
      </c>
      <c r="I510" s="123">
        <v>2022</v>
      </c>
      <c r="J510" s="123">
        <v>2023</v>
      </c>
      <c r="K510" s="123">
        <v>2024</v>
      </c>
      <c r="L510" s="123">
        <v>2025</v>
      </c>
      <c r="M510" s="65"/>
      <c r="N510" s="185" t="s">
        <v>70</v>
      </c>
      <c r="O510" s="124">
        <v>2016</v>
      </c>
      <c r="P510" s="123">
        <v>2017</v>
      </c>
      <c r="Q510" s="140">
        <v>2018</v>
      </c>
      <c r="R510" s="140">
        <v>2019</v>
      </c>
      <c r="S510" s="140">
        <v>2020</v>
      </c>
      <c r="T510" s="140">
        <v>2021</v>
      </c>
      <c r="U510" s="140">
        <v>2022</v>
      </c>
      <c r="V510" s="140">
        <v>2023</v>
      </c>
      <c r="W510" s="140">
        <v>2024</v>
      </c>
      <c r="X510" s="140">
        <v>2025</v>
      </c>
      <c r="Y510" s="129" t="str">
        <f>$Y$98</f>
        <v>2020-2025</v>
      </c>
      <c r="AA510" s="304">
        <f>SUM(O511:X513)</f>
        <v>108.05417458763398</v>
      </c>
    </row>
    <row r="511" spans="2:27" x14ac:dyDescent="0.35">
      <c r="B511" s="24" t="s">
        <v>199</v>
      </c>
      <c r="C511" s="55">
        <f>SUM(Wireless!E10:E19)</f>
        <v>0</v>
      </c>
      <c r="D511" s="55">
        <f>SUM(Wireless!F10:F19)</f>
        <v>0</v>
      </c>
      <c r="E511" s="55">
        <f>SUM(Wireless!G10:G19)</f>
        <v>0</v>
      </c>
      <c r="F511" s="55">
        <f>SUM(Wireless!H10:H19)</f>
        <v>0</v>
      </c>
      <c r="G511" s="55">
        <f>SUM(Wireless!I10:I19)</f>
        <v>0</v>
      </c>
      <c r="H511" s="55">
        <f>SUM(Wireless!J10:J19)</f>
        <v>0</v>
      </c>
      <c r="I511" s="55">
        <f>SUM(Wireless!K10:K19)</f>
        <v>0</v>
      </c>
      <c r="J511" s="55">
        <f>SUM(Wireless!L10:L19)</f>
        <v>0</v>
      </c>
      <c r="K511" s="55">
        <f>SUM(Wireless!M10:M19)</f>
        <v>0</v>
      </c>
      <c r="L511" s="55">
        <f>SUM(Wireless!N10:N19)</f>
        <v>0</v>
      </c>
      <c r="M511" s="65"/>
      <c r="N511" s="24" t="str">
        <f>B511</f>
        <v>China</v>
      </c>
      <c r="O511" s="125">
        <f>SUM(Wireless!E54:E63)</f>
        <v>0</v>
      </c>
      <c r="P511" s="125">
        <f>SUM(Wireless!F54:F63)</f>
        <v>0</v>
      </c>
      <c r="Q511" s="125">
        <f>SUM(Wireless!G54:G63)</f>
        <v>0</v>
      </c>
      <c r="R511" s="125">
        <f>SUM(Wireless!H54:H63)</f>
        <v>0</v>
      </c>
      <c r="S511" s="125">
        <f>SUM(Wireless!I54:I63)</f>
        <v>0</v>
      </c>
      <c r="T511" s="125">
        <f>SUM(Wireless!J54:J63)</f>
        <v>0</v>
      </c>
      <c r="U511" s="125">
        <f>SUM(Wireless!K54:K63)</f>
        <v>0</v>
      </c>
      <c r="V511" s="125">
        <f>SUM(Wireless!L54:L63)</f>
        <v>0</v>
      </c>
      <c r="W511" s="125">
        <f>SUM(Wireless!M54:M63)</f>
        <v>0</v>
      </c>
      <c r="X511" s="125">
        <f>SUM(Wireless!N54:N63)</f>
        <v>0</v>
      </c>
      <c r="Y511" s="153" t="e">
        <f>(X511/S511)^(1/5)-1</f>
        <v>#DIV/0!</v>
      </c>
      <c r="AA511" s="305">
        <f>(SUM(Wireless!E191:N200))*2</f>
        <v>108.05417458763398</v>
      </c>
    </row>
    <row r="512" spans="2:27" x14ac:dyDescent="0.35">
      <c r="B512" s="24" t="s">
        <v>224</v>
      </c>
      <c r="C512" s="55">
        <f>SUM(Wireless!E79:E88)</f>
        <v>40585.336519634919</v>
      </c>
      <c r="D512" s="55">
        <f>SUM(Wireless!F79:F88)</f>
        <v>153500</v>
      </c>
      <c r="E512" s="55">
        <f>SUM(Wireless!G79:G88)</f>
        <v>0</v>
      </c>
      <c r="F512" s="55">
        <f>SUM(Wireless!H79:H88)</f>
        <v>0</v>
      </c>
      <c r="G512" s="55">
        <f>SUM(Wireless!I79:I88)</f>
        <v>0</v>
      </c>
      <c r="H512" s="55">
        <f>SUM(Wireless!J79:J88)</f>
        <v>0</v>
      </c>
      <c r="I512" s="55">
        <f>SUM(Wireless!K79:K88)</f>
        <v>0</v>
      </c>
      <c r="J512" s="55">
        <f>SUM(Wireless!L79:L88)</f>
        <v>0</v>
      </c>
      <c r="K512" s="55">
        <f>SUM(Wireless!M79:M88)</f>
        <v>0</v>
      </c>
      <c r="L512" s="55">
        <f>SUM(Wireless!N79:N88)</f>
        <v>0</v>
      </c>
      <c r="M512" s="65"/>
      <c r="N512" s="24" t="str">
        <f>B512</f>
        <v>Rest of World</v>
      </c>
      <c r="O512" s="69">
        <f>SUM(Wireless!E123:E132)</f>
        <v>17.674636894045314</v>
      </c>
      <c r="P512" s="69">
        <f>SUM(Wireless!F123:F132)</f>
        <v>36.352450399771676</v>
      </c>
      <c r="Q512" s="69">
        <f>SUM(Wireless!G123:G132)</f>
        <v>0</v>
      </c>
      <c r="R512" s="69">
        <f>SUM(Wireless!H123:H132)</f>
        <v>0</v>
      </c>
      <c r="S512" s="69">
        <f>SUM(Wireless!I123:I132)</f>
        <v>0</v>
      </c>
      <c r="T512" s="69">
        <f>SUM(Wireless!J123:J132)</f>
        <v>0</v>
      </c>
      <c r="U512" s="69">
        <f>SUM(Wireless!K123:K132)</f>
        <v>0</v>
      </c>
      <c r="V512" s="69">
        <f>SUM(Wireless!L123:L132)</f>
        <v>0</v>
      </c>
      <c r="W512" s="69">
        <f>SUM(Wireless!M123:M132)</f>
        <v>0</v>
      </c>
      <c r="X512" s="69">
        <f>SUM(Wireless!N123:N132)</f>
        <v>0</v>
      </c>
      <c r="Y512" s="154" t="e">
        <f>(X512/S512)^(1/5)-1</f>
        <v>#DIV/0!</v>
      </c>
      <c r="AA512" s="463"/>
    </row>
    <row r="513" spans="2:26" x14ac:dyDescent="0.35">
      <c r="B513" s="187" t="s">
        <v>253</v>
      </c>
      <c r="C513" s="193">
        <f t="shared" ref="C513" si="66">C512+C511</f>
        <v>40585.336519634919</v>
      </c>
      <c r="D513" s="193">
        <f t="shared" ref="D513:L513" si="67">D512+D511</f>
        <v>153500</v>
      </c>
      <c r="E513" s="193">
        <f t="shared" si="67"/>
        <v>0</v>
      </c>
      <c r="F513" s="193">
        <f t="shared" si="67"/>
        <v>0</v>
      </c>
      <c r="G513" s="193">
        <f t="shared" si="67"/>
        <v>0</v>
      </c>
      <c r="H513" s="193">
        <f t="shared" si="67"/>
        <v>0</v>
      </c>
      <c r="I513" s="193">
        <f t="shared" si="67"/>
        <v>0</v>
      </c>
      <c r="J513" s="193">
        <f t="shared" si="67"/>
        <v>0</v>
      </c>
      <c r="K513" s="193">
        <f t="shared" si="67"/>
        <v>0</v>
      </c>
      <c r="L513" s="193">
        <f t="shared" si="67"/>
        <v>0</v>
      </c>
      <c r="M513" s="65"/>
      <c r="N513" s="187" t="str">
        <f>B513</f>
        <v>Global</v>
      </c>
      <c r="O513" s="329">
        <f t="shared" ref="O513" si="68">O512+O511</f>
        <v>17.674636894045314</v>
      </c>
      <c r="P513" s="329">
        <f t="shared" ref="P513:X513" si="69">P512+P511</f>
        <v>36.352450399771676</v>
      </c>
      <c r="Q513" s="329">
        <f t="shared" si="69"/>
        <v>0</v>
      </c>
      <c r="R513" s="329">
        <f t="shared" si="69"/>
        <v>0</v>
      </c>
      <c r="S513" s="329">
        <f t="shared" si="69"/>
        <v>0</v>
      </c>
      <c r="T513" s="329">
        <f t="shared" si="69"/>
        <v>0</v>
      </c>
      <c r="U513" s="329">
        <f t="shared" si="69"/>
        <v>0</v>
      </c>
      <c r="V513" s="329">
        <f t="shared" si="69"/>
        <v>0</v>
      </c>
      <c r="W513" s="329">
        <f t="shared" si="69"/>
        <v>0</v>
      </c>
      <c r="X513" s="329">
        <f t="shared" si="69"/>
        <v>0</v>
      </c>
      <c r="Y513" s="159" t="e">
        <f>(X513/S513)^(1/5)-1</f>
        <v>#DIV/0!</v>
      </c>
    </row>
    <row r="514" spans="2:26" x14ac:dyDescent="0.35">
      <c r="B514" s="454" t="s">
        <v>273</v>
      </c>
      <c r="C514" s="455" t="str">
        <f t="shared" ref="C514:J514" si="70">IF(C511=0,"",C511/C513)</f>
        <v/>
      </c>
      <c r="D514" s="455" t="str">
        <f t="shared" si="70"/>
        <v/>
      </c>
      <c r="E514" s="455" t="str">
        <f t="shared" si="70"/>
        <v/>
      </c>
      <c r="F514" s="455" t="str">
        <f t="shared" si="70"/>
        <v/>
      </c>
      <c r="G514" s="455" t="str">
        <f t="shared" si="70"/>
        <v/>
      </c>
      <c r="H514" s="455" t="str">
        <f t="shared" si="70"/>
        <v/>
      </c>
      <c r="I514" s="455" t="str">
        <f t="shared" si="70"/>
        <v/>
      </c>
      <c r="J514" s="455" t="str">
        <f t="shared" si="70"/>
        <v/>
      </c>
      <c r="K514" s="455" t="str">
        <f>IF(K511=0,"",K511/K513)</f>
        <v/>
      </c>
      <c r="L514" s="455" t="str">
        <f>IF(L511=0,"",L511/L513)</f>
        <v/>
      </c>
      <c r="M514" s="65"/>
      <c r="N514" s="454" t="s">
        <v>273</v>
      </c>
      <c r="O514" s="455" t="str">
        <f t="shared" ref="O514:X514" si="71">IF(O511=0,"",O511/O513)</f>
        <v/>
      </c>
      <c r="P514" s="455" t="str">
        <f t="shared" si="71"/>
        <v/>
      </c>
      <c r="Q514" s="455" t="str">
        <f t="shared" si="71"/>
        <v/>
      </c>
      <c r="R514" s="455" t="str">
        <f t="shared" si="71"/>
        <v/>
      </c>
      <c r="S514" s="455" t="str">
        <f t="shared" si="71"/>
        <v/>
      </c>
      <c r="T514" s="455" t="str">
        <f t="shared" si="71"/>
        <v/>
      </c>
      <c r="U514" s="455" t="str">
        <f t="shared" si="71"/>
        <v/>
      </c>
      <c r="V514" s="455" t="str">
        <f t="shared" si="71"/>
        <v/>
      </c>
      <c r="W514" s="455" t="str">
        <f t="shared" si="71"/>
        <v/>
      </c>
      <c r="X514" s="455" t="str">
        <f t="shared" si="71"/>
        <v/>
      </c>
      <c r="Z514" s="157"/>
    </row>
    <row r="515" spans="2:26" x14ac:dyDescent="0.35">
      <c r="B515" s="31"/>
      <c r="C515" s="242"/>
      <c r="D515" s="242"/>
      <c r="E515" s="242"/>
      <c r="F515" s="242"/>
      <c r="G515" s="242"/>
      <c r="H515" s="242"/>
      <c r="I515" s="242"/>
      <c r="J515" s="242"/>
      <c r="K515" s="242"/>
      <c r="L515" s="242"/>
      <c r="M515" s="65"/>
      <c r="N515" s="33"/>
      <c r="O515" s="17"/>
      <c r="P515" s="17"/>
      <c r="Q515" s="17"/>
      <c r="R515" s="17"/>
      <c r="S515" s="152"/>
      <c r="T515" s="152"/>
      <c r="U515" s="152"/>
      <c r="V515" s="152"/>
      <c r="W515" s="152"/>
      <c r="X515" s="152"/>
      <c r="Z515" s="152"/>
    </row>
    <row r="516" spans="2:26" x14ac:dyDescent="0.35">
      <c r="B516" s="94" t="s">
        <v>83</v>
      </c>
      <c r="C516" s="32"/>
      <c r="D516" s="32"/>
      <c r="E516" s="32"/>
      <c r="F516" s="32"/>
      <c r="G516" s="32"/>
      <c r="H516" s="32"/>
      <c r="I516" s="32"/>
      <c r="J516" s="32"/>
      <c r="K516" s="32"/>
      <c r="L516" s="32"/>
      <c r="M516" s="32"/>
      <c r="N516" s="94" t="s">
        <v>84</v>
      </c>
      <c r="O516" s="17"/>
      <c r="P516" s="17"/>
      <c r="Q516" s="17"/>
      <c r="R516" s="17"/>
      <c r="S516" s="152"/>
      <c r="T516" s="152"/>
      <c r="U516" s="152"/>
      <c r="V516" s="152"/>
      <c r="W516" s="152"/>
      <c r="X516" s="152"/>
      <c r="Z516" s="152"/>
    </row>
    <row r="517" spans="2:26" x14ac:dyDescent="0.35">
      <c r="B517" s="31"/>
      <c r="C517" s="32"/>
      <c r="D517" s="32"/>
      <c r="E517" s="32"/>
      <c r="F517" s="32"/>
      <c r="G517" s="32"/>
      <c r="H517" s="32"/>
      <c r="I517" s="32"/>
      <c r="J517" s="33"/>
      <c r="K517" s="33"/>
      <c r="L517" s="33"/>
      <c r="M517" s="33"/>
      <c r="N517" s="33"/>
      <c r="O517" s="17"/>
      <c r="P517" s="17"/>
      <c r="Q517" s="17"/>
      <c r="R517" s="17"/>
      <c r="S517" s="152"/>
      <c r="T517" s="152"/>
      <c r="U517" s="152"/>
      <c r="V517" s="152"/>
      <c r="W517" s="152"/>
      <c r="X517" s="152"/>
      <c r="Z517" s="152"/>
    </row>
    <row r="518" spans="2:26" x14ac:dyDescent="0.35">
      <c r="B518" s="31"/>
      <c r="C518" s="32"/>
      <c r="D518" s="32"/>
      <c r="E518" s="32"/>
      <c r="F518" s="32"/>
      <c r="G518" s="32"/>
      <c r="H518" s="32"/>
      <c r="I518" s="32"/>
      <c r="J518" s="33"/>
      <c r="K518" s="33"/>
      <c r="L518" s="33"/>
      <c r="M518" s="33"/>
      <c r="N518" s="33"/>
      <c r="O518" s="17"/>
      <c r="P518" s="17"/>
      <c r="Q518" s="17"/>
      <c r="R518" s="17"/>
      <c r="S518" s="152"/>
      <c r="T518" s="152"/>
      <c r="U518" s="152"/>
      <c r="V518" s="152"/>
      <c r="W518" s="152"/>
      <c r="X518" s="152"/>
      <c r="Z518" s="152"/>
    </row>
    <row r="519" spans="2:26" x14ac:dyDescent="0.35">
      <c r="B519" s="31"/>
      <c r="C519" s="32"/>
      <c r="D519" s="32"/>
      <c r="E519" s="32"/>
      <c r="F519" s="32"/>
      <c r="G519" s="32"/>
      <c r="H519" s="32"/>
      <c r="I519" s="32"/>
      <c r="J519" s="33"/>
      <c r="K519" s="33"/>
      <c r="L519" s="33"/>
      <c r="M519" s="33"/>
      <c r="N519" s="33"/>
      <c r="O519" s="17"/>
      <c r="P519" s="17"/>
      <c r="Q519" s="17"/>
      <c r="R519" s="17"/>
      <c r="S519" s="152"/>
      <c r="T519" s="152"/>
      <c r="U519" s="152"/>
      <c r="V519" s="152"/>
      <c r="W519" s="152"/>
      <c r="X519" s="152"/>
      <c r="Z519" s="152"/>
    </row>
    <row r="520" spans="2:26" x14ac:dyDescent="0.35">
      <c r="B520" s="31"/>
      <c r="C520" s="32"/>
      <c r="D520" s="32"/>
      <c r="E520" s="32"/>
      <c r="F520" s="32"/>
      <c r="G520" s="32"/>
      <c r="H520" s="32"/>
      <c r="I520" s="32"/>
      <c r="J520" s="33"/>
      <c r="K520" s="33"/>
      <c r="L520" s="33"/>
      <c r="M520" s="33"/>
      <c r="N520" s="33"/>
      <c r="O520" s="17"/>
      <c r="P520" s="17"/>
      <c r="Q520" s="17"/>
      <c r="R520" s="17"/>
      <c r="S520" s="152"/>
      <c r="T520" s="152"/>
      <c r="U520" s="152"/>
      <c r="V520" s="152"/>
      <c r="W520" s="152"/>
      <c r="X520" s="152"/>
      <c r="Z520" s="152"/>
    </row>
    <row r="521" spans="2:26" x14ac:dyDescent="0.35">
      <c r="B521" s="31"/>
      <c r="C521" s="32"/>
      <c r="D521" s="32"/>
      <c r="E521" s="32"/>
      <c r="F521" s="32"/>
      <c r="G521" s="32"/>
      <c r="H521" s="32"/>
      <c r="I521" s="32"/>
      <c r="J521" s="33"/>
      <c r="K521" s="33"/>
      <c r="L521" s="33"/>
      <c r="M521" s="33"/>
      <c r="N521" s="33"/>
      <c r="O521" s="17"/>
      <c r="P521" s="17"/>
      <c r="Q521" s="17"/>
      <c r="R521" s="17"/>
      <c r="S521" s="152"/>
      <c r="T521" s="152"/>
      <c r="U521" s="152"/>
      <c r="V521" s="152"/>
      <c r="W521" s="152"/>
      <c r="X521" s="152"/>
      <c r="Z521" s="152"/>
    </row>
    <row r="522" spans="2:26" x14ac:dyDescent="0.35">
      <c r="B522" s="31"/>
      <c r="C522" s="32"/>
      <c r="D522" s="32"/>
      <c r="E522" s="32"/>
      <c r="F522" s="32"/>
      <c r="G522" s="32"/>
      <c r="H522" s="32"/>
      <c r="I522" s="32"/>
      <c r="J522" s="33"/>
      <c r="K522" s="33"/>
      <c r="L522" s="33"/>
      <c r="M522" s="33"/>
      <c r="N522" s="33"/>
      <c r="O522" s="17"/>
      <c r="P522" s="17"/>
      <c r="Q522" s="17"/>
      <c r="R522" s="17"/>
      <c r="S522" s="152"/>
      <c r="T522" s="152"/>
      <c r="U522" s="152"/>
      <c r="V522" s="152"/>
      <c r="W522" s="152"/>
      <c r="X522" s="152"/>
      <c r="Z522" s="152"/>
    </row>
    <row r="523" spans="2:26" x14ac:dyDescent="0.35">
      <c r="B523" s="31"/>
      <c r="C523" s="32"/>
      <c r="D523" s="32"/>
      <c r="E523" s="32"/>
      <c r="F523" s="32"/>
      <c r="G523" s="32"/>
      <c r="H523" s="32"/>
      <c r="I523" s="32"/>
      <c r="J523" s="33"/>
      <c r="K523" s="33"/>
      <c r="L523" s="33"/>
      <c r="M523" s="33"/>
      <c r="N523" s="33"/>
      <c r="O523" s="17"/>
      <c r="P523" s="17"/>
      <c r="Q523" s="17"/>
      <c r="R523" s="17"/>
      <c r="S523" s="152"/>
      <c r="T523" s="152"/>
      <c r="U523" s="152"/>
      <c r="V523" s="152"/>
      <c r="W523" s="152"/>
      <c r="X523" s="152"/>
      <c r="Z523" s="152"/>
    </row>
    <row r="524" spans="2:26" x14ac:dyDescent="0.35">
      <c r="B524" s="31"/>
      <c r="C524" s="32"/>
      <c r="D524" s="32"/>
      <c r="E524" s="32"/>
      <c r="F524" s="32"/>
      <c r="G524" s="32"/>
      <c r="H524" s="32"/>
      <c r="I524" s="32"/>
      <c r="J524" s="33"/>
      <c r="K524" s="33"/>
      <c r="L524" s="33"/>
      <c r="M524" s="33"/>
      <c r="N524" s="33"/>
      <c r="O524" s="17"/>
      <c r="P524" s="17"/>
      <c r="Q524" s="17"/>
      <c r="R524" s="17"/>
      <c r="S524" s="152"/>
      <c r="T524" s="152"/>
      <c r="U524" s="152"/>
      <c r="V524" s="152"/>
      <c r="W524" s="152"/>
      <c r="X524" s="152"/>
      <c r="Z524" s="152"/>
    </row>
    <row r="525" spans="2:26" x14ac:dyDescent="0.35">
      <c r="B525" s="31"/>
      <c r="C525" s="32"/>
      <c r="D525" s="32"/>
      <c r="E525" s="32"/>
      <c r="F525" s="32"/>
      <c r="G525" s="32"/>
      <c r="H525" s="32"/>
      <c r="I525" s="32"/>
      <c r="J525" s="33"/>
      <c r="K525" s="33"/>
      <c r="L525" s="33"/>
      <c r="M525" s="33"/>
      <c r="N525" s="33"/>
      <c r="O525" s="17"/>
      <c r="P525" s="17"/>
      <c r="Q525" s="17"/>
      <c r="R525" s="17"/>
      <c r="S525" s="152"/>
      <c r="T525" s="152"/>
      <c r="U525" s="152"/>
      <c r="V525" s="152"/>
      <c r="W525" s="152"/>
      <c r="X525" s="152"/>
      <c r="Z525" s="152"/>
    </row>
    <row r="526" spans="2:26" x14ac:dyDescent="0.35">
      <c r="B526" s="31"/>
      <c r="C526" s="32"/>
      <c r="D526" s="32"/>
      <c r="E526" s="32"/>
      <c r="F526" s="32"/>
      <c r="G526" s="32"/>
      <c r="H526" s="32"/>
      <c r="I526" s="32"/>
      <c r="J526" s="33"/>
      <c r="K526" s="33"/>
      <c r="L526" s="33"/>
      <c r="M526" s="33"/>
      <c r="N526" s="33"/>
      <c r="O526" s="17"/>
      <c r="P526" s="17"/>
      <c r="Q526" s="17"/>
      <c r="R526" s="17"/>
      <c r="S526" s="152"/>
      <c r="T526" s="152"/>
      <c r="U526" s="152"/>
      <c r="V526" s="152"/>
      <c r="W526" s="152"/>
      <c r="X526" s="152"/>
      <c r="Z526" s="152"/>
    </row>
    <row r="527" spans="2:26" x14ac:dyDescent="0.35">
      <c r="B527" s="31"/>
      <c r="C527" s="32"/>
      <c r="D527" s="32"/>
      <c r="E527" s="32"/>
      <c r="F527" s="32"/>
      <c r="G527" s="32"/>
      <c r="H527" s="32"/>
      <c r="I527" s="32"/>
      <c r="J527" s="33"/>
      <c r="K527" s="33"/>
      <c r="L527" s="33"/>
      <c r="M527" s="33"/>
      <c r="N527" s="33"/>
      <c r="O527" s="17"/>
      <c r="P527" s="17"/>
      <c r="Q527" s="17"/>
      <c r="R527" s="17"/>
      <c r="S527" s="152"/>
      <c r="T527" s="152"/>
      <c r="U527" s="152"/>
      <c r="V527" s="152"/>
      <c r="W527" s="152"/>
      <c r="X527" s="152"/>
      <c r="Z527" s="152"/>
    </row>
    <row r="528" spans="2:26" x14ac:dyDescent="0.35">
      <c r="B528" s="31"/>
      <c r="C528" s="32"/>
      <c r="D528" s="32"/>
      <c r="E528" s="32"/>
      <c r="F528" s="32"/>
      <c r="G528" s="32"/>
      <c r="H528" s="32"/>
      <c r="I528" s="32"/>
      <c r="J528" s="33"/>
      <c r="K528" s="33"/>
      <c r="L528" s="33"/>
      <c r="M528" s="33"/>
      <c r="N528" s="33"/>
      <c r="O528" s="17"/>
      <c r="P528" s="17"/>
      <c r="Q528" s="17"/>
      <c r="R528" s="17"/>
      <c r="S528" s="152"/>
      <c r="T528" s="152"/>
      <c r="U528" s="152"/>
      <c r="V528" s="152"/>
      <c r="W528" s="152"/>
      <c r="X528" s="152"/>
      <c r="Z528" s="152"/>
    </row>
    <row r="529" spans="2:27" x14ac:dyDescent="0.35">
      <c r="B529" s="31"/>
      <c r="C529" s="32"/>
      <c r="D529" s="32"/>
      <c r="E529" s="32"/>
      <c r="F529" s="32"/>
      <c r="G529" s="32"/>
      <c r="H529" s="32"/>
      <c r="I529" s="32"/>
      <c r="J529" s="33"/>
      <c r="K529" s="33"/>
      <c r="L529" s="33"/>
      <c r="M529" s="33"/>
      <c r="N529" s="33"/>
      <c r="O529" s="17"/>
      <c r="P529" s="17"/>
      <c r="Q529" s="17"/>
      <c r="R529" s="17"/>
      <c r="S529" s="152"/>
      <c r="T529" s="152"/>
      <c r="U529" s="152"/>
      <c r="V529" s="152"/>
      <c r="W529" s="152"/>
      <c r="X529" s="152"/>
      <c r="Z529" s="152"/>
    </row>
    <row r="530" spans="2:27" x14ac:dyDescent="0.35">
      <c r="B530" s="31"/>
      <c r="C530" s="32"/>
      <c r="D530" s="32"/>
      <c r="E530" s="32"/>
      <c r="F530" s="32"/>
      <c r="G530" s="32"/>
      <c r="H530" s="32"/>
      <c r="I530" s="32"/>
      <c r="J530" s="33"/>
      <c r="K530" s="33"/>
      <c r="L530" s="33"/>
      <c r="M530" s="33"/>
      <c r="N530" s="33"/>
      <c r="O530" s="17"/>
      <c r="P530" s="17"/>
      <c r="Q530" s="17"/>
      <c r="R530" s="17"/>
      <c r="S530" s="152"/>
      <c r="T530" s="152"/>
      <c r="U530" s="152"/>
      <c r="V530" s="152"/>
      <c r="W530" s="152"/>
      <c r="X530" s="152"/>
      <c r="Z530" s="152"/>
    </row>
    <row r="531" spans="2:27" x14ac:dyDescent="0.35">
      <c r="B531" s="31"/>
      <c r="C531" s="32"/>
      <c r="D531" s="32"/>
      <c r="E531" s="32"/>
      <c r="F531" s="32"/>
      <c r="G531" s="32"/>
      <c r="H531" s="32"/>
      <c r="I531" s="32"/>
      <c r="J531" s="33"/>
      <c r="K531" s="33"/>
      <c r="L531" s="33"/>
      <c r="M531" s="33"/>
      <c r="N531" s="33"/>
      <c r="O531" s="17"/>
      <c r="P531" s="17"/>
      <c r="Q531" s="17"/>
      <c r="R531" s="17"/>
      <c r="S531" s="152"/>
      <c r="T531" s="152"/>
      <c r="U531" s="152"/>
      <c r="V531" s="152"/>
      <c r="W531" s="152"/>
      <c r="X531" s="152"/>
      <c r="Z531" s="152"/>
    </row>
    <row r="532" spans="2:27" x14ac:dyDescent="0.35">
      <c r="B532" s="31"/>
      <c r="C532" s="32"/>
      <c r="D532" s="32"/>
      <c r="E532" s="32"/>
      <c r="F532" s="32"/>
      <c r="G532" s="32"/>
      <c r="H532" s="32"/>
      <c r="I532" s="32"/>
      <c r="J532" s="33"/>
      <c r="K532" s="33"/>
      <c r="L532" s="33"/>
      <c r="M532" s="33"/>
      <c r="N532" s="33"/>
      <c r="O532" s="17"/>
      <c r="P532" s="17"/>
      <c r="Q532" s="17"/>
      <c r="R532" s="17"/>
      <c r="S532" s="152"/>
      <c r="T532" s="152"/>
      <c r="U532" s="152"/>
      <c r="V532" s="152"/>
      <c r="W532" s="152"/>
      <c r="X532" s="152"/>
      <c r="Z532" s="152"/>
    </row>
    <row r="533" spans="2:27" x14ac:dyDescent="0.35">
      <c r="B533" s="31"/>
      <c r="C533" s="32"/>
      <c r="D533" s="32"/>
      <c r="E533" s="32"/>
      <c r="F533" s="32"/>
      <c r="G533" s="32"/>
      <c r="H533" s="32"/>
      <c r="I533" s="32"/>
      <c r="J533" s="33"/>
      <c r="K533" s="33"/>
      <c r="L533" s="33"/>
      <c r="M533" s="33"/>
      <c r="N533" s="33"/>
      <c r="O533" s="17"/>
      <c r="P533" s="17"/>
      <c r="Q533" s="17"/>
      <c r="R533" s="17"/>
      <c r="S533" s="152"/>
      <c r="T533" s="152"/>
      <c r="U533" s="152"/>
      <c r="V533" s="152"/>
      <c r="W533" s="152"/>
      <c r="X533" s="152"/>
      <c r="Z533" s="152"/>
    </row>
    <row r="534" spans="2:27" x14ac:dyDescent="0.35">
      <c r="B534" s="31"/>
      <c r="C534" s="32"/>
      <c r="D534" s="32"/>
      <c r="E534" s="32"/>
      <c r="F534" s="32"/>
      <c r="G534" s="32"/>
      <c r="H534" s="32"/>
      <c r="I534" s="32"/>
      <c r="J534" s="33"/>
      <c r="K534" s="33"/>
      <c r="L534" s="33"/>
      <c r="M534" s="33"/>
      <c r="N534" s="33"/>
      <c r="O534" s="17"/>
      <c r="P534" s="17"/>
      <c r="Q534" s="17"/>
      <c r="R534" s="17"/>
      <c r="S534" s="152"/>
      <c r="T534" s="152"/>
      <c r="U534" s="152"/>
      <c r="V534" s="152"/>
      <c r="W534" s="152"/>
      <c r="X534" s="152"/>
      <c r="Z534" s="152"/>
    </row>
    <row r="535" spans="2:27" x14ac:dyDescent="0.35">
      <c r="B535" s="31"/>
      <c r="C535" s="32"/>
      <c r="D535" s="32"/>
      <c r="E535" s="32"/>
      <c r="F535" s="32"/>
      <c r="G535" s="32"/>
      <c r="H535" s="32"/>
      <c r="I535" s="32"/>
      <c r="J535" s="33"/>
      <c r="K535" s="33"/>
      <c r="L535" s="33"/>
      <c r="M535" s="33"/>
      <c r="N535" s="33"/>
      <c r="O535" s="17"/>
      <c r="P535" s="17"/>
      <c r="Q535" s="17"/>
      <c r="R535" s="17"/>
      <c r="S535" s="152"/>
      <c r="T535" s="152"/>
      <c r="U535" s="152"/>
      <c r="V535" s="152"/>
      <c r="W535" s="152"/>
      <c r="X535" s="152"/>
      <c r="Z535" s="152"/>
    </row>
    <row r="536" spans="2:27" x14ac:dyDescent="0.35">
      <c r="B536" s="31"/>
      <c r="C536" s="32"/>
      <c r="D536" s="32"/>
      <c r="E536" s="32"/>
      <c r="F536" s="32"/>
      <c r="G536" s="32"/>
      <c r="H536" s="32"/>
      <c r="I536" s="32"/>
      <c r="J536" s="33"/>
      <c r="K536" s="33"/>
      <c r="L536" s="33"/>
      <c r="M536" s="33"/>
      <c r="N536" s="33"/>
      <c r="O536" s="17"/>
      <c r="P536" s="17"/>
      <c r="Q536" s="17"/>
      <c r="R536" s="17"/>
      <c r="S536" s="152"/>
      <c r="T536" s="152"/>
      <c r="U536" s="152"/>
      <c r="V536" s="152"/>
      <c r="W536" s="152"/>
      <c r="X536" s="152"/>
      <c r="Z536" s="152"/>
    </row>
    <row r="537" spans="2:27" x14ac:dyDescent="0.35">
      <c r="B537" s="31"/>
      <c r="C537" s="32"/>
      <c r="D537" s="32"/>
      <c r="E537" s="32"/>
      <c r="F537" s="32"/>
      <c r="G537" s="32"/>
      <c r="H537" s="32"/>
      <c r="I537" s="32"/>
      <c r="J537" s="33"/>
      <c r="K537" s="33"/>
      <c r="L537" s="33"/>
      <c r="M537" s="33"/>
      <c r="N537" s="33"/>
      <c r="O537" s="17"/>
      <c r="P537" s="17"/>
      <c r="Q537" s="17"/>
      <c r="R537" s="17"/>
      <c r="S537" s="152"/>
      <c r="T537" s="152"/>
      <c r="U537" s="152"/>
      <c r="V537" s="152"/>
      <c r="W537" s="152"/>
      <c r="X537" s="152"/>
      <c r="Z537" s="152"/>
    </row>
    <row r="538" spans="2:27" x14ac:dyDescent="0.35">
      <c r="B538" s="31"/>
      <c r="C538" s="32"/>
      <c r="D538" s="32"/>
      <c r="E538" s="32"/>
      <c r="F538" s="32"/>
      <c r="G538" s="32"/>
      <c r="H538" s="32"/>
      <c r="I538" s="32"/>
      <c r="J538" s="33"/>
      <c r="K538" s="33"/>
      <c r="L538" s="33"/>
      <c r="M538" s="33"/>
      <c r="N538" s="33"/>
      <c r="O538" s="17"/>
      <c r="P538" s="17"/>
      <c r="Q538" s="17"/>
      <c r="R538" s="17"/>
      <c r="S538" s="152"/>
      <c r="T538" s="152"/>
      <c r="U538" s="152"/>
      <c r="V538" s="152"/>
      <c r="W538" s="152"/>
      <c r="X538" s="152"/>
      <c r="Z538" s="152"/>
    </row>
    <row r="539" spans="2:27" x14ac:dyDescent="0.35">
      <c r="B539" s="84" t="s">
        <v>373</v>
      </c>
      <c r="C539" s="61"/>
      <c r="D539" s="61"/>
      <c r="E539" s="61"/>
      <c r="F539" s="61"/>
      <c r="G539" s="61"/>
      <c r="H539" s="61"/>
      <c r="I539" s="61"/>
      <c r="J539" s="65"/>
      <c r="K539" s="65"/>
      <c r="L539" s="65"/>
      <c r="M539" s="65"/>
      <c r="N539" s="85" t="s">
        <v>374</v>
      </c>
      <c r="O539" s="17"/>
      <c r="P539" s="17"/>
      <c r="Q539" s="17"/>
      <c r="R539" s="152"/>
      <c r="Y539" s="141" t="s">
        <v>2</v>
      </c>
    </row>
    <row r="540" spans="2:27" x14ac:dyDescent="0.35">
      <c r="B540" s="185" t="s">
        <v>80</v>
      </c>
      <c r="C540" s="123">
        <v>2016</v>
      </c>
      <c r="D540" s="140">
        <v>2017</v>
      </c>
      <c r="E540" s="140">
        <v>2018</v>
      </c>
      <c r="F540" s="123">
        <v>2019</v>
      </c>
      <c r="G540" s="123">
        <v>2020</v>
      </c>
      <c r="H540" s="123">
        <v>2021</v>
      </c>
      <c r="I540" s="123">
        <v>2022</v>
      </c>
      <c r="J540" s="123">
        <v>2023</v>
      </c>
      <c r="K540" s="123">
        <v>2024</v>
      </c>
      <c r="L540" s="123">
        <v>2025</v>
      </c>
      <c r="M540" s="65"/>
      <c r="N540" s="241" t="s">
        <v>80</v>
      </c>
      <c r="O540" s="124">
        <v>2016</v>
      </c>
      <c r="P540" s="123">
        <v>2017</v>
      </c>
      <c r="Q540" s="140">
        <v>2018</v>
      </c>
      <c r="R540" s="140">
        <v>2019</v>
      </c>
      <c r="S540" s="140">
        <v>2020</v>
      </c>
      <c r="T540" s="140">
        <v>2021</v>
      </c>
      <c r="U540" s="140">
        <v>2022</v>
      </c>
      <c r="V540" s="140">
        <v>2023</v>
      </c>
      <c r="W540" s="140">
        <v>2024</v>
      </c>
      <c r="X540" s="140">
        <v>2025</v>
      </c>
      <c r="Y540" s="123" t="str">
        <f>$Y$98</f>
        <v>2020-2025</v>
      </c>
    </row>
    <row r="541" spans="2:27" x14ac:dyDescent="0.35">
      <c r="B541" s="24" t="s">
        <v>372</v>
      </c>
      <c r="C541" s="68">
        <f>Wireless!E8+Wireless!E9+Wireless!E13</f>
        <v>11390120.661512379</v>
      </c>
      <c r="D541" s="68">
        <f>Wireless!F8+Wireless!F9+Wireless!F13</f>
        <v>7193790.5449723806</v>
      </c>
      <c r="E541" s="68">
        <f>Wireless!G8+Wireless!G9+Wireless!G13</f>
        <v>0</v>
      </c>
      <c r="F541" s="68">
        <f>Wireless!H8+Wireless!H9+Wireless!H13</f>
        <v>0</v>
      </c>
      <c r="G541" s="68">
        <f>Wireless!I8+Wireless!I9+Wireless!I13</f>
        <v>0</v>
      </c>
      <c r="H541" s="68">
        <f>Wireless!J8+Wireless!J9+Wireless!J13</f>
        <v>0</v>
      </c>
      <c r="I541" s="68">
        <f>Wireless!K8+Wireless!K9+Wireless!K13</f>
        <v>0</v>
      </c>
      <c r="J541" s="68">
        <f>Wireless!L8+Wireless!L9+Wireless!L13</f>
        <v>0</v>
      </c>
      <c r="K541" s="75">
        <f>Wireless!M8+Wireless!M9+Wireless!M13</f>
        <v>0</v>
      </c>
      <c r="L541" s="75">
        <f>Wireless!N8+Wireless!N9+Wireless!N13</f>
        <v>0</v>
      </c>
      <c r="M541" s="65"/>
      <c r="N541" s="34" t="str">
        <f>B541</f>
        <v>&lt;25 Gbps</v>
      </c>
      <c r="O541" s="69">
        <f>Wireless!E52+Wireless!E57+Wireless!E53</f>
        <v>218.74931045678585</v>
      </c>
      <c r="P541" s="69">
        <f>Wireless!F52+Wireless!F57+Wireless!F53</f>
        <v>118.15802502183853</v>
      </c>
      <c r="Q541" s="69">
        <f>Wireless!G52+Wireless!G57+Wireless!G53</f>
        <v>0</v>
      </c>
      <c r="R541" s="69">
        <f>Wireless!H52+Wireless!H57+Wireless!H53</f>
        <v>0</v>
      </c>
      <c r="S541" s="69">
        <f>Wireless!I52+Wireless!I57+Wireless!I53</f>
        <v>0</v>
      </c>
      <c r="T541" s="69">
        <f>Wireless!J52+Wireless!J57+Wireless!J53</f>
        <v>0</v>
      </c>
      <c r="U541" s="69">
        <f>Wireless!K52+Wireless!K57+Wireless!K53</f>
        <v>0</v>
      </c>
      <c r="V541" s="69">
        <f>Wireless!L52+Wireless!L57+Wireless!L53</f>
        <v>0</v>
      </c>
      <c r="W541" s="69">
        <f>Wireless!M52+Wireless!M57+Wireless!M53</f>
        <v>0</v>
      </c>
      <c r="X541" s="69">
        <f>Wireless!N52+Wireless!N57+Wireless!N53</f>
        <v>0</v>
      </c>
      <c r="Y541" s="153" t="e">
        <f>(X541/S541)^(1/5)-1</f>
        <v>#DIV/0!</v>
      </c>
      <c r="AA541" s="304">
        <f>SUM(O541:X542)</f>
        <v>336.90733547862436</v>
      </c>
    </row>
    <row r="542" spans="2:27" x14ac:dyDescent="0.35">
      <c r="B542" s="24" t="s">
        <v>180</v>
      </c>
      <c r="C542" s="68">
        <f t="shared" ref="C542:J542" si="72">C543-C541</f>
        <v>0</v>
      </c>
      <c r="D542" s="68">
        <f t="shared" si="72"/>
        <v>0</v>
      </c>
      <c r="E542" s="68">
        <f t="shared" si="72"/>
        <v>0</v>
      </c>
      <c r="F542" s="68">
        <f t="shared" si="72"/>
        <v>0</v>
      </c>
      <c r="G542" s="68">
        <f t="shared" si="72"/>
        <v>0</v>
      </c>
      <c r="H542" s="68">
        <f t="shared" si="72"/>
        <v>0</v>
      </c>
      <c r="I542" s="68">
        <f t="shared" si="72"/>
        <v>0</v>
      </c>
      <c r="J542" s="68">
        <f t="shared" si="72"/>
        <v>0</v>
      </c>
      <c r="K542" s="75">
        <f>K543-K541</f>
        <v>0</v>
      </c>
      <c r="L542" s="75">
        <f>L543-L541</f>
        <v>0</v>
      </c>
      <c r="M542" s="65"/>
      <c r="N542" s="34" t="str">
        <f>B542</f>
        <v>≥25 Gbps</v>
      </c>
      <c r="O542" s="69">
        <f t="shared" ref="O542:V542" si="73">O543-O541</f>
        <v>0</v>
      </c>
      <c r="P542" s="69">
        <f t="shared" si="73"/>
        <v>0</v>
      </c>
      <c r="Q542" s="69">
        <f t="shared" si="73"/>
        <v>0</v>
      </c>
      <c r="R542" s="69">
        <f t="shared" si="73"/>
        <v>0</v>
      </c>
      <c r="S542" s="69">
        <f t="shared" si="73"/>
        <v>0</v>
      </c>
      <c r="T542" s="69">
        <f t="shared" si="73"/>
        <v>0</v>
      </c>
      <c r="U542" s="69">
        <f t="shared" si="73"/>
        <v>0</v>
      </c>
      <c r="V542" s="69">
        <f t="shared" si="73"/>
        <v>0</v>
      </c>
      <c r="W542" s="69">
        <f>W543-W541</f>
        <v>0</v>
      </c>
      <c r="X542" s="69">
        <f>X543-X541</f>
        <v>0</v>
      </c>
      <c r="Y542" s="154" t="e">
        <f>(X542/S542)^(1/5)-1</f>
        <v>#DIV/0!</v>
      </c>
      <c r="AA542" s="305">
        <f>SUM(O543:X543)</f>
        <v>336.90733547862436</v>
      </c>
    </row>
    <row r="543" spans="2:27" x14ac:dyDescent="0.35">
      <c r="B543" s="187" t="s">
        <v>79</v>
      </c>
      <c r="C543" s="127">
        <f>Wireless!E20</f>
        <v>11390120.661512379</v>
      </c>
      <c r="D543" s="127">
        <f>Wireless!F20</f>
        <v>7193790.5449723806</v>
      </c>
      <c r="E543" s="127">
        <f>Wireless!G20</f>
        <v>0</v>
      </c>
      <c r="F543" s="127">
        <f>Wireless!H20</f>
        <v>0</v>
      </c>
      <c r="G543" s="127">
        <f>Wireless!I20</f>
        <v>0</v>
      </c>
      <c r="H543" s="127">
        <f>Wireless!J20</f>
        <v>0</v>
      </c>
      <c r="I543" s="127">
        <f>Wireless!K20</f>
        <v>0</v>
      </c>
      <c r="J543" s="127">
        <f>Wireless!L20</f>
        <v>0</v>
      </c>
      <c r="K543" s="127">
        <f>Wireless!M20</f>
        <v>0</v>
      </c>
      <c r="L543" s="127">
        <f>Wireless!N20</f>
        <v>0</v>
      </c>
      <c r="M543" s="65"/>
      <c r="N543" s="189" t="s">
        <v>79</v>
      </c>
      <c r="O543" s="126">
        <f>Wireless!E64</f>
        <v>218.74931045678585</v>
      </c>
      <c r="P543" s="126">
        <f>Wireless!F64</f>
        <v>118.15802502183853</v>
      </c>
      <c r="Q543" s="126">
        <f>Wireless!G64</f>
        <v>0</v>
      </c>
      <c r="R543" s="126">
        <f>Wireless!H64</f>
        <v>0</v>
      </c>
      <c r="S543" s="126">
        <f>Wireless!I64</f>
        <v>0</v>
      </c>
      <c r="T543" s="126">
        <f>Wireless!J64</f>
        <v>0</v>
      </c>
      <c r="U543" s="126">
        <f>Wireless!K64</f>
        <v>0</v>
      </c>
      <c r="V543" s="126">
        <f>Wireless!L64</f>
        <v>0</v>
      </c>
      <c r="W543" s="126">
        <f>Wireless!M64</f>
        <v>0</v>
      </c>
      <c r="X543" s="126">
        <f>Wireless!N64</f>
        <v>0</v>
      </c>
      <c r="Y543" s="159" t="e">
        <f>(X543/S543)^(1/5)-1</f>
        <v>#DIV/0!</v>
      </c>
      <c r="AA543" s="305">
        <f>SUM(Wireless!E52:N64)/2</f>
        <v>336.90733547862436</v>
      </c>
    </row>
    <row r="544" spans="2:27" x14ac:dyDescent="0.35">
      <c r="B544" s="31"/>
      <c r="C544" s="242"/>
      <c r="D544" s="242"/>
      <c r="E544" s="242"/>
      <c r="F544" s="242"/>
      <c r="G544" s="242"/>
      <c r="H544" s="242"/>
      <c r="I544" s="242"/>
      <c r="J544" s="242"/>
      <c r="K544" s="242"/>
      <c r="L544" s="242"/>
      <c r="M544" s="65"/>
      <c r="N544" s="33"/>
      <c r="O544" s="233"/>
      <c r="P544" s="233"/>
      <c r="Q544" s="233"/>
      <c r="R544" s="233"/>
      <c r="S544" s="233"/>
      <c r="T544" s="233"/>
      <c r="U544" s="233"/>
      <c r="V544" s="233"/>
      <c r="W544" s="233"/>
      <c r="X544" s="233"/>
      <c r="Z544" s="9"/>
    </row>
    <row r="545" spans="1:27" s="42" customFormat="1" ht="18" x14ac:dyDescent="0.4">
      <c r="A545" s="83" t="s">
        <v>416</v>
      </c>
      <c r="B545" s="78"/>
      <c r="C545" s="79"/>
      <c r="D545" s="79"/>
      <c r="E545" s="79"/>
      <c r="F545" s="79"/>
      <c r="G545" s="79"/>
      <c r="H545" s="79"/>
      <c r="I545" s="79"/>
      <c r="J545" s="88"/>
      <c r="K545" s="88"/>
      <c r="L545" s="88"/>
      <c r="M545" s="88"/>
      <c r="N545" s="88"/>
      <c r="O545" s="86"/>
      <c r="P545" s="86"/>
      <c r="Q545" s="86"/>
      <c r="R545" s="86"/>
      <c r="S545" s="86"/>
      <c r="T545" s="86"/>
      <c r="U545" s="86"/>
      <c r="V545" s="86"/>
      <c r="W545" s="86"/>
      <c r="X545" s="86"/>
      <c r="Z545" s="156"/>
      <c r="AA545" s="308"/>
    </row>
    <row r="546" spans="1:27" x14ac:dyDescent="0.35">
      <c r="A546" s="56"/>
      <c r="B546" s="93" t="s">
        <v>366</v>
      </c>
      <c r="C546" s="61"/>
      <c r="D546" s="61"/>
      <c r="E546" s="61"/>
      <c r="F546" s="61"/>
      <c r="G546" s="61"/>
      <c r="H546" s="61"/>
      <c r="I546" s="61"/>
      <c r="J546" s="50"/>
      <c r="K546" s="50"/>
      <c r="L546" s="50"/>
      <c r="M546" s="50"/>
      <c r="N546" s="93" t="s">
        <v>435</v>
      </c>
      <c r="O546" s="17"/>
      <c r="P546" s="17"/>
      <c r="Q546" s="17"/>
      <c r="R546" s="17"/>
      <c r="S546" s="152"/>
      <c r="T546" s="152"/>
      <c r="U546" s="152"/>
      <c r="V546" s="152"/>
      <c r="W546" s="152"/>
      <c r="X546" s="152"/>
      <c r="Z546" s="152"/>
    </row>
    <row r="547" spans="1:27" x14ac:dyDescent="0.35">
      <c r="B547" s="31"/>
      <c r="C547" s="32"/>
      <c r="D547" s="32"/>
      <c r="E547" s="32"/>
      <c r="F547" s="32"/>
      <c r="G547" s="32"/>
      <c r="H547" s="32"/>
      <c r="I547" s="32"/>
      <c r="J547" s="33"/>
      <c r="K547" s="33"/>
      <c r="L547" s="33"/>
      <c r="M547" s="33"/>
      <c r="N547" s="33"/>
      <c r="O547" s="17"/>
      <c r="P547" s="17"/>
      <c r="Q547" s="17"/>
      <c r="R547" s="17"/>
      <c r="S547" s="152"/>
      <c r="T547" s="152"/>
      <c r="U547" s="152"/>
      <c r="V547" s="152"/>
      <c r="W547" s="152"/>
      <c r="X547" s="152"/>
      <c r="Z547" s="152"/>
    </row>
    <row r="548" spans="1:27" x14ac:dyDescent="0.35">
      <c r="B548" s="31"/>
      <c r="C548" s="32"/>
      <c r="D548" s="32"/>
      <c r="E548" s="32"/>
      <c r="F548" s="32"/>
      <c r="G548" s="32"/>
      <c r="H548" s="32"/>
      <c r="I548" s="32"/>
      <c r="J548" s="33"/>
      <c r="K548" s="33"/>
      <c r="L548" s="33"/>
      <c r="M548" s="33"/>
      <c r="N548" s="33"/>
      <c r="O548" s="17"/>
      <c r="P548" s="17"/>
      <c r="Q548" s="17"/>
      <c r="R548" s="17"/>
      <c r="S548" s="152"/>
      <c r="T548" s="152"/>
      <c r="U548" s="152"/>
      <c r="V548" s="152"/>
      <c r="W548" s="152"/>
      <c r="X548" s="152"/>
      <c r="Z548" s="152"/>
    </row>
    <row r="549" spans="1:27" x14ac:dyDescent="0.35">
      <c r="B549" s="31"/>
      <c r="C549" s="32"/>
      <c r="D549" s="32"/>
      <c r="E549" s="32"/>
      <c r="F549" s="32"/>
      <c r="G549" s="32"/>
      <c r="H549" s="32"/>
      <c r="I549" s="32"/>
      <c r="J549" s="33"/>
      <c r="K549" s="33"/>
      <c r="L549" s="33"/>
      <c r="M549" s="33"/>
      <c r="N549" s="33"/>
      <c r="O549" s="17"/>
      <c r="P549" s="17"/>
      <c r="Q549" s="17"/>
      <c r="R549" s="17"/>
      <c r="S549" s="152"/>
      <c r="T549" s="152"/>
      <c r="U549" s="152"/>
      <c r="V549" s="152"/>
      <c r="W549" s="152"/>
      <c r="X549" s="152"/>
      <c r="Z549" s="152"/>
    </row>
    <row r="550" spans="1:27" x14ac:dyDescent="0.35">
      <c r="B550" s="31"/>
      <c r="C550" s="32"/>
      <c r="D550" s="32"/>
      <c r="E550" s="32"/>
      <c r="F550" s="32"/>
      <c r="G550" s="32"/>
      <c r="H550" s="32"/>
      <c r="I550" s="32"/>
      <c r="J550" s="33"/>
      <c r="K550" s="33"/>
      <c r="L550" s="33"/>
      <c r="M550" s="33"/>
      <c r="N550" s="33"/>
      <c r="O550" s="17"/>
      <c r="P550" s="17"/>
      <c r="Q550" s="17"/>
      <c r="R550" s="17"/>
      <c r="S550" s="152"/>
      <c r="T550" s="152"/>
      <c r="U550" s="152"/>
      <c r="V550" s="152"/>
      <c r="W550" s="152"/>
      <c r="X550" s="152"/>
      <c r="Z550" s="152"/>
    </row>
    <row r="551" spans="1:27" x14ac:dyDescent="0.35">
      <c r="B551" s="31"/>
      <c r="C551" s="32"/>
      <c r="D551" s="32"/>
      <c r="E551" s="32"/>
      <c r="F551" s="32"/>
      <c r="G551" s="32"/>
      <c r="H551" s="32"/>
      <c r="I551" s="32"/>
      <c r="J551" s="33"/>
      <c r="K551" s="33"/>
      <c r="L551" s="33"/>
      <c r="M551" s="33"/>
      <c r="N551" s="33"/>
      <c r="O551" s="17"/>
      <c r="P551" s="17"/>
      <c r="Q551" s="17"/>
      <c r="R551" s="17"/>
      <c r="S551" s="152"/>
      <c r="T551" s="152"/>
      <c r="U551" s="152"/>
      <c r="V551" s="152"/>
      <c r="W551" s="152"/>
      <c r="X551" s="152"/>
      <c r="Z551" s="152"/>
    </row>
    <row r="552" spans="1:27" x14ac:dyDescent="0.35">
      <c r="B552" s="31"/>
      <c r="C552" s="32"/>
      <c r="D552" s="32"/>
      <c r="E552" s="32"/>
      <c r="F552" s="32"/>
      <c r="G552" s="32"/>
      <c r="H552" s="32"/>
      <c r="I552" s="32"/>
      <c r="J552" s="33"/>
      <c r="K552" s="33"/>
      <c r="L552" s="33"/>
      <c r="M552" s="33"/>
      <c r="N552" s="33"/>
      <c r="O552" s="17"/>
      <c r="P552" s="17"/>
      <c r="Q552" s="17"/>
      <c r="R552" s="17"/>
      <c r="S552" s="152"/>
      <c r="T552" s="152"/>
      <c r="U552" s="152"/>
      <c r="V552" s="152"/>
      <c r="W552" s="152"/>
      <c r="X552" s="152"/>
      <c r="Z552" s="152"/>
    </row>
    <row r="553" spans="1:27" x14ac:dyDescent="0.35">
      <c r="B553" s="31"/>
      <c r="C553" s="32"/>
      <c r="D553" s="32"/>
      <c r="E553" s="32"/>
      <c r="F553" s="32"/>
      <c r="G553" s="32"/>
      <c r="H553" s="32"/>
      <c r="I553" s="32"/>
      <c r="J553" s="33"/>
      <c r="K553" s="33"/>
      <c r="L553" s="33"/>
      <c r="M553" s="33"/>
      <c r="N553" s="33"/>
      <c r="O553" s="17"/>
      <c r="P553" s="17"/>
      <c r="Q553" s="17"/>
      <c r="R553" s="17"/>
      <c r="S553" s="152"/>
      <c r="T553" s="152"/>
      <c r="U553" s="152"/>
      <c r="V553" s="152"/>
      <c r="W553" s="152"/>
      <c r="X553" s="152"/>
      <c r="Z553" s="152"/>
    </row>
    <row r="554" spans="1:27" x14ac:dyDescent="0.35">
      <c r="B554" s="31"/>
      <c r="C554" s="32"/>
      <c r="D554" s="32"/>
      <c r="E554" s="32"/>
      <c r="F554" s="32"/>
      <c r="G554" s="32"/>
      <c r="H554" s="32"/>
      <c r="I554" s="32"/>
      <c r="J554" s="33"/>
      <c r="K554" s="33"/>
      <c r="L554" s="33"/>
      <c r="M554" s="33"/>
      <c r="N554" s="33"/>
      <c r="O554" s="17"/>
      <c r="P554" s="17"/>
      <c r="Q554" s="17"/>
      <c r="R554" s="17"/>
      <c r="S554" s="152"/>
      <c r="T554" s="152"/>
      <c r="U554" s="152"/>
      <c r="V554" s="152"/>
      <c r="W554" s="152"/>
      <c r="X554" s="152"/>
      <c r="Z554" s="152"/>
    </row>
    <row r="555" spans="1:27" x14ac:dyDescent="0.35">
      <c r="B555" s="31"/>
      <c r="C555" s="32"/>
      <c r="D555" s="32"/>
      <c r="E555" s="32"/>
      <c r="F555" s="32"/>
      <c r="G555" s="32"/>
      <c r="H555" s="32"/>
      <c r="I555" s="32"/>
      <c r="J555" s="33"/>
      <c r="K555" s="33"/>
      <c r="L555" s="33"/>
      <c r="M555" s="33"/>
      <c r="N555" s="33"/>
      <c r="O555" s="17"/>
      <c r="P555" s="17"/>
      <c r="Q555" s="17"/>
      <c r="R555" s="17"/>
      <c r="S555" s="152"/>
      <c r="T555" s="152"/>
      <c r="U555" s="152"/>
      <c r="V555" s="152"/>
      <c r="W555" s="152"/>
      <c r="X555" s="152"/>
      <c r="Z555" s="152"/>
    </row>
    <row r="556" spans="1:27" x14ac:dyDescent="0.35">
      <c r="B556" s="31"/>
      <c r="C556" s="32"/>
      <c r="D556" s="32"/>
      <c r="E556" s="32"/>
      <c r="F556" s="32"/>
      <c r="G556" s="32"/>
      <c r="H556" s="32"/>
      <c r="I556" s="32"/>
      <c r="J556" s="33"/>
      <c r="K556" s="33"/>
      <c r="L556" s="33"/>
      <c r="M556" s="33"/>
      <c r="N556" s="33"/>
      <c r="O556" s="17"/>
      <c r="P556" s="17"/>
      <c r="Q556" s="17"/>
      <c r="R556" s="17"/>
      <c r="S556" s="152"/>
      <c r="T556" s="152"/>
      <c r="U556" s="152"/>
      <c r="V556" s="152"/>
      <c r="W556" s="152"/>
      <c r="X556" s="152"/>
      <c r="Z556" s="152"/>
    </row>
    <row r="557" spans="1:27" x14ac:dyDescent="0.35">
      <c r="B557" s="31"/>
      <c r="C557" s="32"/>
      <c r="D557" s="32"/>
      <c r="E557" s="32"/>
      <c r="F557" s="32"/>
      <c r="G557" s="32"/>
      <c r="H557" s="32"/>
      <c r="I557" s="32"/>
      <c r="J557" s="33"/>
      <c r="K557" s="33"/>
      <c r="L557" s="33"/>
      <c r="M557" s="33"/>
      <c r="N557" s="33"/>
      <c r="O557" s="17"/>
      <c r="P557" s="17"/>
      <c r="Q557" s="17"/>
      <c r="R557" s="17"/>
      <c r="S557" s="152"/>
      <c r="T557" s="152"/>
      <c r="U557" s="152"/>
      <c r="V557" s="152"/>
      <c r="W557" s="152"/>
      <c r="X557" s="152"/>
      <c r="Z557" s="152"/>
    </row>
    <row r="558" spans="1:27" x14ac:dyDescent="0.35">
      <c r="B558" s="31"/>
      <c r="C558" s="32"/>
      <c r="D558" s="32"/>
      <c r="E558" s="32"/>
      <c r="F558" s="32"/>
      <c r="G558" s="32"/>
      <c r="H558" s="32"/>
      <c r="I558" s="32"/>
      <c r="J558" s="33"/>
      <c r="K558" s="33"/>
      <c r="L558" s="33"/>
      <c r="M558" s="33"/>
      <c r="N558" s="33"/>
      <c r="O558" s="17"/>
      <c r="P558" s="17"/>
      <c r="Q558" s="17"/>
      <c r="R558" s="17"/>
      <c r="S558" s="152"/>
      <c r="T558" s="152"/>
      <c r="U558" s="152"/>
      <c r="V558" s="152"/>
      <c r="W558" s="152"/>
      <c r="X558" s="152"/>
      <c r="Z558" s="152"/>
    </row>
    <row r="559" spans="1:27" x14ac:dyDescent="0.35">
      <c r="B559" s="31"/>
      <c r="C559" s="32"/>
      <c r="D559" s="32"/>
      <c r="E559" s="32"/>
      <c r="F559" s="32"/>
      <c r="G559" s="32"/>
      <c r="H559" s="32"/>
      <c r="I559" s="32"/>
      <c r="J559" s="33"/>
      <c r="K559" s="33"/>
      <c r="L559" s="33"/>
      <c r="M559" s="33"/>
      <c r="N559" s="33"/>
      <c r="O559" s="17"/>
      <c r="P559" s="17"/>
      <c r="Q559" s="17"/>
      <c r="R559" s="17"/>
      <c r="S559" s="152"/>
      <c r="T559" s="152"/>
      <c r="U559" s="152"/>
      <c r="V559" s="152"/>
      <c r="W559" s="152"/>
      <c r="X559" s="152"/>
      <c r="Z559" s="152"/>
    </row>
    <row r="560" spans="1:27" x14ac:dyDescent="0.35">
      <c r="B560" s="31"/>
      <c r="C560" s="32"/>
      <c r="D560" s="32"/>
      <c r="E560" s="32"/>
      <c r="F560" s="32"/>
      <c r="G560" s="32"/>
      <c r="H560" s="32"/>
      <c r="I560" s="32"/>
      <c r="J560" s="33"/>
      <c r="K560" s="33"/>
      <c r="L560" s="33"/>
      <c r="M560" s="33"/>
      <c r="N560" s="33"/>
      <c r="O560" s="17"/>
      <c r="P560" s="17"/>
      <c r="Q560" s="17"/>
      <c r="R560" s="17"/>
      <c r="S560" s="152"/>
      <c r="T560" s="152"/>
      <c r="U560" s="152"/>
      <c r="V560" s="152"/>
      <c r="W560" s="152"/>
      <c r="X560" s="152"/>
      <c r="Z560" s="152"/>
    </row>
    <row r="561" spans="2:27" x14ac:dyDescent="0.35">
      <c r="B561" s="31"/>
      <c r="C561" s="32"/>
      <c r="D561" s="32"/>
      <c r="E561" s="32"/>
      <c r="F561" s="32"/>
      <c r="G561" s="32"/>
      <c r="H561" s="32"/>
      <c r="I561" s="32"/>
      <c r="J561" s="33"/>
      <c r="K561" s="33"/>
      <c r="L561" s="33"/>
      <c r="M561" s="33"/>
      <c r="N561" s="33"/>
      <c r="O561" s="17"/>
      <c r="P561" s="17"/>
      <c r="Q561" s="17"/>
      <c r="R561" s="17"/>
      <c r="S561" s="152"/>
      <c r="T561" s="152"/>
      <c r="U561" s="152"/>
      <c r="V561" s="152"/>
      <c r="W561" s="152"/>
      <c r="X561" s="152"/>
      <c r="Z561" s="152"/>
    </row>
    <row r="562" spans="2:27" x14ac:dyDescent="0.35">
      <c r="B562" s="31"/>
      <c r="C562" s="32"/>
      <c r="D562" s="32"/>
      <c r="E562" s="32"/>
      <c r="F562" s="32"/>
      <c r="G562" s="32"/>
      <c r="H562" s="32"/>
      <c r="I562" s="32"/>
      <c r="J562" s="33"/>
      <c r="K562" s="33"/>
      <c r="L562" s="33"/>
      <c r="M562" s="33"/>
      <c r="N562" s="33"/>
      <c r="O562" s="17"/>
      <c r="P562" s="17"/>
      <c r="Q562" s="17"/>
      <c r="R562" s="17"/>
      <c r="S562" s="152"/>
      <c r="T562" s="152"/>
      <c r="U562" s="152"/>
      <c r="V562" s="152"/>
      <c r="W562" s="152"/>
      <c r="X562" s="152"/>
      <c r="Z562" s="152"/>
    </row>
    <row r="563" spans="2:27" x14ac:dyDescent="0.35">
      <c r="B563" s="31"/>
      <c r="C563" s="32"/>
      <c r="D563" s="32"/>
      <c r="E563" s="32"/>
      <c r="F563" s="32"/>
      <c r="G563" s="32"/>
      <c r="H563" s="32"/>
      <c r="I563" s="32"/>
      <c r="J563" s="33"/>
      <c r="K563" s="33"/>
      <c r="L563" s="33"/>
      <c r="M563" s="33"/>
      <c r="N563" s="33"/>
      <c r="O563" s="17"/>
      <c r="P563" s="17"/>
      <c r="Q563" s="17"/>
      <c r="R563" s="17"/>
      <c r="S563" s="152"/>
      <c r="T563" s="152"/>
      <c r="U563" s="152"/>
      <c r="V563" s="152"/>
      <c r="W563" s="152"/>
      <c r="X563" s="152"/>
      <c r="Z563" s="152"/>
    </row>
    <row r="564" spans="2:27" x14ac:dyDescent="0.35">
      <c r="B564" s="31"/>
      <c r="C564" s="32"/>
      <c r="D564" s="32"/>
      <c r="E564" s="32"/>
      <c r="F564" s="32"/>
      <c r="G564" s="32"/>
      <c r="H564" s="32"/>
      <c r="I564" s="32"/>
      <c r="J564" s="33"/>
      <c r="K564" s="33"/>
      <c r="L564" s="33"/>
      <c r="M564" s="33"/>
      <c r="N564" s="33"/>
      <c r="O564" s="17"/>
      <c r="P564" s="17"/>
      <c r="Q564" s="17"/>
      <c r="R564" s="17"/>
      <c r="S564" s="152"/>
      <c r="T564" s="152"/>
      <c r="U564" s="152"/>
      <c r="V564" s="152"/>
      <c r="W564" s="152"/>
      <c r="X564" s="152"/>
      <c r="Z564" s="152"/>
    </row>
    <row r="565" spans="2:27" x14ac:dyDescent="0.35">
      <c r="B565" s="31"/>
      <c r="C565" s="32"/>
      <c r="D565" s="32"/>
      <c r="E565" s="32"/>
      <c r="F565" s="32"/>
      <c r="G565" s="32"/>
      <c r="H565" s="32"/>
      <c r="I565" s="32"/>
      <c r="J565" s="33"/>
      <c r="K565" s="33"/>
      <c r="L565" s="33"/>
      <c r="M565" s="33"/>
      <c r="N565" s="33"/>
      <c r="O565" s="17"/>
      <c r="P565" s="17"/>
      <c r="Q565" s="17"/>
      <c r="R565" s="17"/>
      <c r="S565" s="152"/>
      <c r="T565" s="152"/>
      <c r="U565" s="152"/>
      <c r="V565" s="152"/>
      <c r="W565" s="152"/>
      <c r="X565" s="152"/>
      <c r="Z565" s="152"/>
    </row>
    <row r="566" spans="2:27" x14ac:dyDescent="0.35">
      <c r="B566" s="31"/>
      <c r="C566" s="32"/>
      <c r="D566" s="32"/>
      <c r="E566" s="32"/>
      <c r="F566" s="32"/>
      <c r="G566" s="32"/>
      <c r="H566" s="32"/>
      <c r="I566" s="32"/>
      <c r="J566" s="33"/>
      <c r="K566" s="33"/>
      <c r="L566" s="33"/>
      <c r="M566" s="33"/>
      <c r="N566" s="33"/>
      <c r="O566" s="17"/>
      <c r="P566" s="17"/>
      <c r="Q566" s="17"/>
      <c r="R566" s="17"/>
      <c r="S566" s="152"/>
      <c r="T566" s="152"/>
      <c r="U566" s="152"/>
      <c r="V566" s="152"/>
      <c r="W566" s="152"/>
      <c r="X566" s="152"/>
      <c r="Z566" s="152"/>
    </row>
    <row r="567" spans="2:27" x14ac:dyDescent="0.35">
      <c r="B567" s="31"/>
      <c r="C567" s="32"/>
      <c r="D567" s="32"/>
      <c r="E567" s="32"/>
      <c r="F567" s="32"/>
      <c r="G567" s="32"/>
      <c r="H567" s="32"/>
      <c r="I567" s="32"/>
      <c r="J567" s="33"/>
      <c r="K567" s="33"/>
      <c r="L567" s="33"/>
      <c r="M567" s="33"/>
      <c r="N567" s="33"/>
      <c r="O567" s="17"/>
      <c r="P567" s="17"/>
      <c r="Q567" s="17"/>
      <c r="R567" s="17"/>
      <c r="S567" s="152"/>
      <c r="T567" s="152"/>
      <c r="U567" s="152"/>
      <c r="V567" s="152"/>
      <c r="W567" s="152"/>
      <c r="X567" s="152"/>
      <c r="Z567" s="152"/>
    </row>
    <row r="568" spans="2:27" x14ac:dyDescent="0.35">
      <c r="B568" s="31"/>
      <c r="C568" s="32"/>
      <c r="D568" s="32"/>
      <c r="E568" s="32"/>
      <c r="F568" s="32"/>
      <c r="G568" s="32"/>
      <c r="H568" s="32"/>
      <c r="I568" s="32"/>
      <c r="J568" s="33"/>
      <c r="K568" s="33"/>
      <c r="L568" s="33"/>
      <c r="M568" s="33"/>
      <c r="N568" s="33"/>
      <c r="O568" s="17"/>
      <c r="P568" s="17"/>
      <c r="Q568" s="17"/>
      <c r="R568" s="17"/>
      <c r="S568" s="152"/>
      <c r="T568" s="152"/>
      <c r="U568" s="152"/>
      <c r="V568" s="152"/>
      <c r="W568" s="152"/>
      <c r="X568" s="152"/>
      <c r="Z568" s="152"/>
    </row>
    <row r="569" spans="2:27" x14ac:dyDescent="0.35">
      <c r="B569" s="31"/>
      <c r="C569" s="32"/>
      <c r="D569" s="32"/>
      <c r="E569" s="32"/>
      <c r="F569" s="32"/>
      <c r="G569" s="32"/>
      <c r="H569" s="32"/>
      <c r="I569" s="32"/>
      <c r="J569" s="33"/>
      <c r="K569" s="33"/>
      <c r="L569" s="33"/>
      <c r="M569" s="33"/>
      <c r="N569" s="33"/>
      <c r="O569" s="17"/>
      <c r="P569" s="17"/>
      <c r="Q569" s="17"/>
      <c r="R569" s="17"/>
      <c r="S569" s="152"/>
      <c r="T569" s="152"/>
      <c r="U569" s="152"/>
      <c r="V569" s="152"/>
      <c r="W569" s="152"/>
      <c r="X569" s="152"/>
      <c r="Z569" s="152"/>
    </row>
    <row r="570" spans="2:27" x14ac:dyDescent="0.35">
      <c r="B570" s="84"/>
      <c r="C570" s="61"/>
      <c r="D570" s="61"/>
      <c r="E570" s="61"/>
      <c r="F570" s="61"/>
      <c r="G570" s="61"/>
      <c r="H570" s="61"/>
      <c r="I570" s="61"/>
      <c r="J570" s="65"/>
      <c r="K570" s="65"/>
      <c r="L570" s="65"/>
      <c r="M570" s="33"/>
      <c r="O570" s="17"/>
      <c r="P570" s="17"/>
      <c r="Q570" s="17"/>
      <c r="R570" s="17"/>
      <c r="S570" s="152"/>
      <c r="T570" s="152"/>
      <c r="U570" s="152"/>
      <c r="V570" s="152"/>
      <c r="W570" s="152"/>
      <c r="X570" s="152"/>
      <c r="Z570" s="152"/>
    </row>
    <row r="571" spans="2:27" x14ac:dyDescent="0.35">
      <c r="B571" s="84" t="s">
        <v>436</v>
      </c>
      <c r="C571" s="61"/>
      <c r="D571" s="61"/>
      <c r="E571" s="61"/>
      <c r="F571" s="61"/>
      <c r="G571" s="61"/>
      <c r="H571" s="61"/>
      <c r="I571" s="61"/>
      <c r="J571" s="635"/>
      <c r="K571" s="635"/>
      <c r="L571" s="666"/>
      <c r="M571" s="33"/>
      <c r="N571" s="85" t="s">
        <v>437</v>
      </c>
      <c r="O571" s="635"/>
      <c r="P571" s="635"/>
      <c r="Q571" s="635"/>
      <c r="R571" s="635"/>
      <c r="S571" s="635"/>
      <c r="T571" s="635"/>
      <c r="U571" s="635"/>
      <c r="V571" s="635"/>
      <c r="W571" s="635"/>
      <c r="X571" s="666"/>
      <c r="Y571" s="141" t="s">
        <v>2</v>
      </c>
    </row>
    <row r="572" spans="2:27" x14ac:dyDescent="0.35">
      <c r="B572" s="185" t="s">
        <v>70</v>
      </c>
      <c r="C572" s="123">
        <v>2016</v>
      </c>
      <c r="D572" s="140">
        <v>2017</v>
      </c>
      <c r="E572" s="140">
        <v>2018</v>
      </c>
      <c r="F572" s="123">
        <v>2019</v>
      </c>
      <c r="G572" s="123">
        <v>2020</v>
      </c>
      <c r="H572" s="123">
        <v>2021</v>
      </c>
      <c r="I572" s="123">
        <v>2022</v>
      </c>
      <c r="J572" s="123">
        <v>2023</v>
      </c>
      <c r="K572" s="123">
        <v>2024</v>
      </c>
      <c r="L572" s="123">
        <v>2025</v>
      </c>
      <c r="M572" s="33"/>
      <c r="N572" s="185" t="s">
        <v>70</v>
      </c>
      <c r="O572" s="124">
        <v>2016</v>
      </c>
      <c r="P572" s="123">
        <v>2017</v>
      </c>
      <c r="Q572" s="140">
        <v>2018</v>
      </c>
      <c r="R572" s="140">
        <v>2019</v>
      </c>
      <c r="S572" s="140">
        <v>2020</v>
      </c>
      <c r="T572" s="140">
        <v>2021</v>
      </c>
      <c r="U572" s="140">
        <v>2022</v>
      </c>
      <c r="V572" s="140">
        <v>2023</v>
      </c>
      <c r="W572" s="140">
        <v>2024</v>
      </c>
      <c r="X572" s="140">
        <v>2025</v>
      </c>
      <c r="Y572" s="123" t="str">
        <f>$Y$98</f>
        <v>2020-2025</v>
      </c>
      <c r="AA572" s="304">
        <f>SUM(O573:X575)</f>
        <v>451.91321122815413</v>
      </c>
    </row>
    <row r="573" spans="2:27" x14ac:dyDescent="0.35">
      <c r="B573" s="24" t="s">
        <v>199</v>
      </c>
      <c r="C573" s="55">
        <f>Wireless!E27</f>
        <v>320980.17013724998</v>
      </c>
      <c r="D573" s="55">
        <f>Wireless!F27</f>
        <v>543319.73713999998</v>
      </c>
      <c r="E573" s="55">
        <f>Wireless!G27</f>
        <v>0</v>
      </c>
      <c r="F573" s="55">
        <f>Wireless!H27</f>
        <v>0</v>
      </c>
      <c r="G573" s="55">
        <f>Wireless!I27</f>
        <v>0</v>
      </c>
      <c r="H573" s="55">
        <f>Wireless!J27</f>
        <v>0</v>
      </c>
      <c r="I573" s="55">
        <f>Wireless!K27</f>
        <v>0</v>
      </c>
      <c r="J573" s="55">
        <f>Wireless!L27</f>
        <v>0</v>
      </c>
      <c r="K573" s="147">
        <f>Wireless!M27</f>
        <v>0</v>
      </c>
      <c r="L573" s="147">
        <f>Wireless!N27</f>
        <v>0</v>
      </c>
      <c r="M573" s="33"/>
      <c r="N573" s="24" t="str">
        <f>B573</f>
        <v>China</v>
      </c>
      <c r="O573" s="125">
        <f>Wireless!E71</f>
        <v>10.453308885263413</v>
      </c>
      <c r="P573" s="125">
        <f>Wireless!F71</f>
        <v>46.506051363203028</v>
      </c>
      <c r="Q573" s="125">
        <f>Wireless!G71</f>
        <v>0</v>
      </c>
      <c r="R573" s="125">
        <f>Wireless!H71</f>
        <v>0</v>
      </c>
      <c r="S573" s="125">
        <f>Wireless!I71</f>
        <v>0</v>
      </c>
      <c r="T573" s="125">
        <f>Wireless!J71</f>
        <v>0</v>
      </c>
      <c r="U573" s="125">
        <f>Wireless!K71</f>
        <v>0</v>
      </c>
      <c r="V573" s="125">
        <f>Wireless!L71</f>
        <v>0</v>
      </c>
      <c r="W573" s="125">
        <f>Wireless!M71</f>
        <v>0</v>
      </c>
      <c r="X573" s="125">
        <f>Wireless!N71</f>
        <v>0</v>
      </c>
      <c r="Y573" s="153" t="e">
        <f>(X573/S573)^(1/5)-1</f>
        <v>#DIV/0!</v>
      </c>
      <c r="AA573" s="305">
        <f>SUM(Wireless!E202:N208)</f>
        <v>451.91321122815413</v>
      </c>
    </row>
    <row r="574" spans="2:27" x14ac:dyDescent="0.35">
      <c r="B574" s="24" t="s">
        <v>224</v>
      </c>
      <c r="C574" s="55">
        <f>Wireless!E96</f>
        <v>936230.01560775004</v>
      </c>
      <c r="D574" s="55">
        <f>Wireless!F96</f>
        <v>733574.95706000004</v>
      </c>
      <c r="E574" s="55">
        <f>Wireless!G96</f>
        <v>0</v>
      </c>
      <c r="F574" s="55">
        <f>Wireless!H96</f>
        <v>0</v>
      </c>
      <c r="G574" s="55">
        <f>Wireless!I96</f>
        <v>0</v>
      </c>
      <c r="H574" s="55">
        <f>Wireless!J96</f>
        <v>0</v>
      </c>
      <c r="I574" s="55">
        <f>Wireless!K96</f>
        <v>0</v>
      </c>
      <c r="J574" s="55">
        <f>Wireless!L96</f>
        <v>0</v>
      </c>
      <c r="K574" s="10">
        <f>Wireless!M96</f>
        <v>0</v>
      </c>
      <c r="L574" s="10">
        <f>Wireless!N96</f>
        <v>0</v>
      </c>
      <c r="M574" s="33"/>
      <c r="N574" s="24" t="str">
        <f>B574</f>
        <v>Rest of World</v>
      </c>
      <c r="O574" s="69">
        <f>Wireless!E140</f>
        <v>111.80444617985084</v>
      </c>
      <c r="P574" s="69">
        <f>Wireless!F140</f>
        <v>57.192799185759782</v>
      </c>
      <c r="Q574" s="69">
        <f>Wireless!G140</f>
        <v>0</v>
      </c>
      <c r="R574" s="69">
        <f>Wireless!H140</f>
        <v>0</v>
      </c>
      <c r="S574" s="69">
        <f>Wireless!I140</f>
        <v>0</v>
      </c>
      <c r="T574" s="69">
        <f>Wireless!J140</f>
        <v>0</v>
      </c>
      <c r="U574" s="69">
        <f>Wireless!K140</f>
        <v>0</v>
      </c>
      <c r="V574" s="69">
        <f>Wireless!L140</f>
        <v>0</v>
      </c>
      <c r="W574" s="69">
        <f>Wireless!M140</f>
        <v>0</v>
      </c>
      <c r="X574" s="69">
        <f>Wireless!N140</f>
        <v>0</v>
      </c>
      <c r="Y574" s="154" t="e">
        <f>(X574/S574)^(1/5)-1</f>
        <v>#DIV/0!</v>
      </c>
      <c r="AA574" s="304"/>
    </row>
    <row r="575" spans="2:27" x14ac:dyDescent="0.35">
      <c r="B575" s="187" t="s">
        <v>253</v>
      </c>
      <c r="C575" s="193">
        <f t="shared" ref="C575:K575" si="74">C574+C573</f>
        <v>1257210.1857449999</v>
      </c>
      <c r="D575" s="193">
        <f t="shared" si="74"/>
        <v>1276894.6942</v>
      </c>
      <c r="E575" s="193">
        <f t="shared" si="74"/>
        <v>0</v>
      </c>
      <c r="F575" s="193">
        <f t="shared" si="74"/>
        <v>0</v>
      </c>
      <c r="G575" s="193">
        <f t="shared" si="74"/>
        <v>0</v>
      </c>
      <c r="H575" s="193">
        <f t="shared" si="74"/>
        <v>0</v>
      </c>
      <c r="I575" s="193">
        <f t="shared" si="74"/>
        <v>0</v>
      </c>
      <c r="J575" s="193">
        <f t="shared" si="74"/>
        <v>0</v>
      </c>
      <c r="K575" s="130">
        <f t="shared" si="74"/>
        <v>0</v>
      </c>
      <c r="L575" s="130">
        <f>L574+L573</f>
        <v>0</v>
      </c>
      <c r="M575" s="33"/>
      <c r="N575" s="187" t="str">
        <f>B575</f>
        <v>Global</v>
      </c>
      <c r="O575" s="329">
        <f>SUM(O573:O574)</f>
        <v>122.25775506511425</v>
      </c>
      <c r="P575" s="329">
        <f>SUM(P573:P574)</f>
        <v>103.69885054896281</v>
      </c>
      <c r="Q575" s="329">
        <f>SUM(Q573:Q574)</f>
        <v>0</v>
      </c>
      <c r="R575" s="329">
        <f t="shared" ref="R575:X575" si="75">SUM(R573:R574)</f>
        <v>0</v>
      </c>
      <c r="S575" s="329">
        <f t="shared" si="75"/>
        <v>0</v>
      </c>
      <c r="T575" s="329">
        <f t="shared" si="75"/>
        <v>0</v>
      </c>
      <c r="U575" s="329">
        <f t="shared" si="75"/>
        <v>0</v>
      </c>
      <c r="V575" s="329">
        <f t="shared" si="75"/>
        <v>0</v>
      </c>
      <c r="W575" s="329">
        <f t="shared" si="75"/>
        <v>0</v>
      </c>
      <c r="X575" s="329">
        <f t="shared" si="75"/>
        <v>0</v>
      </c>
      <c r="Y575" s="159" t="e">
        <f>(X575/S575)^(1/5)-1</f>
        <v>#DIV/0!</v>
      </c>
    </row>
    <row r="576" spans="2:27" x14ac:dyDescent="0.35">
      <c r="B576" s="454" t="s">
        <v>273</v>
      </c>
      <c r="C576" s="455">
        <f t="shared" ref="C576:K576" si="76">IF(C573=0,"",C573/C575)</f>
        <v>0.25531146166067925</v>
      </c>
      <c r="D576" s="455">
        <f t="shared" si="76"/>
        <v>0.42550081820208407</v>
      </c>
      <c r="E576" s="455" t="str">
        <f t="shared" si="76"/>
        <v/>
      </c>
      <c r="F576" s="455" t="str">
        <f t="shared" si="76"/>
        <v/>
      </c>
      <c r="G576" s="455" t="str">
        <f t="shared" si="76"/>
        <v/>
      </c>
      <c r="H576" s="455" t="str">
        <f t="shared" si="76"/>
        <v/>
      </c>
      <c r="I576" s="455" t="str">
        <f t="shared" si="76"/>
        <v/>
      </c>
      <c r="J576" s="455" t="str">
        <f t="shared" si="76"/>
        <v/>
      </c>
      <c r="K576" s="455" t="str">
        <f t="shared" si="76"/>
        <v/>
      </c>
      <c r="L576" s="455" t="str">
        <f>IF(L573=0,"",L573/L575)</f>
        <v/>
      </c>
      <c r="M576" s="33"/>
      <c r="N576" s="454" t="s">
        <v>273</v>
      </c>
      <c r="O576" s="455">
        <f>IF(O573=0,"",O573/O575)</f>
        <v>8.550221521486305E-2</v>
      </c>
      <c r="P576" s="455">
        <f>IF(P573=0,"",P573/P575)</f>
        <v>0.44847219730024462</v>
      </c>
      <c r="Q576" s="455" t="str">
        <f>IF(Q573=0,"",Q573/Q575)</f>
        <v/>
      </c>
      <c r="R576" s="455" t="str">
        <f t="shared" ref="R576:X576" si="77">IF(R573=0,"",R573/R575)</f>
        <v/>
      </c>
      <c r="S576" s="455" t="str">
        <f t="shared" si="77"/>
        <v/>
      </c>
      <c r="T576" s="455" t="str">
        <f t="shared" si="77"/>
        <v/>
      </c>
      <c r="U576" s="455" t="str">
        <f t="shared" si="77"/>
        <v/>
      </c>
      <c r="V576" s="455" t="str">
        <f t="shared" si="77"/>
        <v/>
      </c>
      <c r="W576" s="455" t="str">
        <f t="shared" si="77"/>
        <v/>
      </c>
      <c r="X576" s="455" t="str">
        <f t="shared" si="77"/>
        <v/>
      </c>
      <c r="Z576" s="157"/>
    </row>
    <row r="577" spans="1:27" x14ac:dyDescent="0.35">
      <c r="B577" s="31"/>
      <c r="C577" s="242"/>
      <c r="D577" s="242"/>
      <c r="E577" s="242"/>
      <c r="F577" s="242"/>
      <c r="G577" s="242"/>
      <c r="H577" s="242"/>
      <c r="I577" s="242"/>
      <c r="J577" s="242"/>
      <c r="K577" s="33"/>
      <c r="L577" s="33"/>
      <c r="M577" s="33"/>
      <c r="N577" s="33"/>
      <c r="O577" s="281"/>
      <c r="P577" s="281"/>
      <c r="Q577" s="281"/>
      <c r="R577" s="281"/>
      <c r="S577" s="281"/>
      <c r="T577" s="281"/>
      <c r="U577" s="281"/>
      <c r="V577" s="281"/>
      <c r="W577" s="281"/>
      <c r="X577" s="281"/>
      <c r="Z577" s="158"/>
    </row>
    <row r="578" spans="1:27" s="42" customFormat="1" ht="18" x14ac:dyDescent="0.4">
      <c r="A578" s="83" t="s">
        <v>4</v>
      </c>
      <c r="B578" s="78"/>
      <c r="C578" s="79"/>
      <c r="D578" s="79"/>
      <c r="E578" s="79"/>
      <c r="F578" s="79"/>
      <c r="G578" s="79"/>
      <c r="H578" s="79"/>
      <c r="I578" s="79"/>
      <c r="J578" s="88"/>
      <c r="K578" s="88"/>
      <c r="L578" s="88"/>
      <c r="M578" s="88"/>
      <c r="N578" s="88"/>
      <c r="O578" s="86"/>
      <c r="P578" s="86"/>
      <c r="Q578" s="86"/>
      <c r="R578" s="86"/>
      <c r="Z578" s="156"/>
      <c r="AA578" s="308"/>
    </row>
    <row r="579" spans="1:27" x14ac:dyDescent="0.35">
      <c r="B579" s="31"/>
      <c r="C579" s="32"/>
      <c r="D579" s="32"/>
      <c r="E579" s="32"/>
      <c r="F579" s="32"/>
      <c r="G579" s="32"/>
      <c r="H579" s="32"/>
      <c r="I579" s="32"/>
      <c r="J579" s="33"/>
      <c r="K579" s="33"/>
      <c r="L579" s="33"/>
      <c r="M579" s="33"/>
      <c r="N579" s="33"/>
      <c r="O579" s="17"/>
      <c r="P579" s="17"/>
      <c r="Q579" s="17"/>
      <c r="R579" s="17"/>
      <c r="S579" s="152"/>
      <c r="T579" s="152"/>
      <c r="U579" s="152"/>
      <c r="V579" s="152"/>
      <c r="W579" s="152"/>
      <c r="X579" s="152"/>
      <c r="Z579" s="152"/>
    </row>
    <row r="580" spans="1:27" x14ac:dyDescent="0.35">
      <c r="A580" s="56"/>
      <c r="B580" s="93" t="s">
        <v>256</v>
      </c>
      <c r="C580" s="61"/>
      <c r="D580" s="61"/>
      <c r="E580" s="61"/>
      <c r="F580" s="61"/>
      <c r="G580" s="61"/>
      <c r="H580" s="61"/>
      <c r="I580" s="61"/>
      <c r="J580" s="50"/>
      <c r="K580" s="50"/>
      <c r="L580" s="50"/>
      <c r="M580" s="50"/>
      <c r="N580" s="93" t="s">
        <v>257</v>
      </c>
      <c r="O580" s="17"/>
      <c r="P580" s="17"/>
      <c r="Q580" s="17"/>
      <c r="R580" s="17"/>
      <c r="S580" s="152"/>
      <c r="T580" s="152"/>
      <c r="U580" s="152"/>
      <c r="V580" s="152"/>
      <c r="W580" s="152"/>
      <c r="X580" s="152"/>
      <c r="Z580" s="152"/>
    </row>
    <row r="581" spans="1:27" x14ac:dyDescent="0.35">
      <c r="B581" s="31"/>
      <c r="C581" s="32"/>
      <c r="D581" s="32"/>
      <c r="E581" s="32"/>
      <c r="F581" s="32"/>
      <c r="G581" s="32"/>
      <c r="H581" s="32"/>
      <c r="I581" s="32"/>
      <c r="J581" s="33"/>
      <c r="K581" s="33"/>
      <c r="L581" s="33"/>
      <c r="M581" s="33"/>
      <c r="N581" s="33"/>
      <c r="O581" s="17"/>
      <c r="P581" s="17"/>
      <c r="Q581" s="17"/>
      <c r="R581" s="17"/>
      <c r="S581" s="152"/>
      <c r="T581" s="152"/>
      <c r="U581" s="152"/>
      <c r="V581" s="152"/>
      <c r="W581" s="152"/>
      <c r="X581" s="152"/>
      <c r="Z581" s="152"/>
    </row>
    <row r="582" spans="1:27" x14ac:dyDescent="0.35">
      <c r="B582" s="31"/>
      <c r="C582" s="32"/>
      <c r="D582" s="32"/>
      <c r="E582" s="32"/>
      <c r="F582" s="32"/>
      <c r="G582" s="32"/>
      <c r="H582" s="32"/>
      <c r="I582" s="32"/>
      <c r="J582" s="33"/>
      <c r="K582" s="33"/>
      <c r="L582" s="33"/>
      <c r="M582" s="33"/>
      <c r="N582" s="33"/>
      <c r="O582" s="17"/>
      <c r="P582" s="17"/>
      <c r="Q582" s="17"/>
      <c r="R582" s="17"/>
      <c r="S582" s="152"/>
      <c r="T582" s="152"/>
      <c r="U582" s="152"/>
      <c r="V582" s="152"/>
      <c r="W582" s="152"/>
      <c r="X582" s="152"/>
      <c r="Z582" s="152"/>
    </row>
    <row r="583" spans="1:27" x14ac:dyDescent="0.35">
      <c r="B583" s="31"/>
      <c r="C583" s="32"/>
      <c r="D583" s="32"/>
      <c r="E583" s="32"/>
      <c r="F583" s="32"/>
      <c r="G583" s="32"/>
      <c r="H583" s="32"/>
      <c r="I583" s="32"/>
      <c r="J583" s="33"/>
      <c r="K583" s="33"/>
      <c r="L583" s="33"/>
      <c r="M583" s="33"/>
      <c r="N583" s="33"/>
      <c r="O583" s="17"/>
      <c r="P583" s="17"/>
      <c r="Q583" s="17"/>
      <c r="R583" s="17"/>
      <c r="S583" s="152"/>
      <c r="T583" s="152"/>
      <c r="U583" s="152"/>
      <c r="V583" s="152"/>
      <c r="W583" s="152"/>
      <c r="X583" s="152"/>
      <c r="Z583" s="152"/>
    </row>
    <row r="584" spans="1:27" x14ac:dyDescent="0.35">
      <c r="B584" s="31"/>
      <c r="C584" s="32"/>
      <c r="D584" s="32"/>
      <c r="E584" s="32"/>
      <c r="F584" s="32"/>
      <c r="G584" s="32"/>
      <c r="H584" s="32"/>
      <c r="I584" s="32"/>
      <c r="J584" s="33"/>
      <c r="K584" s="33"/>
      <c r="L584" s="33"/>
      <c r="M584" s="33"/>
      <c r="N584" s="33"/>
      <c r="O584" s="17"/>
      <c r="P584" s="17"/>
      <c r="Q584" s="17"/>
      <c r="R584" s="17"/>
      <c r="S584" s="152"/>
      <c r="T584" s="152"/>
      <c r="U584" s="152"/>
      <c r="V584" s="152"/>
      <c r="W584" s="152"/>
      <c r="X584" s="152"/>
      <c r="Z584" s="152"/>
    </row>
    <row r="585" spans="1:27" x14ac:dyDescent="0.35">
      <c r="B585" s="31"/>
      <c r="C585" s="32"/>
      <c r="D585" s="32"/>
      <c r="E585" s="32"/>
      <c r="F585" s="32"/>
      <c r="G585" s="32"/>
      <c r="H585" s="32"/>
      <c r="I585" s="32"/>
      <c r="J585" s="33"/>
      <c r="K585" s="33"/>
      <c r="L585" s="33"/>
      <c r="M585" s="33"/>
      <c r="N585" s="33"/>
      <c r="O585" s="17"/>
      <c r="P585" s="17"/>
      <c r="Q585" s="17"/>
      <c r="R585" s="17"/>
      <c r="S585" s="152"/>
      <c r="T585" s="152"/>
      <c r="U585" s="152"/>
      <c r="V585" s="152"/>
      <c r="W585" s="152"/>
      <c r="X585" s="152"/>
      <c r="Z585" s="152"/>
    </row>
    <row r="586" spans="1:27" x14ac:dyDescent="0.35">
      <c r="B586" s="31"/>
      <c r="C586" s="32"/>
      <c r="D586" s="32"/>
      <c r="E586" s="32"/>
      <c r="F586" s="32"/>
      <c r="G586" s="32"/>
      <c r="H586" s="32"/>
      <c r="I586" s="32"/>
      <c r="J586" s="33"/>
      <c r="K586" s="33"/>
      <c r="L586" s="33"/>
      <c r="M586" s="33"/>
      <c r="N586" s="33"/>
      <c r="O586" s="17"/>
      <c r="P586" s="17"/>
      <c r="Q586" s="17"/>
      <c r="R586" s="17"/>
      <c r="S586" s="152"/>
      <c r="T586" s="152"/>
      <c r="U586" s="152"/>
      <c r="V586" s="152"/>
      <c r="W586" s="152"/>
      <c r="X586" s="152"/>
      <c r="Z586" s="152"/>
    </row>
    <row r="587" spans="1:27" x14ac:dyDescent="0.35">
      <c r="B587" s="31"/>
      <c r="C587" s="32"/>
      <c r="D587" s="32"/>
      <c r="E587" s="32"/>
      <c r="F587" s="32"/>
      <c r="G587" s="32"/>
      <c r="H587" s="32"/>
      <c r="I587" s="32"/>
      <c r="J587" s="33"/>
      <c r="K587" s="33"/>
      <c r="L587" s="33"/>
      <c r="M587" s="33"/>
      <c r="N587" s="33"/>
      <c r="O587" s="17"/>
      <c r="P587" s="17"/>
      <c r="Q587" s="17"/>
      <c r="R587" s="17"/>
      <c r="S587" s="152"/>
      <c r="T587" s="152"/>
      <c r="U587" s="152"/>
      <c r="V587" s="152"/>
      <c r="W587" s="152"/>
      <c r="X587" s="152"/>
      <c r="Z587" s="152"/>
    </row>
    <row r="588" spans="1:27" x14ac:dyDescent="0.35">
      <c r="B588" s="31"/>
      <c r="C588" s="32"/>
      <c r="D588" s="32"/>
      <c r="E588" s="32"/>
      <c r="F588" s="32"/>
      <c r="G588" s="32"/>
      <c r="H588" s="32"/>
      <c r="I588" s="32"/>
      <c r="J588" s="33"/>
      <c r="K588" s="33"/>
      <c r="L588" s="33"/>
      <c r="M588" s="33"/>
      <c r="N588" s="33"/>
      <c r="O588" s="17"/>
      <c r="P588" s="17"/>
      <c r="Q588" s="17"/>
      <c r="R588" s="17"/>
      <c r="S588" s="152"/>
      <c r="T588" s="152"/>
      <c r="U588" s="152"/>
      <c r="V588" s="152"/>
      <c r="W588" s="152"/>
      <c r="X588" s="152"/>
      <c r="Z588" s="152"/>
    </row>
    <row r="589" spans="1:27" x14ac:dyDescent="0.35">
      <c r="B589" s="31"/>
      <c r="C589" s="32"/>
      <c r="D589" s="32"/>
      <c r="E589" s="32"/>
      <c r="F589" s="32"/>
      <c r="G589" s="32"/>
      <c r="H589" s="32"/>
      <c r="I589" s="32"/>
      <c r="J589" s="33"/>
      <c r="K589" s="33"/>
      <c r="L589" s="33"/>
      <c r="M589" s="33"/>
      <c r="N589" s="33"/>
      <c r="O589" s="17"/>
      <c r="P589" s="17"/>
      <c r="Q589" s="17"/>
      <c r="R589" s="17"/>
      <c r="S589" s="152"/>
      <c r="T589" s="152"/>
      <c r="U589" s="152"/>
      <c r="V589" s="152"/>
      <c r="W589" s="152"/>
      <c r="X589" s="152"/>
      <c r="Z589" s="152"/>
    </row>
    <row r="590" spans="1:27" x14ac:dyDescent="0.35">
      <c r="B590" s="31"/>
      <c r="C590" s="32"/>
      <c r="D590" s="32"/>
      <c r="E590" s="32"/>
      <c r="F590" s="32"/>
      <c r="G590" s="32"/>
      <c r="H590" s="32"/>
      <c r="I590" s="32"/>
      <c r="J590" s="33"/>
      <c r="K590" s="33"/>
      <c r="L590" s="33"/>
      <c r="M590" s="33"/>
      <c r="N590" s="33"/>
      <c r="O590" s="17"/>
      <c r="P590" s="17"/>
      <c r="Q590" s="17"/>
      <c r="R590" s="17"/>
      <c r="S590" s="152"/>
      <c r="T590" s="152"/>
      <c r="U590" s="152"/>
      <c r="V590" s="152"/>
      <c r="W590" s="152"/>
      <c r="X590" s="152"/>
      <c r="Z590" s="152"/>
    </row>
    <row r="591" spans="1:27" x14ac:dyDescent="0.35">
      <c r="B591" s="31"/>
      <c r="C591" s="32"/>
      <c r="D591" s="32"/>
      <c r="E591" s="32"/>
      <c r="F591" s="32"/>
      <c r="G591" s="32"/>
      <c r="H591" s="32"/>
      <c r="I591" s="32"/>
      <c r="J591" s="33"/>
      <c r="K591" s="33"/>
      <c r="L591" s="33"/>
      <c r="M591" s="33"/>
      <c r="N591" s="33"/>
      <c r="O591" s="17"/>
      <c r="P591" s="17"/>
      <c r="Q591" s="17"/>
      <c r="R591" s="17"/>
      <c r="S591" s="152"/>
      <c r="T591" s="152"/>
      <c r="U591" s="152"/>
      <c r="V591" s="152"/>
      <c r="W591" s="152"/>
      <c r="X591" s="152"/>
      <c r="Z591" s="152"/>
    </row>
    <row r="592" spans="1:27" x14ac:dyDescent="0.35">
      <c r="B592" s="31"/>
      <c r="C592" s="32"/>
      <c r="D592" s="32"/>
      <c r="E592" s="32"/>
      <c r="F592" s="32"/>
      <c r="G592" s="32"/>
      <c r="H592" s="32"/>
      <c r="I592" s="32"/>
      <c r="J592" s="33"/>
      <c r="K592" s="33"/>
      <c r="L592" s="33"/>
      <c r="M592" s="33"/>
      <c r="N592" s="33"/>
      <c r="O592" s="17"/>
      <c r="P592" s="17"/>
      <c r="Q592" s="17"/>
      <c r="R592" s="17"/>
      <c r="S592" s="152"/>
      <c r="T592" s="152"/>
      <c r="U592" s="152"/>
      <c r="V592" s="152"/>
      <c r="W592" s="152"/>
      <c r="X592" s="152"/>
      <c r="Z592" s="152"/>
    </row>
    <row r="593" spans="2:27" x14ac:dyDescent="0.35">
      <c r="B593" s="31"/>
      <c r="C593" s="32"/>
      <c r="D593" s="32"/>
      <c r="E593" s="32"/>
      <c r="F593" s="32"/>
      <c r="G593" s="32"/>
      <c r="H593" s="32"/>
      <c r="I593" s="32"/>
      <c r="J593" s="33"/>
      <c r="K593" s="33"/>
      <c r="L593" s="33"/>
      <c r="M593" s="33"/>
      <c r="N593" s="33"/>
      <c r="O593" s="17"/>
      <c r="P593" s="17"/>
      <c r="Q593" s="17"/>
      <c r="R593" s="17"/>
      <c r="S593" s="152"/>
      <c r="T593" s="152"/>
      <c r="U593" s="152"/>
      <c r="V593" s="152"/>
      <c r="W593" s="152"/>
      <c r="X593" s="152"/>
      <c r="Z593" s="152"/>
    </row>
    <row r="594" spans="2:27" x14ac:dyDescent="0.35">
      <c r="B594" s="31"/>
      <c r="C594" s="32"/>
      <c r="D594" s="32"/>
      <c r="E594" s="32"/>
      <c r="F594" s="32"/>
      <c r="G594" s="32"/>
      <c r="H594" s="32"/>
      <c r="I594" s="32"/>
      <c r="J594" s="33"/>
      <c r="K594" s="33"/>
      <c r="L594" s="33"/>
      <c r="M594" s="33"/>
      <c r="N594" s="33"/>
      <c r="O594" s="17"/>
      <c r="P594" s="17"/>
      <c r="Q594" s="17"/>
      <c r="R594" s="17"/>
      <c r="S594" s="152"/>
      <c r="T594" s="152"/>
      <c r="U594" s="152"/>
      <c r="V594" s="152"/>
      <c r="W594" s="152"/>
      <c r="X594" s="152"/>
      <c r="Z594" s="152"/>
    </row>
    <row r="595" spans="2:27" x14ac:dyDescent="0.35">
      <c r="B595" s="31"/>
      <c r="C595" s="32"/>
      <c r="D595" s="32"/>
      <c r="E595" s="32"/>
      <c r="F595" s="32"/>
      <c r="G595" s="32"/>
      <c r="H595" s="32"/>
      <c r="I595" s="32"/>
      <c r="J595" s="33"/>
      <c r="K595" s="33"/>
      <c r="L595" s="33"/>
      <c r="M595" s="33"/>
      <c r="N595" s="33"/>
      <c r="O595" s="17"/>
      <c r="P595" s="17"/>
      <c r="Q595" s="17"/>
      <c r="R595" s="17"/>
      <c r="S595" s="152"/>
      <c r="T595" s="152"/>
      <c r="U595" s="152"/>
      <c r="V595" s="152"/>
      <c r="W595" s="152"/>
      <c r="X595" s="152"/>
      <c r="Z595" s="152"/>
    </row>
    <row r="596" spans="2:27" x14ac:dyDescent="0.35">
      <c r="B596" s="31"/>
      <c r="C596" s="32"/>
      <c r="D596" s="32"/>
      <c r="E596" s="32"/>
      <c r="F596" s="32"/>
      <c r="G596" s="32"/>
      <c r="H596" s="32"/>
      <c r="I596" s="32"/>
      <c r="J596" s="33"/>
      <c r="K596" s="33"/>
      <c r="L596" s="33"/>
      <c r="M596" s="33"/>
      <c r="N596" s="33"/>
      <c r="O596" s="17"/>
      <c r="P596" s="17"/>
      <c r="Q596" s="17"/>
      <c r="R596" s="17"/>
      <c r="S596" s="152"/>
      <c r="T596" s="152"/>
      <c r="U596" s="152"/>
      <c r="V596" s="152"/>
      <c r="W596" s="152"/>
      <c r="X596" s="152"/>
      <c r="Z596" s="152"/>
    </row>
    <row r="597" spans="2:27" x14ac:dyDescent="0.35">
      <c r="B597" s="31"/>
      <c r="C597" s="32"/>
      <c r="D597" s="32"/>
      <c r="E597" s="32"/>
      <c r="F597" s="32"/>
      <c r="G597" s="32"/>
      <c r="H597" s="32"/>
      <c r="I597" s="32"/>
      <c r="J597" s="33"/>
      <c r="K597" s="33"/>
      <c r="L597" s="33"/>
      <c r="M597" s="33"/>
      <c r="N597" s="33"/>
      <c r="O597" s="17"/>
      <c r="P597" s="17"/>
      <c r="Q597" s="17"/>
      <c r="R597" s="17"/>
      <c r="S597" s="152"/>
      <c r="T597" s="152"/>
      <c r="U597" s="152"/>
      <c r="V597" s="152"/>
      <c r="W597" s="152"/>
      <c r="X597" s="152"/>
      <c r="Z597" s="152"/>
    </row>
    <row r="598" spans="2:27" x14ac:dyDescent="0.35">
      <c r="B598" s="31"/>
      <c r="C598" s="32"/>
      <c r="D598" s="32"/>
      <c r="E598" s="32"/>
      <c r="F598" s="32"/>
      <c r="G598" s="32"/>
      <c r="H598" s="32"/>
      <c r="I598" s="32"/>
      <c r="J598" s="33"/>
      <c r="K598" s="33"/>
      <c r="L598" s="33"/>
      <c r="M598" s="33"/>
      <c r="N598" s="33"/>
      <c r="O598" s="17"/>
      <c r="P598" s="17"/>
      <c r="Q598" s="17"/>
      <c r="R598" s="17"/>
      <c r="S598" s="152"/>
      <c r="T598" s="152"/>
      <c r="U598" s="152"/>
      <c r="V598" s="152"/>
      <c r="W598" s="152"/>
      <c r="X598" s="152"/>
      <c r="Z598" s="152"/>
    </row>
    <row r="599" spans="2:27" x14ac:dyDescent="0.35">
      <c r="B599" s="31"/>
      <c r="C599" s="32"/>
      <c r="D599" s="32"/>
      <c r="E599" s="32"/>
      <c r="F599" s="32"/>
      <c r="G599" s="32"/>
      <c r="H599" s="32"/>
      <c r="I599" s="32"/>
      <c r="J599" s="33"/>
      <c r="K599" s="33"/>
      <c r="L599" s="33"/>
      <c r="M599" s="33"/>
      <c r="N599" s="33"/>
      <c r="O599" s="17"/>
      <c r="P599" s="17"/>
      <c r="Q599" s="17"/>
      <c r="R599" s="17"/>
      <c r="S599" s="152"/>
      <c r="T599" s="152"/>
      <c r="U599" s="152"/>
      <c r="V599" s="152"/>
      <c r="W599" s="152"/>
      <c r="X599" s="152"/>
      <c r="Z599" s="152"/>
    </row>
    <row r="600" spans="2:27" x14ac:dyDescent="0.35">
      <c r="B600" s="31"/>
      <c r="C600" s="32"/>
      <c r="D600" s="32"/>
      <c r="E600" s="32"/>
      <c r="F600" s="32"/>
      <c r="G600" s="32"/>
      <c r="H600" s="32"/>
      <c r="I600" s="32"/>
      <c r="J600" s="33"/>
      <c r="K600" s="33"/>
      <c r="L600" s="33"/>
      <c r="M600" s="33"/>
      <c r="N600" s="33"/>
      <c r="O600" s="17"/>
      <c r="P600" s="17"/>
      <c r="Q600" s="17"/>
      <c r="R600" s="17"/>
      <c r="S600" s="152"/>
      <c r="T600" s="152"/>
      <c r="U600" s="152"/>
      <c r="V600" s="152"/>
      <c r="W600" s="152"/>
      <c r="X600" s="152"/>
      <c r="Z600" s="152"/>
    </row>
    <row r="601" spans="2:27" x14ac:dyDescent="0.35">
      <c r="B601" s="31"/>
      <c r="C601" s="32"/>
      <c r="D601" s="32"/>
      <c r="E601" s="32"/>
      <c r="F601" s="32"/>
      <c r="G601" s="32"/>
      <c r="H601" s="32"/>
      <c r="I601" s="32"/>
      <c r="J601" s="33"/>
      <c r="K601" s="33"/>
      <c r="L601" s="33"/>
      <c r="M601" s="33"/>
      <c r="N601" s="33"/>
      <c r="O601" s="17"/>
      <c r="P601" s="17"/>
      <c r="Q601" s="17"/>
      <c r="R601" s="17"/>
      <c r="S601" s="152"/>
      <c r="T601" s="152"/>
      <c r="U601" s="152"/>
      <c r="V601" s="152"/>
      <c r="W601" s="152"/>
      <c r="X601" s="152"/>
      <c r="Z601" s="152"/>
    </row>
    <row r="602" spans="2:27" x14ac:dyDescent="0.35">
      <c r="B602" s="31"/>
      <c r="C602" s="32"/>
      <c r="D602" s="32"/>
      <c r="E602" s="32"/>
      <c r="F602" s="32"/>
      <c r="G602" s="32"/>
      <c r="H602" s="32"/>
      <c r="I602" s="32"/>
      <c r="J602" s="33"/>
      <c r="K602" s="33"/>
      <c r="L602" s="33"/>
      <c r="M602" s="33"/>
      <c r="N602" s="33"/>
      <c r="O602" s="17"/>
      <c r="P602" s="17"/>
      <c r="Q602" s="17"/>
      <c r="R602" s="17"/>
      <c r="S602" s="152"/>
      <c r="T602" s="152"/>
      <c r="U602" s="152"/>
      <c r="V602" s="152"/>
      <c r="W602" s="152"/>
      <c r="X602" s="152"/>
      <c r="Z602" s="152"/>
    </row>
    <row r="603" spans="2:27" x14ac:dyDescent="0.35">
      <c r="B603" s="31"/>
      <c r="C603" s="32"/>
      <c r="D603" s="32"/>
      <c r="E603" s="32"/>
      <c r="F603" s="32"/>
      <c r="G603" s="32"/>
      <c r="H603" s="32"/>
      <c r="I603" s="32"/>
      <c r="J603" s="33"/>
      <c r="K603" s="33"/>
      <c r="L603" s="33"/>
      <c r="M603" s="33"/>
      <c r="N603" s="33"/>
      <c r="O603" s="17"/>
      <c r="P603" s="17"/>
      <c r="Q603" s="17"/>
      <c r="R603" s="17"/>
      <c r="S603" s="152"/>
      <c r="T603" s="152"/>
      <c r="U603" s="152"/>
      <c r="V603" s="152"/>
      <c r="W603" s="152"/>
      <c r="X603" s="152"/>
      <c r="Z603" s="152"/>
    </row>
    <row r="604" spans="2:27" x14ac:dyDescent="0.35">
      <c r="B604" s="84"/>
      <c r="C604" s="61"/>
      <c r="D604" s="61"/>
      <c r="E604" s="61"/>
      <c r="F604" s="61"/>
      <c r="G604" s="61"/>
      <c r="H604" s="61"/>
      <c r="I604" s="61"/>
      <c r="J604" s="65"/>
      <c r="K604" s="65"/>
      <c r="L604" s="65"/>
      <c r="M604" s="33"/>
      <c r="O604" s="17"/>
      <c r="P604" s="17"/>
      <c r="Q604" s="17"/>
      <c r="R604" s="17"/>
      <c r="S604" s="152"/>
      <c r="T604" s="152"/>
      <c r="U604" s="152"/>
      <c r="V604" s="152"/>
      <c r="W604" s="152"/>
      <c r="X604" s="152"/>
      <c r="Z604" s="152"/>
    </row>
    <row r="605" spans="2:27" x14ac:dyDescent="0.35">
      <c r="B605" s="84" t="s">
        <v>259</v>
      </c>
      <c r="C605" s="61"/>
      <c r="D605" s="61"/>
      <c r="E605" s="61"/>
      <c r="F605" s="61"/>
      <c r="G605" s="61"/>
      <c r="H605" s="61"/>
      <c r="I605" s="61"/>
      <c r="J605" s="419"/>
      <c r="K605" s="565"/>
      <c r="L605" s="666"/>
      <c r="M605" s="33"/>
      <c r="N605" s="85" t="s">
        <v>258</v>
      </c>
      <c r="O605" s="419"/>
      <c r="P605" s="419"/>
      <c r="Q605" s="419"/>
      <c r="R605" s="419"/>
      <c r="S605" s="419"/>
      <c r="T605" s="419"/>
      <c r="U605" s="419"/>
      <c r="V605" s="419"/>
      <c r="W605" s="565"/>
      <c r="X605" s="666"/>
      <c r="Y605" s="141" t="s">
        <v>2</v>
      </c>
    </row>
    <row r="606" spans="2:27" x14ac:dyDescent="0.35">
      <c r="B606" s="185" t="s">
        <v>70</v>
      </c>
      <c r="C606" s="123">
        <v>2016</v>
      </c>
      <c r="D606" s="140">
        <v>2017</v>
      </c>
      <c r="E606" s="140">
        <v>2018</v>
      </c>
      <c r="F606" s="123">
        <v>2019</v>
      </c>
      <c r="G606" s="123">
        <v>2020</v>
      </c>
      <c r="H606" s="123">
        <v>2021</v>
      </c>
      <c r="I606" s="123">
        <v>2022</v>
      </c>
      <c r="J606" s="123">
        <v>2023</v>
      </c>
      <c r="K606" s="123">
        <v>2024</v>
      </c>
      <c r="L606" s="123">
        <v>2025</v>
      </c>
      <c r="M606" s="33"/>
      <c r="N606" s="185" t="s">
        <v>70</v>
      </c>
      <c r="O606" s="124">
        <v>2016</v>
      </c>
      <c r="P606" s="123">
        <v>2017</v>
      </c>
      <c r="Q606" s="140">
        <v>2018</v>
      </c>
      <c r="R606" s="140">
        <v>2019</v>
      </c>
      <c r="S606" s="140">
        <v>2020</v>
      </c>
      <c r="T606" s="140">
        <v>2021</v>
      </c>
      <c r="U606" s="140">
        <v>2022</v>
      </c>
      <c r="V606" s="140">
        <v>2023</v>
      </c>
      <c r="W606" s="140">
        <v>2024</v>
      </c>
      <c r="X606" s="140">
        <v>2025</v>
      </c>
      <c r="Y606" s="123" t="str">
        <f>$Y$98</f>
        <v>2020-2025</v>
      </c>
      <c r="AA606" s="304">
        <f>SUM(O607:X609)</f>
        <v>11706.93494426677</v>
      </c>
    </row>
    <row r="607" spans="2:27" x14ac:dyDescent="0.35">
      <c r="B607" s="24" t="s">
        <v>199</v>
      </c>
      <c r="C607" s="55">
        <f>'Ethernet-Total'!E48</f>
        <v>7189721.1434980687</v>
      </c>
      <c r="D607" s="55">
        <f>'Ethernet-Total'!F48</f>
        <v>7776607.445764591</v>
      </c>
      <c r="E607" s="55">
        <f>'Ethernet-Total'!G48</f>
        <v>0</v>
      </c>
      <c r="F607" s="55">
        <f>'Ethernet-Total'!H48</f>
        <v>0</v>
      </c>
      <c r="G607" s="55">
        <f>'Ethernet-Total'!I48</f>
        <v>0</v>
      </c>
      <c r="H607" s="55">
        <f>'Ethernet-Total'!J48</f>
        <v>0</v>
      </c>
      <c r="I607" s="55">
        <f>'Ethernet-Total'!K48</f>
        <v>0</v>
      </c>
      <c r="J607" s="55">
        <f>'Ethernet-Total'!L48</f>
        <v>0</v>
      </c>
      <c r="K607" s="10">
        <f>'Ethernet-Total'!M48</f>
        <v>0</v>
      </c>
      <c r="L607" s="10">
        <f>'Ethernet-Total'!N48</f>
        <v>0</v>
      </c>
      <c r="M607" s="33"/>
      <c r="N607" s="24" t="str">
        <f>B607</f>
        <v>China</v>
      </c>
      <c r="O607" s="125">
        <f>'Ethernet-Total'!E91</f>
        <v>553.64846512280621</v>
      </c>
      <c r="P607" s="125">
        <f>'Ethernet-Total'!F91</f>
        <v>507.58220165509556</v>
      </c>
      <c r="Q607" s="125">
        <f>'Ethernet-Total'!G91</f>
        <v>0</v>
      </c>
      <c r="R607" s="125">
        <f>'Ethernet-Total'!H91</f>
        <v>0</v>
      </c>
      <c r="S607" s="125">
        <f>'Ethernet-Total'!I91</f>
        <v>0</v>
      </c>
      <c r="T607" s="125">
        <f>'Ethernet-Total'!J91</f>
        <v>0</v>
      </c>
      <c r="U607" s="125">
        <f>'Ethernet-Total'!K91</f>
        <v>0</v>
      </c>
      <c r="V607" s="125">
        <f>'Ethernet-Total'!L91</f>
        <v>0</v>
      </c>
      <c r="W607" s="125">
        <f>'Ethernet-Total'!M91</f>
        <v>0</v>
      </c>
      <c r="X607" s="125">
        <f>'Ethernet-Total'!N91</f>
        <v>0</v>
      </c>
      <c r="Y607" s="153" t="e">
        <f>(X607/S607)^(1/5)-1</f>
        <v>#DIV/0!</v>
      </c>
      <c r="AA607" s="305">
        <f>SUM('Ethernet-Total'!E208:N226)</f>
        <v>11706.934944266774</v>
      </c>
    </row>
    <row r="608" spans="2:27" x14ac:dyDescent="0.35">
      <c r="B608" s="24" t="s">
        <v>224</v>
      </c>
      <c r="C608" s="55">
        <f>'Ethernet-Total'!E115</f>
        <v>28978639.891501937</v>
      </c>
      <c r="D608" s="55">
        <f>'Ethernet-Total'!F115</f>
        <v>30301175.704235412</v>
      </c>
      <c r="E608" s="55">
        <f>'Ethernet-Total'!G115</f>
        <v>0</v>
      </c>
      <c r="F608" s="55">
        <f>'Ethernet-Total'!H115</f>
        <v>0</v>
      </c>
      <c r="G608" s="55">
        <f>'Ethernet-Total'!I115</f>
        <v>0</v>
      </c>
      <c r="H608" s="55">
        <f>'Ethernet-Total'!J115</f>
        <v>0</v>
      </c>
      <c r="I608" s="55">
        <f>'Ethernet-Total'!K115</f>
        <v>0</v>
      </c>
      <c r="J608" s="55">
        <f>'Ethernet-Total'!L115</f>
        <v>0</v>
      </c>
      <c r="K608" s="10">
        <f>'Ethernet-Total'!M115</f>
        <v>0</v>
      </c>
      <c r="L608" s="10">
        <f>'Ethernet-Total'!N115</f>
        <v>0</v>
      </c>
      <c r="M608" s="33"/>
      <c r="N608" s="24" t="str">
        <f>B608</f>
        <v>Rest of World</v>
      </c>
      <c r="O608" s="69">
        <f>'Ethernet-Total'!E158</f>
        <v>2123.9206341623808</v>
      </c>
      <c r="P608" s="69">
        <f>'Ethernet-Total'!F158</f>
        <v>2668.3161711931034</v>
      </c>
      <c r="Q608" s="69">
        <f>'Ethernet-Total'!G158</f>
        <v>0</v>
      </c>
      <c r="R608" s="69">
        <f>'Ethernet-Total'!H158</f>
        <v>0</v>
      </c>
      <c r="S608" s="69">
        <f>'Ethernet-Total'!I158</f>
        <v>0</v>
      </c>
      <c r="T608" s="69">
        <f>'Ethernet-Total'!J158</f>
        <v>0</v>
      </c>
      <c r="U608" s="69">
        <f>'Ethernet-Total'!K158</f>
        <v>0</v>
      </c>
      <c r="V608" s="69">
        <f>'Ethernet-Total'!L158</f>
        <v>0</v>
      </c>
      <c r="W608" s="69">
        <f>'Ethernet-Total'!M158</f>
        <v>0</v>
      </c>
      <c r="X608" s="69">
        <f>'Ethernet-Total'!N158</f>
        <v>0</v>
      </c>
      <c r="Y608" s="154" t="e">
        <f>(X608/S608)^(1/5)-1</f>
        <v>#DIV/0!</v>
      </c>
      <c r="AA608" s="304"/>
    </row>
    <row r="609" spans="1:27" x14ac:dyDescent="0.35">
      <c r="B609" s="187" t="s">
        <v>253</v>
      </c>
      <c r="C609" s="193">
        <f t="shared" ref="C609:L609" si="78">C608+C607</f>
        <v>36168361.035000004</v>
      </c>
      <c r="D609" s="193">
        <f t="shared" si="78"/>
        <v>38077783.150000006</v>
      </c>
      <c r="E609" s="193">
        <f t="shared" si="78"/>
        <v>0</v>
      </c>
      <c r="F609" s="193">
        <f t="shared" si="78"/>
        <v>0</v>
      </c>
      <c r="G609" s="193">
        <f t="shared" si="78"/>
        <v>0</v>
      </c>
      <c r="H609" s="193">
        <f t="shared" si="78"/>
        <v>0</v>
      </c>
      <c r="I609" s="193">
        <f t="shared" si="78"/>
        <v>0</v>
      </c>
      <c r="J609" s="193">
        <f t="shared" si="78"/>
        <v>0</v>
      </c>
      <c r="K609" s="130">
        <f t="shared" si="78"/>
        <v>0</v>
      </c>
      <c r="L609" s="130">
        <f t="shared" si="78"/>
        <v>0</v>
      </c>
      <c r="M609" s="33"/>
      <c r="N609" s="187" t="str">
        <f>B609</f>
        <v>Global</v>
      </c>
      <c r="O609" s="329">
        <f t="shared" ref="O609:X609" si="79">O608+O607</f>
        <v>2677.5690992851869</v>
      </c>
      <c r="P609" s="329">
        <f t="shared" si="79"/>
        <v>3175.898372848199</v>
      </c>
      <c r="Q609" s="329">
        <f t="shared" si="79"/>
        <v>0</v>
      </c>
      <c r="R609" s="329">
        <f t="shared" si="79"/>
        <v>0</v>
      </c>
      <c r="S609" s="329">
        <f t="shared" si="79"/>
        <v>0</v>
      </c>
      <c r="T609" s="329">
        <f t="shared" si="79"/>
        <v>0</v>
      </c>
      <c r="U609" s="329">
        <f t="shared" si="79"/>
        <v>0</v>
      </c>
      <c r="V609" s="329">
        <f t="shared" si="79"/>
        <v>0</v>
      </c>
      <c r="W609" s="329">
        <f t="shared" si="79"/>
        <v>0</v>
      </c>
      <c r="X609" s="329">
        <f t="shared" si="79"/>
        <v>0</v>
      </c>
      <c r="Y609" s="159" t="e">
        <f>(X609/S609)^(1/5)-1</f>
        <v>#DIV/0!</v>
      </c>
      <c r="AA609" s="716">
        <f>SUM(O607:X607)</f>
        <v>1061.2306667779017</v>
      </c>
    </row>
    <row r="610" spans="1:27" x14ac:dyDescent="0.35">
      <c r="B610" s="454" t="s">
        <v>273</v>
      </c>
      <c r="C610" s="455">
        <f t="shared" ref="C610:L610" si="80">C607/C609</f>
        <v>0.19878482015097668</v>
      </c>
      <c r="D610" s="455">
        <f t="shared" si="80"/>
        <v>0.20422952184821688</v>
      </c>
      <c r="E610" s="455" t="e">
        <f t="shared" si="80"/>
        <v>#DIV/0!</v>
      </c>
      <c r="F610" s="455" t="e">
        <f t="shared" si="80"/>
        <v>#DIV/0!</v>
      </c>
      <c r="G610" s="455" t="e">
        <f t="shared" si="80"/>
        <v>#DIV/0!</v>
      </c>
      <c r="H610" s="455" t="e">
        <f t="shared" si="80"/>
        <v>#DIV/0!</v>
      </c>
      <c r="I610" s="455" t="e">
        <f t="shared" si="80"/>
        <v>#DIV/0!</v>
      </c>
      <c r="J610" s="455" t="e">
        <f t="shared" si="80"/>
        <v>#DIV/0!</v>
      </c>
      <c r="K610" s="455" t="e">
        <f t="shared" si="80"/>
        <v>#DIV/0!</v>
      </c>
      <c r="L610" s="455" t="e">
        <f t="shared" si="80"/>
        <v>#DIV/0!</v>
      </c>
      <c r="M610" s="33"/>
      <c r="N610" s="454" t="s">
        <v>273</v>
      </c>
      <c r="O610" s="455">
        <f t="shared" ref="O610:X610" si="81">O607/O609</f>
        <v>0.20677280196825176</v>
      </c>
      <c r="P610" s="455">
        <f t="shared" si="81"/>
        <v>0.15982318766701822</v>
      </c>
      <c r="Q610" s="455" t="e">
        <f t="shared" si="81"/>
        <v>#DIV/0!</v>
      </c>
      <c r="R610" s="455" t="e">
        <f t="shared" si="81"/>
        <v>#DIV/0!</v>
      </c>
      <c r="S610" s="455" t="e">
        <f t="shared" si="81"/>
        <v>#DIV/0!</v>
      </c>
      <c r="T610" s="455" t="e">
        <f t="shared" si="81"/>
        <v>#DIV/0!</v>
      </c>
      <c r="U610" s="455" t="e">
        <f t="shared" si="81"/>
        <v>#DIV/0!</v>
      </c>
      <c r="V610" s="455" t="e">
        <f t="shared" si="81"/>
        <v>#DIV/0!</v>
      </c>
      <c r="W610" s="455" t="e">
        <f t="shared" si="81"/>
        <v>#DIV/0!</v>
      </c>
      <c r="X610" s="455" t="e">
        <f t="shared" si="81"/>
        <v>#DIV/0!</v>
      </c>
      <c r="AA610" s="716">
        <f>AA704</f>
        <v>1061.230667</v>
      </c>
    </row>
    <row r="611" spans="1:27" x14ac:dyDescent="0.35">
      <c r="B611" s="453"/>
      <c r="C611" s="20"/>
      <c r="D611" s="20"/>
      <c r="E611" s="20"/>
      <c r="F611" s="20"/>
      <c r="G611" s="20"/>
      <c r="H611" s="20"/>
      <c r="I611" s="20"/>
      <c r="J611" s="20"/>
      <c r="K611" s="20"/>
      <c r="L611" s="20"/>
      <c r="M611" s="33"/>
      <c r="N611" s="453"/>
      <c r="O611" s="20"/>
      <c r="P611" s="20"/>
      <c r="Q611" s="20"/>
      <c r="R611" s="20"/>
      <c r="S611" s="20"/>
      <c r="T611" s="20"/>
      <c r="U611" s="20"/>
      <c r="V611" s="20"/>
      <c r="W611" s="20"/>
      <c r="X611" s="20"/>
    </row>
    <row r="612" spans="1:27" x14ac:dyDescent="0.35">
      <c r="A612" s="56"/>
      <c r="B612" s="93" t="s">
        <v>290</v>
      </c>
      <c r="C612" s="61"/>
      <c r="D612" s="61"/>
      <c r="E612" s="61"/>
      <c r="F612" s="61"/>
      <c r="G612" s="61"/>
      <c r="H612" s="61"/>
      <c r="I612" s="61"/>
      <c r="J612" s="50"/>
      <c r="K612" s="50"/>
      <c r="L612" s="50"/>
      <c r="M612" s="50"/>
      <c r="N612" s="93" t="s">
        <v>272</v>
      </c>
      <c r="O612" s="17"/>
      <c r="P612" s="17"/>
      <c r="Q612" s="17"/>
      <c r="R612" s="17"/>
      <c r="S612" s="152"/>
      <c r="T612" s="152"/>
      <c r="U612" s="152"/>
      <c r="V612" s="152"/>
      <c r="W612" s="152"/>
      <c r="X612" s="152"/>
      <c r="Z612" s="152"/>
    </row>
    <row r="613" spans="1:27" x14ac:dyDescent="0.35">
      <c r="B613" s="31"/>
      <c r="C613" s="32"/>
      <c r="D613" s="32"/>
      <c r="E613" s="32"/>
      <c r="F613" s="32"/>
      <c r="G613" s="32"/>
      <c r="H613" s="32"/>
      <c r="I613" s="32"/>
      <c r="J613" s="33"/>
      <c r="K613" s="33"/>
      <c r="L613" s="33"/>
      <c r="M613" s="33"/>
      <c r="N613" s="33"/>
      <c r="O613" s="17"/>
      <c r="P613" s="17"/>
      <c r="Q613" s="17"/>
      <c r="R613" s="17"/>
      <c r="S613" s="152"/>
      <c r="T613" s="152"/>
      <c r="U613" s="152"/>
      <c r="V613" s="152"/>
      <c r="W613" s="152"/>
      <c r="X613" s="152"/>
      <c r="Z613" s="152"/>
    </row>
    <row r="614" spans="1:27" x14ac:dyDescent="0.35">
      <c r="B614" s="31"/>
      <c r="C614" s="32"/>
      <c r="D614" s="32"/>
      <c r="E614" s="32"/>
      <c r="F614" s="32"/>
      <c r="G614" s="32"/>
      <c r="H614" s="32"/>
      <c r="I614" s="32"/>
      <c r="J614" s="33"/>
      <c r="K614" s="33"/>
      <c r="L614" s="33"/>
      <c r="M614" s="33"/>
      <c r="N614" s="33"/>
      <c r="O614" s="17"/>
      <c r="P614" s="17"/>
      <c r="Q614" s="17"/>
      <c r="R614" s="17"/>
      <c r="S614" s="152"/>
      <c r="T614" s="152"/>
      <c r="U614" s="152"/>
      <c r="V614" s="152"/>
      <c r="W614" s="152"/>
      <c r="X614" s="152"/>
      <c r="Z614" s="152"/>
    </row>
    <row r="615" spans="1:27" x14ac:dyDescent="0.35">
      <c r="B615" s="31"/>
      <c r="C615" s="32"/>
      <c r="D615" s="32"/>
      <c r="E615" s="32"/>
      <c r="F615" s="32"/>
      <c r="G615" s="32"/>
      <c r="H615" s="32"/>
      <c r="I615" s="32"/>
      <c r="J615" s="33"/>
      <c r="K615" s="33"/>
      <c r="L615" s="33"/>
      <c r="M615" s="33"/>
      <c r="N615" s="33"/>
      <c r="O615" s="17"/>
      <c r="P615" s="17"/>
      <c r="Q615" s="17"/>
      <c r="R615" s="17"/>
      <c r="S615" s="152"/>
      <c r="T615" s="152"/>
      <c r="U615" s="152"/>
      <c r="V615" s="152"/>
      <c r="W615" s="152"/>
      <c r="X615" s="152"/>
      <c r="Z615" s="152"/>
    </row>
    <row r="616" spans="1:27" x14ac:dyDescent="0.35">
      <c r="B616" s="31"/>
      <c r="C616" s="32"/>
      <c r="D616" s="32"/>
      <c r="E616" s="32"/>
      <c r="F616" s="32"/>
      <c r="G616" s="32"/>
      <c r="H616" s="32"/>
      <c r="I616" s="32"/>
      <c r="J616" s="33"/>
      <c r="K616" s="33"/>
      <c r="L616" s="33"/>
      <c r="M616" s="33"/>
      <c r="N616" s="33"/>
      <c r="O616" s="17"/>
      <c r="P616" s="17"/>
      <c r="Q616" s="17"/>
      <c r="R616" s="17"/>
      <c r="S616" s="152"/>
      <c r="T616" s="152"/>
      <c r="U616" s="152"/>
      <c r="V616" s="152"/>
      <c r="W616" s="152"/>
      <c r="X616" s="152"/>
      <c r="Z616" s="152"/>
    </row>
    <row r="617" spans="1:27" x14ac:dyDescent="0.35">
      <c r="B617" s="31"/>
      <c r="C617" s="32"/>
      <c r="D617" s="32"/>
      <c r="E617" s="32"/>
      <c r="F617" s="32"/>
      <c r="G617" s="32"/>
      <c r="H617" s="32"/>
      <c r="I617" s="32"/>
      <c r="J617" s="33"/>
      <c r="K617" s="33"/>
      <c r="L617" s="33"/>
      <c r="M617" s="33"/>
      <c r="N617" s="33"/>
      <c r="O617" s="17"/>
      <c r="P617" s="17"/>
      <c r="Q617" s="17"/>
      <c r="R617" s="17"/>
      <c r="S617" s="152"/>
      <c r="T617" s="152"/>
      <c r="U617" s="152"/>
      <c r="V617" s="152"/>
      <c r="W617" s="152"/>
      <c r="X617" s="152"/>
      <c r="Z617" s="152"/>
    </row>
    <row r="618" spans="1:27" x14ac:dyDescent="0.35">
      <c r="B618" s="31"/>
      <c r="C618" s="32"/>
      <c r="D618" s="32"/>
      <c r="E618" s="32"/>
      <c r="F618" s="32"/>
      <c r="G618" s="32"/>
      <c r="H618" s="32"/>
      <c r="I618" s="32"/>
      <c r="J618" s="33"/>
      <c r="K618" s="33"/>
      <c r="L618" s="33"/>
      <c r="M618" s="33"/>
      <c r="N618" s="33"/>
      <c r="O618" s="17"/>
      <c r="P618" s="17"/>
      <c r="Q618" s="17"/>
      <c r="R618" s="17"/>
      <c r="S618" s="152"/>
      <c r="T618" s="152"/>
      <c r="U618" s="152"/>
      <c r="V618" s="152"/>
      <c r="W618" s="152"/>
      <c r="X618" s="152"/>
      <c r="Z618" s="152"/>
    </row>
    <row r="619" spans="1:27" x14ac:dyDescent="0.35">
      <c r="B619" s="31"/>
      <c r="C619" s="32"/>
      <c r="D619" s="32"/>
      <c r="E619" s="32"/>
      <c r="F619" s="32"/>
      <c r="G619" s="32"/>
      <c r="H619" s="32"/>
      <c r="I619" s="32"/>
      <c r="J619" s="33"/>
      <c r="K619" s="33"/>
      <c r="L619" s="33"/>
      <c r="M619" s="33"/>
      <c r="N619" s="33"/>
      <c r="O619" s="17"/>
      <c r="P619" s="17"/>
      <c r="Q619" s="17"/>
      <c r="R619" s="17"/>
      <c r="S619" s="152"/>
      <c r="T619" s="152"/>
      <c r="U619" s="152"/>
      <c r="V619" s="152"/>
      <c r="W619" s="152"/>
      <c r="X619" s="152"/>
      <c r="Z619" s="152"/>
    </row>
    <row r="620" spans="1:27" x14ac:dyDescent="0.35">
      <c r="B620" s="31"/>
      <c r="C620" s="32"/>
      <c r="D620" s="32"/>
      <c r="E620" s="32"/>
      <c r="F620" s="32"/>
      <c r="G620" s="32"/>
      <c r="H620" s="32"/>
      <c r="I620" s="32"/>
      <c r="J620" s="33"/>
      <c r="K620" s="33"/>
      <c r="L620" s="33"/>
      <c r="M620" s="33"/>
      <c r="N620" s="33"/>
      <c r="O620" s="17"/>
      <c r="P620" s="17"/>
      <c r="Q620" s="17"/>
      <c r="R620" s="17"/>
      <c r="S620" s="152"/>
      <c r="T620" s="152"/>
      <c r="U620" s="152"/>
      <c r="V620" s="152"/>
      <c r="W620" s="152"/>
      <c r="X620" s="152"/>
      <c r="Z620" s="152"/>
    </row>
    <row r="621" spans="1:27" x14ac:dyDescent="0.35">
      <c r="B621" s="31"/>
      <c r="C621" s="32"/>
      <c r="D621" s="32"/>
      <c r="E621" s="32"/>
      <c r="F621" s="32"/>
      <c r="G621" s="32"/>
      <c r="H621" s="32"/>
      <c r="I621" s="32"/>
      <c r="J621" s="33"/>
      <c r="K621" s="33"/>
      <c r="L621" s="33"/>
      <c r="M621" s="33"/>
      <c r="N621" s="33"/>
      <c r="O621" s="17"/>
      <c r="P621" s="17"/>
      <c r="Q621" s="17"/>
      <c r="R621" s="17"/>
      <c r="S621" s="152"/>
      <c r="T621" s="152"/>
      <c r="U621" s="152"/>
      <c r="V621" s="152"/>
      <c r="W621" s="152"/>
      <c r="X621" s="152"/>
      <c r="Z621" s="152"/>
    </row>
    <row r="622" spans="1:27" x14ac:dyDescent="0.35">
      <c r="B622" s="31"/>
      <c r="C622" s="32"/>
      <c r="D622" s="32"/>
      <c r="E622" s="32"/>
      <c r="F622" s="32"/>
      <c r="G622" s="32"/>
      <c r="H622" s="32"/>
      <c r="I622" s="32"/>
      <c r="J622" s="33"/>
      <c r="K622" s="33"/>
      <c r="L622" s="33"/>
      <c r="M622" s="33"/>
      <c r="N622" s="33"/>
      <c r="O622" s="17"/>
      <c r="P622" s="17"/>
      <c r="Q622" s="17"/>
      <c r="R622" s="17"/>
      <c r="S622" s="152"/>
      <c r="T622" s="152"/>
      <c r="U622" s="152"/>
      <c r="V622" s="152"/>
      <c r="W622" s="152"/>
      <c r="X622" s="152"/>
      <c r="Z622" s="152"/>
    </row>
    <row r="623" spans="1:27" x14ac:dyDescent="0.35">
      <c r="B623" s="31"/>
      <c r="C623" s="32"/>
      <c r="D623" s="32"/>
      <c r="E623" s="32"/>
      <c r="F623" s="32"/>
      <c r="G623" s="32"/>
      <c r="H623" s="32"/>
      <c r="I623" s="32"/>
      <c r="J623" s="33"/>
      <c r="K623" s="33"/>
      <c r="L623" s="33"/>
      <c r="M623" s="33"/>
      <c r="N623" s="33"/>
      <c r="O623" s="17"/>
      <c r="P623" s="17"/>
      <c r="Q623" s="17"/>
      <c r="R623" s="17"/>
      <c r="S623" s="152"/>
      <c r="T623" s="152"/>
      <c r="U623" s="152"/>
      <c r="V623" s="152"/>
      <c r="W623" s="152"/>
      <c r="X623" s="152"/>
      <c r="Z623" s="152"/>
    </row>
    <row r="624" spans="1:27" x14ac:dyDescent="0.35">
      <c r="B624" s="31"/>
      <c r="C624" s="32"/>
      <c r="D624" s="32"/>
      <c r="E624" s="32"/>
      <c r="F624" s="32"/>
      <c r="G624" s="32"/>
      <c r="H624" s="32"/>
      <c r="I624" s="32"/>
      <c r="J624" s="33"/>
      <c r="K624" s="33"/>
      <c r="L624" s="33"/>
      <c r="M624" s="33"/>
      <c r="N624" s="33"/>
      <c r="O624" s="17"/>
      <c r="P624" s="17"/>
      <c r="Q624" s="17"/>
      <c r="R624" s="17"/>
      <c r="S624" s="152"/>
      <c r="T624" s="152"/>
      <c r="U624" s="152"/>
      <c r="V624" s="152"/>
      <c r="W624" s="152"/>
      <c r="X624" s="152"/>
      <c r="Z624" s="152"/>
    </row>
    <row r="625" spans="2:27" x14ac:dyDescent="0.35">
      <c r="B625" s="31"/>
      <c r="C625" s="32"/>
      <c r="D625" s="32"/>
      <c r="E625" s="32"/>
      <c r="F625" s="32"/>
      <c r="G625" s="32"/>
      <c r="H625" s="32"/>
      <c r="I625" s="32"/>
      <c r="J625" s="33"/>
      <c r="K625" s="33"/>
      <c r="L625" s="33"/>
      <c r="M625" s="33"/>
      <c r="N625" s="33"/>
      <c r="O625" s="17"/>
      <c r="P625" s="17"/>
      <c r="Q625" s="17"/>
      <c r="R625" s="17"/>
      <c r="S625" s="152"/>
      <c r="T625" s="152"/>
      <c r="U625" s="152"/>
      <c r="V625" s="152"/>
      <c r="W625" s="152"/>
      <c r="X625" s="152"/>
      <c r="Z625" s="152"/>
    </row>
    <row r="626" spans="2:27" x14ac:dyDescent="0.35">
      <c r="B626" s="31"/>
      <c r="C626" s="32"/>
      <c r="D626" s="32"/>
      <c r="E626" s="32"/>
      <c r="F626" s="32"/>
      <c r="G626" s="32"/>
      <c r="H626" s="32"/>
      <c r="I626" s="32"/>
      <c r="J626" s="33"/>
      <c r="K626" s="33"/>
      <c r="L626" s="33"/>
      <c r="M626" s="33"/>
      <c r="N626" s="33"/>
      <c r="O626" s="17"/>
      <c r="P626" s="17"/>
      <c r="Q626" s="17"/>
      <c r="R626" s="17"/>
      <c r="S626" s="152"/>
      <c r="T626" s="152"/>
      <c r="U626" s="152"/>
      <c r="V626" s="152"/>
      <c r="W626" s="152"/>
      <c r="X626" s="152"/>
      <c r="Z626" s="152"/>
    </row>
    <row r="627" spans="2:27" x14ac:dyDescent="0.35">
      <c r="B627" s="31"/>
      <c r="C627" s="32"/>
      <c r="D627" s="32"/>
      <c r="E627" s="32"/>
      <c r="F627" s="32"/>
      <c r="G627" s="32"/>
      <c r="H627" s="32"/>
      <c r="I627" s="32"/>
      <c r="J627" s="33"/>
      <c r="K627" s="33"/>
      <c r="L627" s="33"/>
      <c r="M627" s="33"/>
      <c r="N627" s="33"/>
      <c r="O627" s="17"/>
      <c r="P627" s="17"/>
      <c r="Q627" s="17"/>
      <c r="R627" s="17"/>
      <c r="S627" s="152"/>
      <c r="T627" s="152"/>
      <c r="U627" s="152"/>
      <c r="V627" s="152"/>
      <c r="W627" s="152"/>
      <c r="X627" s="152"/>
      <c r="Z627" s="152"/>
    </row>
    <row r="628" spans="2:27" x14ac:dyDescent="0.35">
      <c r="B628" s="31"/>
      <c r="C628" s="32"/>
      <c r="D628" s="32"/>
      <c r="E628" s="32"/>
      <c r="F628" s="32"/>
      <c r="G628" s="32"/>
      <c r="H628" s="32"/>
      <c r="I628" s="32"/>
      <c r="J628" s="33"/>
      <c r="K628" s="33"/>
      <c r="L628" s="33"/>
      <c r="M628" s="33"/>
      <c r="N628" s="33"/>
      <c r="O628" s="17"/>
      <c r="P628" s="17"/>
      <c r="Q628" s="17"/>
      <c r="R628" s="17"/>
      <c r="S628" s="152"/>
      <c r="T628" s="152"/>
      <c r="U628" s="152"/>
      <c r="V628" s="152"/>
      <c r="W628" s="152"/>
      <c r="X628" s="152"/>
      <c r="Z628" s="152"/>
    </row>
    <row r="629" spans="2:27" x14ac:dyDescent="0.35">
      <c r="B629" s="31"/>
      <c r="C629" s="32"/>
      <c r="D629" s="32"/>
      <c r="E629" s="32"/>
      <c r="F629" s="32"/>
      <c r="G629" s="32"/>
      <c r="H629" s="32"/>
      <c r="I629" s="32"/>
      <c r="J629" s="33"/>
      <c r="K629" s="33"/>
      <c r="L629" s="33"/>
      <c r="M629" s="33"/>
      <c r="N629" s="33"/>
      <c r="O629" s="17"/>
      <c r="P629" s="17"/>
      <c r="Q629" s="17"/>
      <c r="R629" s="17"/>
      <c r="S629" s="152"/>
      <c r="T629" s="152"/>
      <c r="U629" s="152"/>
      <c r="V629" s="152"/>
      <c r="W629" s="152"/>
      <c r="X629" s="152"/>
      <c r="Z629" s="152"/>
    </row>
    <row r="630" spans="2:27" x14ac:dyDescent="0.35">
      <c r="B630" s="31"/>
      <c r="C630" s="32"/>
      <c r="D630" s="32"/>
      <c r="E630" s="32"/>
      <c r="F630" s="32"/>
      <c r="G630" s="32"/>
      <c r="H630" s="32"/>
      <c r="I630" s="32"/>
      <c r="J630" s="33"/>
      <c r="K630" s="33"/>
      <c r="L630" s="33"/>
      <c r="M630" s="33"/>
      <c r="N630" s="33"/>
      <c r="O630" s="17"/>
      <c r="P630" s="17"/>
      <c r="Q630" s="17"/>
      <c r="R630" s="17"/>
      <c r="S630" s="152"/>
      <c r="T630" s="152"/>
      <c r="U630" s="152"/>
      <c r="V630" s="152"/>
      <c r="W630" s="152"/>
      <c r="X630" s="152"/>
      <c r="Z630" s="152"/>
    </row>
    <row r="631" spans="2:27" x14ac:dyDescent="0.35">
      <c r="B631" s="31"/>
      <c r="C631" s="32"/>
      <c r="D631" s="32"/>
      <c r="E631" s="32"/>
      <c r="F631" s="32"/>
      <c r="G631" s="32"/>
      <c r="H631" s="32"/>
      <c r="I631" s="32"/>
      <c r="J631" s="33"/>
      <c r="K631" s="33"/>
      <c r="L631" s="33"/>
      <c r="M631" s="33"/>
      <c r="N631" s="33"/>
      <c r="O631" s="17"/>
      <c r="P631" s="17"/>
      <c r="Q631" s="17"/>
      <c r="R631" s="17"/>
      <c r="S631" s="152"/>
      <c r="T631" s="152"/>
      <c r="U631" s="152"/>
      <c r="V631" s="152"/>
      <c r="W631" s="152"/>
      <c r="X631" s="152"/>
      <c r="Z631" s="152"/>
    </row>
    <row r="632" spans="2:27" x14ac:dyDescent="0.35">
      <c r="B632" s="31"/>
      <c r="C632" s="32"/>
      <c r="D632" s="32"/>
      <c r="E632" s="32"/>
      <c r="F632" s="32"/>
      <c r="G632" s="32"/>
      <c r="H632" s="32"/>
      <c r="I632" s="32"/>
      <c r="J632" s="33"/>
      <c r="K632" s="33"/>
      <c r="L632" s="33"/>
      <c r="M632" s="33"/>
      <c r="N632" s="33"/>
      <c r="O632" s="17"/>
      <c r="P632" s="17"/>
      <c r="Q632" s="17"/>
      <c r="R632" s="17"/>
      <c r="S632" s="152"/>
      <c r="T632" s="152"/>
      <c r="U632" s="152"/>
      <c r="V632" s="152"/>
      <c r="W632" s="152"/>
      <c r="X632" s="152"/>
      <c r="Z632" s="152"/>
    </row>
    <row r="633" spans="2:27" x14ac:dyDescent="0.35">
      <c r="B633" s="31"/>
      <c r="C633" s="32"/>
      <c r="D633" s="32"/>
      <c r="E633" s="32"/>
      <c r="F633" s="32"/>
      <c r="G633" s="32"/>
      <c r="H633" s="32"/>
      <c r="I633" s="32"/>
      <c r="J633" s="33"/>
      <c r="K633" s="33"/>
      <c r="L633" s="33"/>
      <c r="M633" s="33"/>
      <c r="N633" s="33"/>
      <c r="O633" s="17"/>
      <c r="P633" s="17"/>
      <c r="Q633" s="17"/>
      <c r="R633" s="17"/>
      <c r="S633" s="152"/>
      <c r="T633" s="152"/>
      <c r="U633" s="152"/>
      <c r="V633" s="152"/>
      <c r="W633" s="152"/>
      <c r="X633" s="152"/>
      <c r="Z633" s="152"/>
    </row>
    <row r="634" spans="2:27" x14ac:dyDescent="0.35">
      <c r="B634" s="31"/>
      <c r="C634" s="32"/>
      <c r="D634" s="32"/>
      <c r="E634" s="32"/>
      <c r="F634" s="32"/>
      <c r="G634" s="32"/>
      <c r="H634" s="32"/>
      <c r="I634" s="32"/>
      <c r="J634" s="33"/>
      <c r="K634" s="33"/>
      <c r="L634" s="33"/>
      <c r="M634" s="33"/>
      <c r="N634" s="33"/>
      <c r="O634" s="17"/>
      <c r="P634" s="17"/>
      <c r="Q634" s="17"/>
      <c r="R634" s="17"/>
      <c r="S634" s="152"/>
      <c r="T634" s="152"/>
      <c r="U634" s="152"/>
      <c r="V634" s="152"/>
      <c r="W634" s="152"/>
      <c r="X634" s="152"/>
      <c r="Z634" s="152"/>
    </row>
    <row r="635" spans="2:27" x14ac:dyDescent="0.35">
      <c r="B635" s="31"/>
      <c r="C635" s="32"/>
      <c r="D635" s="32"/>
      <c r="E635" s="32"/>
      <c r="F635" s="32"/>
      <c r="G635" s="32"/>
      <c r="H635" s="32"/>
      <c r="I635" s="32"/>
      <c r="J635" s="33"/>
      <c r="K635" s="33"/>
      <c r="L635" s="33"/>
      <c r="M635" s="33"/>
      <c r="N635" s="33"/>
      <c r="O635" s="17"/>
      <c r="P635" s="17"/>
      <c r="Q635" s="17"/>
      <c r="R635" s="17"/>
      <c r="S635" s="152"/>
      <c r="T635" s="152"/>
      <c r="U635" s="152"/>
      <c r="V635" s="152"/>
      <c r="W635" s="152"/>
      <c r="X635" s="152"/>
      <c r="Z635" s="152"/>
    </row>
    <row r="636" spans="2:27" x14ac:dyDescent="0.35">
      <c r="B636" s="84"/>
      <c r="C636" s="61"/>
      <c r="D636" s="61"/>
      <c r="E636" s="61"/>
      <c r="F636" s="61"/>
      <c r="G636" s="61"/>
      <c r="H636" s="61"/>
      <c r="I636" s="61"/>
      <c r="J636" s="65"/>
      <c r="K636" s="65"/>
      <c r="L636" s="65"/>
      <c r="M636" s="65"/>
      <c r="O636" s="17"/>
      <c r="P636" s="17"/>
      <c r="Q636" s="17"/>
      <c r="R636" s="17"/>
      <c r="S636" s="152"/>
      <c r="T636" s="152"/>
      <c r="U636" s="152"/>
      <c r="V636" s="152"/>
      <c r="W636" s="152"/>
      <c r="X636" s="152"/>
      <c r="Z636" s="152"/>
    </row>
    <row r="637" spans="2:27" x14ac:dyDescent="0.35">
      <c r="B637" s="84" t="s">
        <v>289</v>
      </c>
      <c r="C637" s="61"/>
      <c r="D637" s="61"/>
      <c r="E637" s="61"/>
      <c r="F637" s="61"/>
      <c r="G637" s="61"/>
      <c r="H637" s="61"/>
      <c r="I637" s="61"/>
      <c r="J637" s="426"/>
      <c r="K637" s="565"/>
      <c r="L637" s="666"/>
      <c r="M637" s="65"/>
      <c r="N637" s="85" t="s">
        <v>288</v>
      </c>
      <c r="O637" s="426"/>
      <c r="P637" s="426"/>
      <c r="Q637" s="426"/>
      <c r="R637" s="426"/>
      <c r="S637" s="426"/>
      <c r="T637" s="426"/>
      <c r="U637" s="426"/>
      <c r="V637" s="426"/>
      <c r="W637" s="565"/>
      <c r="X637" s="666"/>
      <c r="Y637" s="141" t="s">
        <v>2</v>
      </c>
    </row>
    <row r="638" spans="2:27" x14ac:dyDescent="0.35">
      <c r="B638" s="185" t="s">
        <v>70</v>
      </c>
      <c r="C638" s="123">
        <v>2016</v>
      </c>
      <c r="D638" s="140">
        <v>2017</v>
      </c>
      <c r="E638" s="140">
        <v>2018</v>
      </c>
      <c r="F638" s="123">
        <v>2019</v>
      </c>
      <c r="G638" s="123">
        <v>2020</v>
      </c>
      <c r="H638" s="123">
        <v>2021</v>
      </c>
      <c r="I638" s="123">
        <v>2022</v>
      </c>
      <c r="J638" s="123">
        <v>2023</v>
      </c>
      <c r="K638" s="123">
        <v>2024</v>
      </c>
      <c r="L638" s="123">
        <v>2025</v>
      </c>
      <c r="M638" s="65"/>
      <c r="N638" s="185" t="s">
        <v>70</v>
      </c>
      <c r="O638" s="124">
        <v>2016</v>
      </c>
      <c r="P638" s="123">
        <v>2017</v>
      </c>
      <c r="Q638" s="140">
        <v>2018</v>
      </c>
      <c r="R638" s="140">
        <v>2019</v>
      </c>
      <c r="S638" s="140">
        <v>2020</v>
      </c>
      <c r="T638" s="140">
        <v>2021</v>
      </c>
      <c r="U638" s="140">
        <v>2022</v>
      </c>
      <c r="V638" s="140">
        <v>2023</v>
      </c>
      <c r="W638" s="140">
        <v>2024</v>
      </c>
      <c r="X638" s="140">
        <v>2025</v>
      </c>
      <c r="Y638" s="123" t="str">
        <f>$Y$98</f>
        <v>2020-2025</v>
      </c>
      <c r="AA638" s="304">
        <f>SUM(O639:X641)</f>
        <v>5596.7210057464536</v>
      </c>
    </row>
    <row r="639" spans="2:27" x14ac:dyDescent="0.35">
      <c r="B639" s="24" t="s">
        <v>199</v>
      </c>
      <c r="C639" s="10">
        <f>SUM('Ethernet-Total'!E40:E46)</f>
        <v>118616.39500000002</v>
      </c>
      <c r="D639" s="10">
        <f>SUM('Ethernet-Total'!F40:F46)</f>
        <v>256098.73799999998</v>
      </c>
      <c r="E639" s="10">
        <f>SUM('Ethernet-Total'!G40:G46)</f>
        <v>0</v>
      </c>
      <c r="F639" s="10">
        <f>SUM('Ethernet-Total'!H40:H46)</f>
        <v>0</v>
      </c>
      <c r="G639" s="10">
        <f>SUM('Ethernet-Total'!I40:I46)</f>
        <v>0</v>
      </c>
      <c r="H639" s="10">
        <f>SUM('Ethernet-Total'!J40:J46)</f>
        <v>0</v>
      </c>
      <c r="I639" s="10">
        <f>SUM('Ethernet-Total'!K40:K46)</f>
        <v>0</v>
      </c>
      <c r="J639" s="10">
        <f>SUM('Ethernet-Total'!L40:L46)</f>
        <v>0</v>
      </c>
      <c r="K639" s="10">
        <f>SUM('Ethernet-Total'!M40:M46)</f>
        <v>0</v>
      </c>
      <c r="L639" s="10">
        <f>SUM('Ethernet-Total'!N40:N46)</f>
        <v>0</v>
      </c>
      <c r="M639" s="65"/>
      <c r="N639" s="24" t="str">
        <f>B639</f>
        <v>China</v>
      </c>
      <c r="O639" s="125">
        <f>SUM('Ethernet-Total'!E83:E89)</f>
        <v>298.68033240387786</v>
      </c>
      <c r="P639" s="125">
        <f>SUM('Ethernet-Total'!F83:F89)</f>
        <v>227.48822996170949</v>
      </c>
      <c r="Q639" s="125">
        <f>SUM('Ethernet-Total'!G83:G89)</f>
        <v>0</v>
      </c>
      <c r="R639" s="125">
        <f>SUM('Ethernet-Total'!H83:H89)</f>
        <v>0</v>
      </c>
      <c r="S639" s="125">
        <f>SUM('Ethernet-Total'!I83:I89)</f>
        <v>0</v>
      </c>
      <c r="T639" s="125">
        <f>SUM('Ethernet-Total'!J83:J89)</f>
        <v>0</v>
      </c>
      <c r="U639" s="125">
        <f>SUM('Ethernet-Total'!K83:K89)</f>
        <v>0</v>
      </c>
      <c r="V639" s="125">
        <f>SUM('Ethernet-Total'!L83:L89)</f>
        <v>0</v>
      </c>
      <c r="W639" s="125">
        <f>SUM('Ethernet-Total'!M83:M89)</f>
        <v>0</v>
      </c>
      <c r="X639" s="125">
        <f>SUM('Ethernet-Total'!N83:N89)</f>
        <v>0</v>
      </c>
      <c r="Y639" s="153" t="e">
        <f>(X639/S639)^(1/5)-1</f>
        <v>#DIV/0!</v>
      </c>
      <c r="AA639" s="305">
        <f>SUM('Ethernet-Total'!E218:N224)*2</f>
        <v>5596.7210057464545</v>
      </c>
    </row>
    <row r="640" spans="2:27" x14ac:dyDescent="0.35">
      <c r="B640" s="24" t="s">
        <v>224</v>
      </c>
      <c r="C640" s="10">
        <f>SUM('Ethernet-Total'!E107:E113)</f>
        <v>800753.6050000001</v>
      </c>
      <c r="D640" s="10">
        <f>SUM('Ethernet-Total'!F107:F113)</f>
        <v>2625480.2620000006</v>
      </c>
      <c r="E640" s="10">
        <f>SUM('Ethernet-Total'!G107:G113)</f>
        <v>0</v>
      </c>
      <c r="F640" s="10">
        <f>SUM('Ethernet-Total'!H107:H113)</f>
        <v>0</v>
      </c>
      <c r="G640" s="10">
        <f>SUM('Ethernet-Total'!I107:I113)</f>
        <v>0</v>
      </c>
      <c r="H640" s="10">
        <f>SUM('Ethernet-Total'!J107:J113)</f>
        <v>0</v>
      </c>
      <c r="I640" s="10">
        <f>SUM('Ethernet-Total'!K107:K113)</f>
        <v>0</v>
      </c>
      <c r="J640" s="10">
        <f>SUM('Ethernet-Total'!L107:L113)</f>
        <v>0</v>
      </c>
      <c r="K640" s="10">
        <f>SUM('Ethernet-Total'!M107:M113)</f>
        <v>0</v>
      </c>
      <c r="L640" s="10">
        <f>SUM('Ethernet-Total'!N107:N113)</f>
        <v>0</v>
      </c>
      <c r="M640" s="65"/>
      <c r="N640" s="24" t="str">
        <f>B640</f>
        <v>Rest of World</v>
      </c>
      <c r="O640" s="69">
        <f>SUM('Ethernet-Total'!E150:E156)</f>
        <v>844.47863173577048</v>
      </c>
      <c r="P640" s="69">
        <f>SUM('Ethernet-Total'!F150:F156)</f>
        <v>1427.7133087718689</v>
      </c>
      <c r="Q640" s="69">
        <f>SUM('Ethernet-Total'!G150:G156)</f>
        <v>0</v>
      </c>
      <c r="R640" s="69">
        <f>SUM('Ethernet-Total'!H150:H156)</f>
        <v>0</v>
      </c>
      <c r="S640" s="69">
        <f>SUM('Ethernet-Total'!I150:I156)</f>
        <v>0</v>
      </c>
      <c r="T640" s="69">
        <f>SUM('Ethernet-Total'!J150:J156)</f>
        <v>0</v>
      </c>
      <c r="U640" s="69">
        <f>SUM('Ethernet-Total'!K150:K156)</f>
        <v>0</v>
      </c>
      <c r="V640" s="69">
        <f>SUM('Ethernet-Total'!L150:L156)</f>
        <v>0</v>
      </c>
      <c r="W640" s="69">
        <f>SUM('Ethernet-Total'!M150:M156)</f>
        <v>0</v>
      </c>
      <c r="X640" s="69">
        <f>SUM('Ethernet-Total'!N150:N156)</f>
        <v>0</v>
      </c>
      <c r="Y640" s="154" t="e">
        <f>(X640/S640)^(1/5)-1</f>
        <v>#DIV/0!</v>
      </c>
      <c r="AA640" s="304"/>
    </row>
    <row r="641" spans="1:26" x14ac:dyDescent="0.35">
      <c r="B641" s="187" t="s">
        <v>253</v>
      </c>
      <c r="C641" s="130">
        <f>C640+C639</f>
        <v>919370.00000000012</v>
      </c>
      <c r="D641" s="130">
        <f t="shared" ref="D641:L641" si="82">D640+D639</f>
        <v>2881579.0000000005</v>
      </c>
      <c r="E641" s="130">
        <f t="shared" si="82"/>
        <v>0</v>
      </c>
      <c r="F641" s="130">
        <f t="shared" si="82"/>
        <v>0</v>
      </c>
      <c r="G641" s="130">
        <f t="shared" si="82"/>
        <v>0</v>
      </c>
      <c r="H641" s="130">
        <f t="shared" si="82"/>
        <v>0</v>
      </c>
      <c r="I641" s="130">
        <f t="shared" si="82"/>
        <v>0</v>
      </c>
      <c r="J641" s="130">
        <f t="shared" si="82"/>
        <v>0</v>
      </c>
      <c r="K641" s="130">
        <f t="shared" si="82"/>
        <v>0</v>
      </c>
      <c r="L641" s="130">
        <f t="shared" si="82"/>
        <v>0</v>
      </c>
      <c r="M641" s="65"/>
      <c r="N641" s="187" t="str">
        <f>B641</f>
        <v>Global</v>
      </c>
      <c r="O641" s="329">
        <f>O640+O639</f>
        <v>1143.1589641396483</v>
      </c>
      <c r="P641" s="329">
        <f>P640+P639</f>
        <v>1655.2015387335784</v>
      </c>
      <c r="Q641" s="329">
        <f>Q640+Q639</f>
        <v>0</v>
      </c>
      <c r="R641" s="329">
        <f t="shared" ref="R641:X641" si="83">R640+R639</f>
        <v>0</v>
      </c>
      <c r="S641" s="329">
        <f t="shared" si="83"/>
        <v>0</v>
      </c>
      <c r="T641" s="329">
        <f t="shared" si="83"/>
        <v>0</v>
      </c>
      <c r="U641" s="329">
        <f t="shared" si="83"/>
        <v>0</v>
      </c>
      <c r="V641" s="329">
        <f t="shared" si="83"/>
        <v>0</v>
      </c>
      <c r="W641" s="329">
        <f t="shared" si="83"/>
        <v>0</v>
      </c>
      <c r="X641" s="329">
        <f t="shared" si="83"/>
        <v>0</v>
      </c>
      <c r="Y641" s="159" t="e">
        <f>(X641/S641)^(1/5)-1</f>
        <v>#DIV/0!</v>
      </c>
    </row>
    <row r="642" spans="1:26" x14ac:dyDescent="0.35">
      <c r="B642" s="454" t="s">
        <v>273</v>
      </c>
      <c r="C642" s="455">
        <f t="shared" ref="C642:L642" si="84">C639/C641</f>
        <v>0.12901921424453702</v>
      </c>
      <c r="D642" s="455">
        <f t="shared" si="84"/>
        <v>8.8874446267133381E-2</v>
      </c>
      <c r="E642" s="455" t="e">
        <f t="shared" si="84"/>
        <v>#DIV/0!</v>
      </c>
      <c r="F642" s="455" t="e">
        <f t="shared" si="84"/>
        <v>#DIV/0!</v>
      </c>
      <c r="G642" s="455" t="e">
        <f t="shared" si="84"/>
        <v>#DIV/0!</v>
      </c>
      <c r="H642" s="455" t="e">
        <f t="shared" si="84"/>
        <v>#DIV/0!</v>
      </c>
      <c r="I642" s="455" t="e">
        <f t="shared" si="84"/>
        <v>#DIV/0!</v>
      </c>
      <c r="J642" s="455" t="e">
        <f t="shared" si="84"/>
        <v>#DIV/0!</v>
      </c>
      <c r="K642" s="455" t="e">
        <f t="shared" si="84"/>
        <v>#DIV/0!</v>
      </c>
      <c r="L642" s="455" t="e">
        <f t="shared" si="84"/>
        <v>#DIV/0!</v>
      </c>
      <c r="M642" s="65"/>
      <c r="N642" s="454" t="s">
        <v>273</v>
      </c>
      <c r="O642" s="455">
        <f>O639/O641</f>
        <v>0.26127628945171888</v>
      </c>
      <c r="P642" s="455">
        <f>P639/P641</f>
        <v>0.13743838719227172</v>
      </c>
      <c r="Q642" s="455" t="e">
        <f t="shared" ref="Q642:X642" si="85">Q639/Q641</f>
        <v>#DIV/0!</v>
      </c>
      <c r="R642" s="455" t="e">
        <f t="shared" si="85"/>
        <v>#DIV/0!</v>
      </c>
      <c r="S642" s="455" t="e">
        <f t="shared" si="85"/>
        <v>#DIV/0!</v>
      </c>
      <c r="T642" s="455" t="e">
        <f t="shared" si="85"/>
        <v>#DIV/0!</v>
      </c>
      <c r="U642" s="455" t="e">
        <f t="shared" si="85"/>
        <v>#DIV/0!</v>
      </c>
      <c r="V642" s="455" t="e">
        <f t="shared" si="85"/>
        <v>#DIV/0!</v>
      </c>
      <c r="W642" s="455" t="e">
        <f t="shared" si="85"/>
        <v>#DIV/0!</v>
      </c>
      <c r="X642" s="455" t="e">
        <f t="shared" si="85"/>
        <v>#DIV/0!</v>
      </c>
      <c r="Y642" s="452"/>
    </row>
    <row r="643" spans="1:26" x14ac:dyDescent="0.35">
      <c r="B643" s="453"/>
      <c r="C643" s="20"/>
      <c r="D643" s="20"/>
      <c r="E643" s="20"/>
      <c r="F643" s="20"/>
      <c r="G643" s="20"/>
      <c r="H643" s="20"/>
      <c r="I643" s="20"/>
      <c r="J643" s="20"/>
      <c r="K643" s="20"/>
      <c r="L643" s="20"/>
      <c r="M643" s="65"/>
      <c r="N643" s="453"/>
      <c r="O643" s="20"/>
      <c r="P643" s="20"/>
      <c r="Q643" s="20"/>
      <c r="R643" s="20"/>
      <c r="S643" s="20"/>
      <c r="T643" s="20"/>
      <c r="U643" s="20"/>
      <c r="V643" s="20"/>
      <c r="W643" s="20"/>
      <c r="X643" s="20"/>
      <c r="Y643" s="452"/>
    </row>
    <row r="644" spans="1:26" x14ac:dyDescent="0.35">
      <c r="A644" s="56"/>
      <c r="B644" s="93" t="s">
        <v>290</v>
      </c>
      <c r="C644" s="61"/>
      <c r="D644" s="61"/>
      <c r="E644" s="61"/>
      <c r="F644" s="61"/>
      <c r="G644" s="61"/>
      <c r="H644" s="61"/>
      <c r="I644" s="61"/>
      <c r="J644" s="50"/>
      <c r="K644" s="50"/>
      <c r="L644" s="50"/>
      <c r="M644" s="50"/>
      <c r="N644" s="93" t="s">
        <v>272</v>
      </c>
      <c r="O644" s="17"/>
      <c r="P644" s="17"/>
      <c r="Q644" s="17"/>
      <c r="R644" s="17"/>
      <c r="S644" s="152"/>
      <c r="T644" s="152"/>
      <c r="U644" s="152"/>
      <c r="V644" s="152"/>
      <c r="W644" s="152"/>
      <c r="X644" s="152"/>
      <c r="Z644" s="152"/>
    </row>
    <row r="645" spans="1:26" x14ac:dyDescent="0.35">
      <c r="B645" s="31"/>
      <c r="C645" s="32"/>
      <c r="D645" s="32"/>
      <c r="E645" s="32"/>
      <c r="F645" s="32"/>
      <c r="G645" s="32"/>
      <c r="H645" s="32"/>
      <c r="I645" s="32"/>
      <c r="J645" s="33"/>
      <c r="K645" s="33"/>
      <c r="L645" s="33"/>
      <c r="M645" s="33"/>
      <c r="N645" s="33"/>
      <c r="O645" s="17"/>
      <c r="P645" s="17"/>
      <c r="Q645" s="17"/>
      <c r="R645" s="17"/>
      <c r="S645" s="152"/>
      <c r="T645" s="152"/>
      <c r="U645" s="152"/>
      <c r="V645" s="152"/>
      <c r="W645" s="152"/>
      <c r="X645" s="152"/>
      <c r="Z645" s="152"/>
    </row>
    <row r="646" spans="1:26" x14ac:dyDescent="0.35">
      <c r="B646" s="31"/>
      <c r="C646" s="32"/>
      <c r="D646" s="32"/>
      <c r="E646" s="32"/>
      <c r="F646" s="32"/>
      <c r="G646" s="32"/>
      <c r="H646" s="32"/>
      <c r="I646" s="32"/>
      <c r="J646" s="33"/>
      <c r="K646" s="33"/>
      <c r="L646" s="33"/>
      <c r="M646" s="33"/>
      <c r="N646" s="33"/>
      <c r="O646" s="17"/>
      <c r="P646" s="17"/>
      <c r="Q646" s="17"/>
      <c r="R646" s="17"/>
      <c r="S646" s="152"/>
      <c r="T646" s="152"/>
      <c r="U646" s="152"/>
      <c r="V646" s="152"/>
      <c r="W646" s="152"/>
      <c r="X646" s="152"/>
      <c r="Z646" s="152"/>
    </row>
    <row r="647" spans="1:26" x14ac:dyDescent="0.35">
      <c r="B647" s="31"/>
      <c r="C647" s="32"/>
      <c r="D647" s="32"/>
      <c r="E647" s="32"/>
      <c r="F647" s="32"/>
      <c r="G647" s="32"/>
      <c r="H647" s="32"/>
      <c r="I647" s="32"/>
      <c r="J647" s="33"/>
      <c r="K647" s="33"/>
      <c r="L647" s="33"/>
      <c r="M647" s="33"/>
      <c r="N647" s="33"/>
      <c r="O647" s="17"/>
      <c r="P647" s="17"/>
      <c r="Q647" s="17"/>
      <c r="R647" s="17"/>
      <c r="S647" s="152"/>
      <c r="T647" s="152"/>
      <c r="U647" s="152"/>
      <c r="V647" s="152"/>
      <c r="W647" s="152"/>
      <c r="X647" s="152"/>
      <c r="Z647" s="152"/>
    </row>
    <row r="648" spans="1:26" x14ac:dyDescent="0.35">
      <c r="B648" s="31"/>
      <c r="C648" s="32"/>
      <c r="D648" s="32"/>
      <c r="E648" s="32"/>
      <c r="F648" s="32"/>
      <c r="G648" s="32"/>
      <c r="H648" s="32"/>
      <c r="I648" s="32"/>
      <c r="J648" s="33"/>
      <c r="K648" s="33"/>
      <c r="L648" s="33"/>
      <c r="M648" s="33"/>
      <c r="N648" s="33"/>
      <c r="O648" s="17"/>
      <c r="P648" s="17"/>
      <c r="Q648" s="17"/>
      <c r="R648" s="17"/>
      <c r="S648" s="152"/>
      <c r="T648" s="152"/>
      <c r="U648" s="152"/>
      <c r="V648" s="152"/>
      <c r="W648" s="152"/>
      <c r="X648" s="152"/>
      <c r="Z648" s="152"/>
    </row>
    <row r="649" spans="1:26" x14ac:dyDescent="0.35">
      <c r="B649" s="31"/>
      <c r="C649" s="32"/>
      <c r="D649" s="32"/>
      <c r="E649" s="32"/>
      <c r="F649" s="32"/>
      <c r="G649" s="32"/>
      <c r="H649" s="32"/>
      <c r="I649" s="32"/>
      <c r="J649" s="33"/>
      <c r="K649" s="33"/>
      <c r="L649" s="33"/>
      <c r="M649" s="33"/>
      <c r="N649" s="33"/>
      <c r="O649" s="17"/>
      <c r="P649" s="17"/>
      <c r="Q649" s="17"/>
      <c r="R649" s="17"/>
      <c r="S649" s="152"/>
      <c r="T649" s="152"/>
      <c r="U649" s="152"/>
      <c r="V649" s="152"/>
      <c r="W649" s="152"/>
      <c r="X649" s="152"/>
      <c r="Z649" s="152"/>
    </row>
    <row r="650" spans="1:26" x14ac:dyDescent="0.35">
      <c r="B650" s="31"/>
      <c r="C650" s="32"/>
      <c r="D650" s="32"/>
      <c r="E650" s="32"/>
      <c r="F650" s="32"/>
      <c r="G650" s="32"/>
      <c r="H650" s="32"/>
      <c r="I650" s="32"/>
      <c r="J650" s="33"/>
      <c r="K650" s="33"/>
      <c r="L650" s="33"/>
      <c r="M650" s="33"/>
      <c r="N650" s="33"/>
      <c r="O650" s="17"/>
      <c r="P650" s="17"/>
      <c r="Q650" s="17"/>
      <c r="R650" s="17"/>
      <c r="S650" s="152"/>
      <c r="T650" s="152"/>
      <c r="U650" s="152"/>
      <c r="V650" s="152"/>
      <c r="W650" s="152"/>
      <c r="X650" s="152"/>
      <c r="Z650" s="152"/>
    </row>
    <row r="651" spans="1:26" x14ac:dyDescent="0.35">
      <c r="B651" s="31"/>
      <c r="C651" s="32"/>
      <c r="D651" s="32"/>
      <c r="E651" s="32"/>
      <c r="F651" s="32"/>
      <c r="G651" s="32"/>
      <c r="H651" s="32"/>
      <c r="I651" s="32"/>
      <c r="J651" s="33"/>
      <c r="K651" s="33"/>
      <c r="L651" s="33"/>
      <c r="M651" s="33"/>
      <c r="N651" s="33"/>
      <c r="O651" s="17"/>
      <c r="P651" s="17"/>
      <c r="Q651" s="17"/>
      <c r="R651" s="17"/>
      <c r="S651" s="152"/>
      <c r="T651" s="152"/>
      <c r="U651" s="152"/>
      <c r="V651" s="152"/>
      <c r="W651" s="152"/>
      <c r="X651" s="152"/>
      <c r="Z651" s="152"/>
    </row>
    <row r="652" spans="1:26" x14ac:dyDescent="0.35">
      <c r="B652" s="31"/>
      <c r="C652" s="32"/>
      <c r="D652" s="32"/>
      <c r="E652" s="32"/>
      <c r="F652" s="32"/>
      <c r="G652" s="32"/>
      <c r="H652" s="32"/>
      <c r="I652" s="32"/>
      <c r="J652" s="33"/>
      <c r="K652" s="33"/>
      <c r="L652" s="33"/>
      <c r="M652" s="33"/>
      <c r="N652" s="33"/>
      <c r="O652" s="17"/>
      <c r="P652" s="17"/>
      <c r="Q652" s="17"/>
      <c r="R652" s="17"/>
      <c r="S652" s="152"/>
      <c r="T652" s="152"/>
      <c r="U652" s="152"/>
      <c r="V652" s="152"/>
      <c r="W652" s="152"/>
      <c r="X652" s="152"/>
      <c r="Z652" s="152"/>
    </row>
    <row r="653" spans="1:26" x14ac:dyDescent="0.35">
      <c r="B653" s="31"/>
      <c r="C653" s="32"/>
      <c r="D653" s="32"/>
      <c r="E653" s="32"/>
      <c r="F653" s="32"/>
      <c r="G653" s="32"/>
      <c r="H653" s="32"/>
      <c r="I653" s="32"/>
      <c r="J653" s="33"/>
      <c r="K653" s="33"/>
      <c r="L653" s="33"/>
      <c r="M653" s="33"/>
      <c r="N653" s="33"/>
      <c r="O653" s="17"/>
      <c r="P653" s="17"/>
      <c r="Q653" s="17"/>
      <c r="R653" s="17"/>
      <c r="S653" s="152"/>
      <c r="T653" s="152"/>
      <c r="U653" s="152"/>
      <c r="V653" s="152"/>
      <c r="W653" s="152"/>
      <c r="X653" s="152"/>
      <c r="Z653" s="152"/>
    </row>
    <row r="654" spans="1:26" x14ac:dyDescent="0.35">
      <c r="B654" s="31"/>
      <c r="C654" s="32"/>
      <c r="D654" s="32"/>
      <c r="E654" s="32"/>
      <c r="F654" s="32"/>
      <c r="G654" s="32"/>
      <c r="H654" s="32"/>
      <c r="I654" s="32"/>
      <c r="J654" s="33"/>
      <c r="K654" s="33"/>
      <c r="L654" s="33"/>
      <c r="M654" s="33"/>
      <c r="N654" s="33"/>
      <c r="O654" s="17"/>
      <c r="P654" s="17"/>
      <c r="Q654" s="17"/>
      <c r="R654" s="17"/>
      <c r="S654" s="152"/>
      <c r="T654" s="152"/>
      <c r="U654" s="152"/>
      <c r="V654" s="152"/>
      <c r="W654" s="152"/>
      <c r="X654" s="152"/>
      <c r="Z654" s="152"/>
    </row>
    <row r="655" spans="1:26" x14ac:dyDescent="0.35">
      <c r="B655" s="31"/>
      <c r="C655" s="32"/>
      <c r="D655" s="32"/>
      <c r="E655" s="32"/>
      <c r="F655" s="32"/>
      <c r="G655" s="32"/>
      <c r="H655" s="32"/>
      <c r="I655" s="32"/>
      <c r="J655" s="33"/>
      <c r="K655" s="33"/>
      <c r="L655" s="33"/>
      <c r="M655" s="33"/>
      <c r="N655" s="33"/>
      <c r="O655" s="17"/>
      <c r="P655" s="17"/>
      <c r="Q655" s="17"/>
      <c r="R655" s="17"/>
      <c r="S655" s="152"/>
      <c r="T655" s="152"/>
      <c r="U655" s="152"/>
      <c r="V655" s="152"/>
      <c r="W655" s="152"/>
      <c r="X655" s="152"/>
      <c r="Z655" s="152"/>
    </row>
    <row r="656" spans="1:26" x14ac:dyDescent="0.35">
      <c r="B656" s="31"/>
      <c r="C656" s="32"/>
      <c r="D656" s="32"/>
      <c r="E656" s="32"/>
      <c r="F656" s="32"/>
      <c r="G656" s="32"/>
      <c r="H656" s="32"/>
      <c r="I656" s="32"/>
      <c r="J656" s="33"/>
      <c r="K656" s="33"/>
      <c r="L656" s="33"/>
      <c r="M656" s="33"/>
      <c r="N656" s="33"/>
      <c r="O656" s="17"/>
      <c r="P656" s="17"/>
      <c r="Q656" s="17"/>
      <c r="R656" s="17"/>
      <c r="S656" s="152"/>
      <c r="T656" s="152"/>
      <c r="U656" s="152"/>
      <c r="V656" s="152"/>
      <c r="W656" s="152"/>
      <c r="X656" s="152"/>
      <c r="Z656" s="152"/>
    </row>
    <row r="657" spans="2:27" x14ac:dyDescent="0.35">
      <c r="B657" s="31"/>
      <c r="C657" s="32"/>
      <c r="D657" s="32"/>
      <c r="E657" s="32"/>
      <c r="F657" s="32"/>
      <c r="G657" s="32"/>
      <c r="H657" s="32"/>
      <c r="I657" s="32"/>
      <c r="J657" s="33"/>
      <c r="K657" s="33"/>
      <c r="L657" s="33"/>
      <c r="M657" s="33"/>
      <c r="N657" s="33"/>
      <c r="O657" s="17"/>
      <c r="P657" s="17"/>
      <c r="Q657" s="17"/>
      <c r="R657" s="17"/>
      <c r="S657" s="152"/>
      <c r="T657" s="152"/>
      <c r="U657" s="152"/>
      <c r="V657" s="152"/>
      <c r="W657" s="152"/>
      <c r="X657" s="152"/>
      <c r="Z657" s="152"/>
    </row>
    <row r="658" spans="2:27" x14ac:dyDescent="0.35">
      <c r="B658" s="31"/>
      <c r="C658" s="32"/>
      <c r="D658" s="32"/>
      <c r="E658" s="32"/>
      <c r="F658" s="32"/>
      <c r="G658" s="32"/>
      <c r="H658" s="32"/>
      <c r="I658" s="32"/>
      <c r="J658" s="33"/>
      <c r="K658" s="33"/>
      <c r="L658" s="33"/>
      <c r="M658" s="33"/>
      <c r="N658" s="33"/>
      <c r="O658" s="17"/>
      <c r="P658" s="17"/>
      <c r="Q658" s="17"/>
      <c r="R658" s="17"/>
      <c r="S658" s="152"/>
      <c r="T658" s="152"/>
      <c r="U658" s="152"/>
      <c r="V658" s="152"/>
      <c r="W658" s="152"/>
      <c r="X658" s="152"/>
      <c r="Z658" s="152"/>
    </row>
    <row r="659" spans="2:27" x14ac:dyDescent="0.35">
      <c r="B659" s="31"/>
      <c r="C659" s="32"/>
      <c r="D659" s="32"/>
      <c r="E659" s="32"/>
      <c r="F659" s="32"/>
      <c r="G659" s="32"/>
      <c r="H659" s="32"/>
      <c r="I659" s="32"/>
      <c r="J659" s="33"/>
      <c r="K659" s="33"/>
      <c r="L659" s="33"/>
      <c r="M659" s="33"/>
      <c r="N659" s="33"/>
      <c r="O659" s="17"/>
      <c r="P659" s="17"/>
      <c r="Q659" s="17"/>
      <c r="R659" s="17"/>
      <c r="S659" s="152"/>
      <c r="T659" s="152"/>
      <c r="U659" s="152"/>
      <c r="V659" s="152"/>
      <c r="W659" s="152"/>
      <c r="X659" s="152"/>
      <c r="Z659" s="152"/>
    </row>
    <row r="660" spans="2:27" x14ac:dyDescent="0.35">
      <c r="B660" s="31"/>
      <c r="C660" s="32"/>
      <c r="D660" s="32"/>
      <c r="E660" s="32"/>
      <c r="F660" s="32"/>
      <c r="G660" s="32"/>
      <c r="H660" s="32"/>
      <c r="I660" s="32"/>
      <c r="J660" s="33"/>
      <c r="K660" s="33"/>
      <c r="L660" s="33"/>
      <c r="M660" s="33"/>
      <c r="N660" s="33"/>
      <c r="O660" s="17"/>
      <c r="P660" s="17"/>
      <c r="Q660" s="17"/>
      <c r="R660" s="17"/>
      <c r="S660" s="152"/>
      <c r="T660" s="152"/>
      <c r="U660" s="152"/>
      <c r="V660" s="152"/>
      <c r="W660" s="152"/>
      <c r="X660" s="152"/>
      <c r="Z660" s="152"/>
    </row>
    <row r="661" spans="2:27" x14ac:dyDescent="0.35">
      <c r="B661" s="31"/>
      <c r="C661" s="32"/>
      <c r="D661" s="32"/>
      <c r="E661" s="32"/>
      <c r="F661" s="32"/>
      <c r="G661" s="32"/>
      <c r="H661" s="32"/>
      <c r="I661" s="32"/>
      <c r="J661" s="33"/>
      <c r="K661" s="33"/>
      <c r="L661" s="33"/>
      <c r="M661" s="33"/>
      <c r="N661" s="33"/>
      <c r="O661" s="17"/>
      <c r="P661" s="17"/>
      <c r="Q661" s="17"/>
      <c r="R661" s="17"/>
      <c r="S661" s="152"/>
      <c r="T661" s="152"/>
      <c r="U661" s="152"/>
      <c r="V661" s="152"/>
      <c r="W661" s="152"/>
      <c r="X661" s="152"/>
      <c r="Z661" s="152"/>
    </row>
    <row r="662" spans="2:27" x14ac:dyDescent="0.35">
      <c r="B662" s="31"/>
      <c r="C662" s="32"/>
      <c r="D662" s="32"/>
      <c r="E662" s="32"/>
      <c r="F662" s="32"/>
      <c r="G662" s="32"/>
      <c r="H662" s="32"/>
      <c r="I662" s="32"/>
      <c r="J662" s="33"/>
      <c r="K662" s="33"/>
      <c r="L662" s="33"/>
      <c r="M662" s="33"/>
      <c r="N662" s="33"/>
      <c r="O662" s="17"/>
      <c r="P662" s="17"/>
      <c r="Q662" s="17"/>
      <c r="R662" s="17"/>
      <c r="S662" s="152"/>
      <c r="T662" s="152"/>
      <c r="U662" s="152"/>
      <c r="V662" s="152"/>
      <c r="W662" s="152"/>
      <c r="X662" s="152"/>
      <c r="Z662" s="152"/>
    </row>
    <row r="663" spans="2:27" x14ac:dyDescent="0.35">
      <c r="B663" s="31"/>
      <c r="C663" s="32"/>
      <c r="D663" s="32"/>
      <c r="E663" s="32"/>
      <c r="F663" s="32"/>
      <c r="G663" s="32"/>
      <c r="H663" s="32"/>
      <c r="I663" s="32"/>
      <c r="J663" s="33"/>
      <c r="K663" s="33"/>
      <c r="L663" s="33"/>
      <c r="M663" s="33"/>
      <c r="N663" s="33"/>
      <c r="O663" s="17"/>
      <c r="P663" s="17"/>
      <c r="Q663" s="17"/>
      <c r="R663" s="17"/>
      <c r="S663" s="152"/>
      <c r="T663" s="152"/>
      <c r="U663" s="152"/>
      <c r="V663" s="152"/>
      <c r="W663" s="152"/>
      <c r="X663" s="152"/>
      <c r="Z663" s="152"/>
    </row>
    <row r="664" spans="2:27" x14ac:dyDescent="0.35">
      <c r="B664" s="31"/>
      <c r="C664" s="32"/>
      <c r="D664" s="32"/>
      <c r="E664" s="32"/>
      <c r="F664" s="32"/>
      <c r="G664" s="32"/>
      <c r="H664" s="32"/>
      <c r="I664" s="32"/>
      <c r="J664" s="33"/>
      <c r="K664" s="33"/>
      <c r="L664" s="33"/>
      <c r="M664" s="33"/>
      <c r="N664" s="33"/>
      <c r="O664" s="17"/>
      <c r="P664" s="17"/>
      <c r="Q664" s="17"/>
      <c r="R664" s="17"/>
      <c r="S664" s="152"/>
      <c r="T664" s="152"/>
      <c r="U664" s="152"/>
      <c r="V664" s="152"/>
      <c r="W664" s="152"/>
      <c r="X664" s="152"/>
      <c r="Z664" s="152"/>
    </row>
    <row r="665" spans="2:27" x14ac:dyDescent="0.35">
      <c r="B665" s="31"/>
      <c r="C665" s="32"/>
      <c r="D665" s="32"/>
      <c r="E665" s="32"/>
      <c r="F665" s="32"/>
      <c r="G665" s="32"/>
      <c r="H665" s="32"/>
      <c r="I665" s="32"/>
      <c r="J665" s="33"/>
      <c r="K665" s="33"/>
      <c r="L665" s="33"/>
      <c r="M665" s="33"/>
      <c r="N665" s="33"/>
      <c r="O665" s="17"/>
      <c r="P665" s="17"/>
      <c r="Q665" s="17"/>
      <c r="R665" s="17"/>
      <c r="S665" s="152"/>
      <c r="T665" s="152"/>
      <c r="U665" s="152"/>
      <c r="V665" s="152"/>
      <c r="W665" s="152"/>
      <c r="X665" s="152"/>
      <c r="Z665" s="152"/>
    </row>
    <row r="666" spans="2:27" x14ac:dyDescent="0.35">
      <c r="B666" s="31"/>
      <c r="C666" s="32"/>
      <c r="D666" s="32"/>
      <c r="E666" s="32"/>
      <c r="F666" s="32"/>
      <c r="G666" s="32"/>
      <c r="H666" s="32"/>
      <c r="I666" s="32"/>
      <c r="J666" s="33"/>
      <c r="K666" s="33"/>
      <c r="L666" s="33"/>
      <c r="M666" s="33"/>
      <c r="N666" s="33"/>
      <c r="O666" s="17"/>
      <c r="P666" s="17"/>
      <c r="Q666" s="17"/>
      <c r="R666" s="17"/>
      <c r="S666" s="152"/>
      <c r="T666" s="152"/>
      <c r="U666" s="152"/>
      <c r="V666" s="152"/>
      <c r="W666" s="152"/>
      <c r="X666" s="152"/>
      <c r="Z666" s="152"/>
    </row>
    <row r="667" spans="2:27" x14ac:dyDescent="0.35">
      <c r="B667" s="31"/>
      <c r="C667" s="32"/>
      <c r="D667" s="32"/>
      <c r="E667" s="32"/>
      <c r="F667" s="32"/>
      <c r="G667" s="32"/>
      <c r="H667" s="32"/>
      <c r="I667" s="32"/>
      <c r="J667" s="33"/>
      <c r="K667" s="33"/>
      <c r="L667" s="33"/>
      <c r="M667" s="33"/>
      <c r="N667" s="33"/>
      <c r="O667" s="17"/>
      <c r="P667" s="17"/>
      <c r="Q667" s="17"/>
      <c r="R667" s="17"/>
      <c r="S667" s="152"/>
      <c r="T667" s="152"/>
      <c r="U667" s="152"/>
      <c r="V667" s="152"/>
      <c r="W667" s="152"/>
      <c r="X667" s="152"/>
      <c r="Z667" s="152"/>
    </row>
    <row r="668" spans="2:27" x14ac:dyDescent="0.35">
      <c r="B668" s="84"/>
      <c r="C668" s="61"/>
      <c r="D668" s="61"/>
      <c r="E668" s="61"/>
      <c r="F668" s="61"/>
      <c r="G668" s="61"/>
      <c r="H668" s="61"/>
      <c r="I668" s="61"/>
      <c r="J668" s="65"/>
      <c r="K668" s="65"/>
      <c r="L668" s="65"/>
      <c r="M668" s="65"/>
      <c r="O668" s="17"/>
      <c r="P668" s="17"/>
      <c r="Q668" s="17"/>
      <c r="R668" s="17"/>
      <c r="S668" s="152"/>
      <c r="T668" s="152"/>
      <c r="U668" s="152"/>
      <c r="V668" s="152"/>
      <c r="W668" s="152"/>
      <c r="X668" s="152"/>
      <c r="Z668" s="152"/>
    </row>
    <row r="669" spans="2:27" x14ac:dyDescent="0.35">
      <c r="B669" s="84" t="s">
        <v>422</v>
      </c>
      <c r="C669" s="61"/>
      <c r="D669" s="61"/>
      <c r="E669" s="61"/>
      <c r="F669" s="61"/>
      <c r="G669" s="61"/>
      <c r="H669" s="61"/>
      <c r="I669" s="61"/>
      <c r="J669" s="629"/>
      <c r="K669" s="629"/>
      <c r="L669" s="666"/>
      <c r="M669" s="65"/>
      <c r="N669" s="85" t="s">
        <v>423</v>
      </c>
      <c r="O669" s="629"/>
      <c r="P669" s="629"/>
      <c r="Q669" s="629"/>
      <c r="R669" s="629"/>
      <c r="S669" s="629"/>
      <c r="T669" s="629"/>
      <c r="U669" s="629"/>
      <c r="V669" s="629"/>
      <c r="W669" s="629"/>
      <c r="X669" s="666"/>
      <c r="Y669" s="141" t="s">
        <v>2</v>
      </c>
    </row>
    <row r="670" spans="2:27" x14ac:dyDescent="0.35">
      <c r="B670" s="185" t="s">
        <v>425</v>
      </c>
      <c r="C670" s="123">
        <v>2016</v>
      </c>
      <c r="D670" s="123">
        <v>2017</v>
      </c>
      <c r="E670" s="123">
        <v>2018</v>
      </c>
      <c r="F670" s="123">
        <v>2019</v>
      </c>
      <c r="G670" s="123">
        <v>2020</v>
      </c>
      <c r="H670" s="123">
        <v>2021</v>
      </c>
      <c r="I670" s="123">
        <v>2022</v>
      </c>
      <c r="J670" s="123">
        <v>2023</v>
      </c>
      <c r="K670" s="123">
        <v>2024</v>
      </c>
      <c r="L670" s="123">
        <v>2025</v>
      </c>
      <c r="M670" s="65"/>
      <c r="N670" s="185" t="str">
        <f>B670</f>
        <v>China segments</v>
      </c>
      <c r="O670" s="124">
        <v>2016</v>
      </c>
      <c r="P670" s="123">
        <v>2017</v>
      </c>
      <c r="Q670" s="140">
        <v>2018</v>
      </c>
      <c r="R670" s="140">
        <v>2019</v>
      </c>
      <c r="S670" s="140">
        <v>2020</v>
      </c>
      <c r="T670" s="140">
        <v>2021</v>
      </c>
      <c r="U670" s="140">
        <v>2022</v>
      </c>
      <c r="V670" s="140">
        <v>2023</v>
      </c>
      <c r="W670" s="140">
        <v>2024</v>
      </c>
      <c r="X670" s="140">
        <v>2025</v>
      </c>
      <c r="Y670" s="123" t="str">
        <f>$Y$98</f>
        <v>2020-2025</v>
      </c>
      <c r="AA670" s="304">
        <f>SUM(O671:X674)</f>
        <v>2122.4613335558033</v>
      </c>
    </row>
    <row r="671" spans="2:27" x14ac:dyDescent="0.35">
      <c r="B671" s="24" t="s">
        <v>426</v>
      </c>
      <c r="C671" s="10">
        <f>'Ethernet-Cloud'!E48</f>
        <v>2186001.9359489921</v>
      </c>
      <c r="D671" s="10">
        <f>'Ethernet-Cloud'!F48</f>
        <v>2730444.4388182699</v>
      </c>
      <c r="E671" s="10">
        <f>'Ethernet-Cloud'!G48</f>
        <v>0</v>
      </c>
      <c r="F671" s="10">
        <f>'Ethernet-Cloud'!H48</f>
        <v>0</v>
      </c>
      <c r="G671" s="10">
        <f>'Ethernet-Cloud'!I48</f>
        <v>0</v>
      </c>
      <c r="H671" s="10">
        <f>'Ethernet-Cloud'!J48</f>
        <v>0</v>
      </c>
      <c r="I671" s="10">
        <f>'Ethernet-Cloud'!K48</f>
        <v>0</v>
      </c>
      <c r="J671" s="10">
        <f>'Ethernet-Cloud'!L48</f>
        <v>0</v>
      </c>
      <c r="K671" s="10">
        <f>'Ethernet-Cloud'!M48</f>
        <v>0</v>
      </c>
      <c r="L671" s="10">
        <f>'Ethernet-Cloud'!N48</f>
        <v>0</v>
      </c>
      <c r="M671" s="65"/>
      <c r="N671" s="24" t="str">
        <f>B671</f>
        <v>Cloud</v>
      </c>
      <c r="O671" s="125">
        <f>'Ethernet-Cloud'!E91</f>
        <v>116.38312826795026</v>
      </c>
      <c r="P671" s="125">
        <f>'Ethernet-Cloud'!F91</f>
        <v>186.24900912463085</v>
      </c>
      <c r="Q671" s="125">
        <f>'Ethernet-Cloud'!G91</f>
        <v>0</v>
      </c>
      <c r="R671" s="125">
        <f>'Ethernet-Cloud'!H91</f>
        <v>0</v>
      </c>
      <c r="S671" s="125">
        <f>'Ethernet-Cloud'!I91</f>
        <v>0</v>
      </c>
      <c r="T671" s="125">
        <f>'Ethernet-Cloud'!J91</f>
        <v>0</v>
      </c>
      <c r="U671" s="125">
        <f>'Ethernet-Cloud'!K91</f>
        <v>0</v>
      </c>
      <c r="V671" s="125">
        <f>'Ethernet-Cloud'!L91</f>
        <v>0</v>
      </c>
      <c r="W671" s="125">
        <f>'Ethernet-Cloud'!M91</f>
        <v>0</v>
      </c>
      <c r="X671" s="125">
        <f>'Ethernet-Cloud'!N91</f>
        <v>0</v>
      </c>
      <c r="Y671" s="153" t="e">
        <f>(X671/S671)^(1/5)-1</f>
        <v>#DIV/0!</v>
      </c>
      <c r="AA671" s="305">
        <f>SUM('Ethernet-Total'!E73:N91)</f>
        <v>2122.4613335558038</v>
      </c>
    </row>
    <row r="672" spans="2:27" ht="12.5" x14ac:dyDescent="0.25">
      <c r="B672" s="24" t="s">
        <v>427</v>
      </c>
      <c r="C672" s="10">
        <f>'Ethernet-Telecom'!E48</f>
        <v>1535936.1965696963</v>
      </c>
      <c r="D672" s="10">
        <f>'Ethernet-Telecom'!F48</f>
        <v>1306656.7957407765</v>
      </c>
      <c r="E672" s="10">
        <f>'Ethernet-Telecom'!G48</f>
        <v>0</v>
      </c>
      <c r="F672" s="10">
        <f>'Ethernet-Telecom'!H48</f>
        <v>0</v>
      </c>
      <c r="G672" s="10">
        <f>'Ethernet-Telecom'!I48</f>
        <v>0</v>
      </c>
      <c r="H672" s="10">
        <f>'Ethernet-Telecom'!J48</f>
        <v>0</v>
      </c>
      <c r="I672" s="10">
        <f>'Ethernet-Telecom'!K48</f>
        <v>0</v>
      </c>
      <c r="J672" s="10">
        <f>'Ethernet-Telecom'!L48</f>
        <v>0</v>
      </c>
      <c r="K672" s="10">
        <f>'Ethernet-Telecom'!M48</f>
        <v>0</v>
      </c>
      <c r="L672" s="10">
        <f>'Ethernet-Telecom'!N48</f>
        <v>0</v>
      </c>
      <c r="M672" s="65"/>
      <c r="N672" s="24" t="str">
        <f>B672</f>
        <v>Telecom</v>
      </c>
      <c r="O672" s="69">
        <f>'Ethernet-Telecom'!E91</f>
        <v>345.59499240776523</v>
      </c>
      <c r="P672" s="69">
        <f>'Ethernet-Telecom'!F91</f>
        <v>224.56420070769701</v>
      </c>
      <c r="Q672" s="69">
        <f>'Ethernet-Telecom'!G91</f>
        <v>0</v>
      </c>
      <c r="R672" s="69">
        <f>'Ethernet-Telecom'!H91</f>
        <v>0</v>
      </c>
      <c r="S672" s="69">
        <f>'Ethernet-Telecom'!I91</f>
        <v>0</v>
      </c>
      <c r="T672" s="69">
        <f>'Ethernet-Telecom'!J91</f>
        <v>0</v>
      </c>
      <c r="U672" s="69">
        <f>'Ethernet-Telecom'!K91</f>
        <v>0</v>
      </c>
      <c r="V672" s="69">
        <f>'Ethernet-Telecom'!L91</f>
        <v>0</v>
      </c>
      <c r="W672" s="69">
        <f>'Ethernet-Telecom'!M91</f>
        <v>0</v>
      </c>
      <c r="X672" s="69">
        <f>'Ethernet-Telecom'!N91</f>
        <v>0</v>
      </c>
      <c r="Y672" s="154" t="e">
        <f>(X672/S672)^(1/5)-1</f>
        <v>#DIV/0!</v>
      </c>
      <c r="AA672" s="160"/>
    </row>
    <row r="673" spans="2:27" x14ac:dyDescent="0.35">
      <c r="B673" s="24" t="s">
        <v>428</v>
      </c>
      <c r="C673" s="10">
        <f>'Ethernet-Enterprise'!E48</f>
        <v>3467783.0109793795</v>
      </c>
      <c r="D673" s="10">
        <f>'Ethernet-Enterprise'!F48</f>
        <v>3739506.2112055444</v>
      </c>
      <c r="E673" s="10">
        <f>'Ethernet-Enterprise'!G48</f>
        <v>0</v>
      </c>
      <c r="F673" s="10">
        <f>'Ethernet-Enterprise'!H48</f>
        <v>0</v>
      </c>
      <c r="G673" s="10">
        <f>'Ethernet-Enterprise'!I48</f>
        <v>0</v>
      </c>
      <c r="H673" s="10">
        <f>'Ethernet-Enterprise'!J48</f>
        <v>0</v>
      </c>
      <c r="I673" s="10">
        <f>'Ethernet-Enterprise'!K48</f>
        <v>0</v>
      </c>
      <c r="J673" s="10">
        <f>'Ethernet-Enterprise'!L48</f>
        <v>0</v>
      </c>
      <c r="K673" s="10">
        <f>'Ethernet-Enterprise'!M48</f>
        <v>0</v>
      </c>
      <c r="L673" s="10">
        <f>'Ethernet-Enterprise'!N48</f>
        <v>0</v>
      </c>
      <c r="M673" s="65"/>
      <c r="N673" s="24" t="str">
        <f>B673</f>
        <v>Enterprise</v>
      </c>
      <c r="O673" s="69">
        <f>'Ethernet-Enterprise'!E91</f>
        <v>91.670344447090784</v>
      </c>
      <c r="P673" s="69">
        <f>'Ethernet-Enterprise'!F91</f>
        <v>96.768991822767688</v>
      </c>
      <c r="Q673" s="69">
        <f>'Ethernet-Enterprise'!G91</f>
        <v>0</v>
      </c>
      <c r="R673" s="69">
        <f>'Ethernet-Enterprise'!H91</f>
        <v>0</v>
      </c>
      <c r="S673" s="69">
        <f>'Ethernet-Enterprise'!I91</f>
        <v>0</v>
      </c>
      <c r="T673" s="69">
        <f>'Ethernet-Enterprise'!J91</f>
        <v>0</v>
      </c>
      <c r="U673" s="69">
        <f>'Ethernet-Enterprise'!K91</f>
        <v>0</v>
      </c>
      <c r="V673" s="69">
        <f>'Ethernet-Enterprise'!L91</f>
        <v>0</v>
      </c>
      <c r="W673" s="69">
        <f>'Ethernet-Enterprise'!M91</f>
        <v>0</v>
      </c>
      <c r="X673" s="69">
        <f>'Ethernet-Enterprise'!N91</f>
        <v>0</v>
      </c>
      <c r="Y673" s="155" t="e">
        <f>(X673/S673)^(1/5)-1</f>
        <v>#DIV/0!</v>
      </c>
      <c r="AA673" s="304"/>
    </row>
    <row r="674" spans="2:27" x14ac:dyDescent="0.35">
      <c r="B674" s="187" t="s">
        <v>424</v>
      </c>
      <c r="C674" s="130">
        <f>SUM(C671:C673)</f>
        <v>7189721.1434980677</v>
      </c>
      <c r="D674" s="130">
        <f t="shared" ref="D674:L674" si="86">SUM(D671:D673)</f>
        <v>7776607.4457645901</v>
      </c>
      <c r="E674" s="130">
        <f t="shared" si="86"/>
        <v>0</v>
      </c>
      <c r="F674" s="130">
        <f t="shared" si="86"/>
        <v>0</v>
      </c>
      <c r="G674" s="130">
        <f t="shared" si="86"/>
        <v>0</v>
      </c>
      <c r="H674" s="130">
        <f t="shared" si="86"/>
        <v>0</v>
      </c>
      <c r="I674" s="130">
        <f t="shared" si="86"/>
        <v>0</v>
      </c>
      <c r="J674" s="130">
        <f t="shared" si="86"/>
        <v>0</v>
      </c>
      <c r="K674" s="130">
        <f t="shared" si="86"/>
        <v>0</v>
      </c>
      <c r="L674" s="130">
        <f t="shared" si="86"/>
        <v>0</v>
      </c>
      <c r="M674" s="65"/>
      <c r="N674" s="187" t="str">
        <f>B674</f>
        <v>Total Ethernet - China</v>
      </c>
      <c r="O674" s="329">
        <f t="shared" ref="O674:X674" si="87">SUM(O671:O673)</f>
        <v>553.64846512280633</v>
      </c>
      <c r="P674" s="329">
        <f t="shared" si="87"/>
        <v>507.58220165509556</v>
      </c>
      <c r="Q674" s="329">
        <f t="shared" si="87"/>
        <v>0</v>
      </c>
      <c r="R674" s="329">
        <f t="shared" si="87"/>
        <v>0</v>
      </c>
      <c r="S674" s="329">
        <f t="shared" si="87"/>
        <v>0</v>
      </c>
      <c r="T674" s="329">
        <f t="shared" si="87"/>
        <v>0</v>
      </c>
      <c r="U674" s="329">
        <f t="shared" si="87"/>
        <v>0</v>
      </c>
      <c r="V674" s="329">
        <f t="shared" si="87"/>
        <v>0</v>
      </c>
      <c r="W674" s="329">
        <f t="shared" si="87"/>
        <v>0</v>
      </c>
      <c r="X674" s="329">
        <f t="shared" si="87"/>
        <v>0</v>
      </c>
      <c r="Y674" s="159" t="e">
        <f>(X674/S674)^(1/5)-1</f>
        <v>#DIV/0!</v>
      </c>
    </row>
    <row r="675" spans="2:27" x14ac:dyDescent="0.35">
      <c r="B675" s="454" t="s">
        <v>273</v>
      </c>
      <c r="C675" s="455">
        <f>C671/C674</f>
        <v>0.30404544102880471</v>
      </c>
      <c r="D675" s="455">
        <f t="shared" ref="D675:L675" si="88">D671/D674</f>
        <v>0.35110997409357014</v>
      </c>
      <c r="E675" s="455" t="e">
        <f t="shared" si="88"/>
        <v>#DIV/0!</v>
      </c>
      <c r="F675" s="455" t="e">
        <f t="shared" si="88"/>
        <v>#DIV/0!</v>
      </c>
      <c r="G675" s="455" t="e">
        <f t="shared" si="88"/>
        <v>#DIV/0!</v>
      </c>
      <c r="H675" s="455" t="e">
        <f t="shared" si="88"/>
        <v>#DIV/0!</v>
      </c>
      <c r="I675" s="455" t="e">
        <f t="shared" si="88"/>
        <v>#DIV/0!</v>
      </c>
      <c r="J675" s="455" t="e">
        <f t="shared" si="88"/>
        <v>#DIV/0!</v>
      </c>
      <c r="K675" s="455" t="e">
        <f t="shared" si="88"/>
        <v>#DIV/0!</v>
      </c>
      <c r="L675" s="455" t="e">
        <f t="shared" si="88"/>
        <v>#DIV/0!</v>
      </c>
      <c r="M675" s="65"/>
      <c r="N675" s="454" t="s">
        <v>273</v>
      </c>
      <c r="O675" s="455">
        <f t="shared" ref="O675:X675" si="89">O671/O674</f>
        <v>0.21021123618961896</v>
      </c>
      <c r="P675" s="455">
        <f t="shared" si="89"/>
        <v>0.36693368781907743</v>
      </c>
      <c r="Q675" s="455" t="e">
        <f t="shared" si="89"/>
        <v>#DIV/0!</v>
      </c>
      <c r="R675" s="455" t="e">
        <f t="shared" si="89"/>
        <v>#DIV/0!</v>
      </c>
      <c r="S675" s="455" t="e">
        <f t="shared" si="89"/>
        <v>#DIV/0!</v>
      </c>
      <c r="T675" s="455" t="e">
        <f t="shared" si="89"/>
        <v>#DIV/0!</v>
      </c>
      <c r="U675" s="455" t="e">
        <f t="shared" si="89"/>
        <v>#DIV/0!</v>
      </c>
      <c r="V675" s="455" t="e">
        <f t="shared" si="89"/>
        <v>#DIV/0!</v>
      </c>
      <c r="W675" s="455" t="e">
        <f t="shared" si="89"/>
        <v>#DIV/0!</v>
      </c>
      <c r="X675" s="455" t="e">
        <f t="shared" si="89"/>
        <v>#DIV/0!</v>
      </c>
      <c r="Y675" s="452"/>
    </row>
    <row r="676" spans="2:27" customFormat="1" ht="12.5" x14ac:dyDescent="0.25"/>
    <row r="677" spans="2:27" x14ac:dyDescent="0.35">
      <c r="B677" s="94" t="s">
        <v>85</v>
      </c>
      <c r="C677" s="32"/>
      <c r="D677" s="32"/>
      <c r="E677" s="32"/>
      <c r="F677" s="32"/>
      <c r="G677" s="32"/>
      <c r="H677" s="32"/>
      <c r="I677" s="32"/>
      <c r="J677" s="33"/>
      <c r="K677" s="33"/>
      <c r="L677" s="33"/>
      <c r="M677" s="33"/>
      <c r="N677" s="94" t="s">
        <v>86</v>
      </c>
      <c r="O677" s="17"/>
      <c r="P677" s="17"/>
      <c r="Q677" s="17"/>
      <c r="R677" s="17"/>
      <c r="S677" s="152"/>
      <c r="T677" s="152"/>
      <c r="U677" s="152"/>
      <c r="V677" s="152"/>
      <c r="W677" s="152"/>
      <c r="X677" s="152"/>
      <c r="Z677" s="152"/>
    </row>
    <row r="678" spans="2:27" x14ac:dyDescent="0.35">
      <c r="B678" s="31"/>
      <c r="C678" s="32"/>
      <c r="D678" s="32"/>
      <c r="E678" s="32"/>
      <c r="F678" s="32"/>
      <c r="G678" s="32"/>
      <c r="H678" s="32"/>
      <c r="I678" s="32"/>
      <c r="J678" s="33"/>
      <c r="K678" s="33"/>
      <c r="L678" s="33"/>
      <c r="M678" s="33"/>
      <c r="N678" s="33"/>
      <c r="O678" s="17"/>
      <c r="P678" s="17"/>
      <c r="Q678" s="17"/>
      <c r="R678" s="17"/>
      <c r="S678" s="152"/>
      <c r="T678" s="152"/>
      <c r="U678" s="152"/>
      <c r="V678" s="152"/>
      <c r="W678" s="152"/>
      <c r="X678" s="152"/>
      <c r="Z678" s="152"/>
    </row>
    <row r="679" spans="2:27" x14ac:dyDescent="0.35">
      <c r="B679" s="31"/>
      <c r="C679" s="32"/>
      <c r="D679" s="32"/>
      <c r="E679" s="32"/>
      <c r="F679" s="32"/>
      <c r="G679" s="32"/>
      <c r="H679" s="32"/>
      <c r="I679" s="32"/>
      <c r="J679" s="33"/>
      <c r="K679" s="33"/>
      <c r="L679" s="33"/>
      <c r="M679" s="33"/>
      <c r="N679" s="33"/>
      <c r="O679" s="17"/>
      <c r="P679" s="17"/>
      <c r="Q679" s="17"/>
      <c r="R679" s="17"/>
      <c r="S679" s="152"/>
      <c r="T679" s="152"/>
      <c r="U679" s="152"/>
      <c r="V679" s="152"/>
      <c r="W679" s="152"/>
      <c r="X679" s="152"/>
      <c r="Z679" s="152"/>
    </row>
    <row r="680" spans="2:27" x14ac:dyDescent="0.35">
      <c r="B680" s="31"/>
      <c r="C680" s="32"/>
      <c r="D680" s="32"/>
      <c r="E680" s="32"/>
      <c r="F680" s="32"/>
      <c r="G680" s="32"/>
      <c r="H680" s="32"/>
      <c r="I680" s="32"/>
      <c r="J680" s="33"/>
      <c r="K680" s="33"/>
      <c r="L680" s="33"/>
      <c r="M680" s="33"/>
      <c r="N680" s="33"/>
      <c r="O680" s="17"/>
      <c r="P680" s="17"/>
      <c r="Q680" s="17"/>
      <c r="R680" s="17"/>
      <c r="S680" s="152"/>
      <c r="T680" s="152"/>
      <c r="U680" s="152"/>
      <c r="V680" s="152"/>
      <c r="W680" s="152"/>
      <c r="X680" s="152"/>
      <c r="Z680" s="152"/>
    </row>
    <row r="681" spans="2:27" x14ac:dyDescent="0.35">
      <c r="B681" s="31"/>
      <c r="C681" s="32"/>
      <c r="D681" s="32"/>
      <c r="E681" s="32"/>
      <c r="F681" s="32"/>
      <c r="G681" s="32"/>
      <c r="H681" s="32"/>
      <c r="I681" s="32"/>
      <c r="J681" s="33"/>
      <c r="K681" s="33"/>
      <c r="L681" s="33"/>
      <c r="M681" s="33"/>
      <c r="N681" s="33"/>
      <c r="O681" s="17"/>
      <c r="P681" s="17"/>
      <c r="Q681" s="17"/>
      <c r="R681" s="17"/>
      <c r="S681" s="152"/>
      <c r="T681" s="152"/>
      <c r="U681" s="152"/>
      <c r="V681" s="152"/>
      <c r="W681" s="152"/>
      <c r="X681" s="152"/>
      <c r="Z681" s="152"/>
    </row>
    <row r="682" spans="2:27" x14ac:dyDescent="0.35">
      <c r="B682" s="31"/>
      <c r="C682" s="32"/>
      <c r="D682" s="32"/>
      <c r="E682" s="32"/>
      <c r="F682" s="32"/>
      <c r="G682" s="32"/>
      <c r="H682" s="32"/>
      <c r="I682" s="32"/>
      <c r="J682" s="33"/>
      <c r="K682" s="33"/>
      <c r="L682" s="33"/>
      <c r="M682" s="33"/>
      <c r="N682" s="33"/>
      <c r="O682" s="17"/>
      <c r="P682" s="17"/>
      <c r="Q682" s="17"/>
      <c r="R682" s="17"/>
      <c r="S682" s="152"/>
      <c r="T682" s="152"/>
      <c r="U682" s="152"/>
      <c r="V682" s="152"/>
      <c r="W682" s="152"/>
      <c r="X682" s="152"/>
      <c r="Z682" s="152"/>
    </row>
    <row r="683" spans="2:27" x14ac:dyDescent="0.35">
      <c r="B683" s="31"/>
      <c r="C683" s="32"/>
      <c r="D683" s="32"/>
      <c r="E683" s="32"/>
      <c r="F683" s="32"/>
      <c r="G683" s="32"/>
      <c r="H683" s="32"/>
      <c r="I683" s="32"/>
      <c r="J683" s="33"/>
      <c r="K683" s="33"/>
      <c r="L683" s="33"/>
      <c r="M683" s="33"/>
      <c r="N683" s="33"/>
      <c r="O683" s="17"/>
      <c r="P683" s="17"/>
      <c r="Q683" s="17"/>
      <c r="R683" s="17"/>
      <c r="S683" s="152"/>
      <c r="T683" s="152"/>
      <c r="U683" s="152"/>
      <c r="V683" s="152"/>
      <c r="W683" s="152"/>
      <c r="X683" s="152"/>
      <c r="Z683" s="152"/>
    </row>
    <row r="684" spans="2:27" x14ac:dyDescent="0.35">
      <c r="B684" s="31"/>
      <c r="C684" s="32"/>
      <c r="D684" s="32"/>
      <c r="E684" s="32"/>
      <c r="F684" s="32"/>
      <c r="G684" s="32"/>
      <c r="H684" s="32"/>
      <c r="I684" s="32"/>
      <c r="J684" s="33"/>
      <c r="K684" s="33"/>
      <c r="L684" s="33"/>
      <c r="M684" s="33"/>
      <c r="N684" s="33"/>
      <c r="O684" s="17"/>
      <c r="P684" s="17"/>
      <c r="Q684" s="17"/>
      <c r="R684" s="17"/>
      <c r="S684" s="152"/>
      <c r="T684" s="152"/>
      <c r="U684" s="152"/>
      <c r="V684" s="152"/>
      <c r="W684" s="152"/>
      <c r="X684" s="152"/>
      <c r="Z684" s="152"/>
    </row>
    <row r="685" spans="2:27" x14ac:dyDescent="0.35">
      <c r="B685" s="31"/>
      <c r="C685" s="32"/>
      <c r="D685" s="32"/>
      <c r="E685" s="32"/>
      <c r="F685" s="32"/>
      <c r="G685" s="32"/>
      <c r="H685" s="32"/>
      <c r="I685" s="32"/>
      <c r="J685" s="33"/>
      <c r="K685" s="33"/>
      <c r="L685" s="33"/>
      <c r="M685" s="33"/>
      <c r="N685" s="33"/>
      <c r="O685" s="17"/>
      <c r="P685" s="17"/>
      <c r="Q685" s="17"/>
      <c r="R685" s="17"/>
      <c r="S685" s="152"/>
      <c r="T685" s="152"/>
      <c r="U685" s="152"/>
      <c r="V685" s="152"/>
      <c r="W685" s="152"/>
      <c r="X685" s="152"/>
      <c r="Z685" s="152"/>
    </row>
    <row r="686" spans="2:27" x14ac:dyDescent="0.35">
      <c r="B686" s="31"/>
      <c r="C686" s="32"/>
      <c r="D686" s="32"/>
      <c r="E686" s="32"/>
      <c r="F686" s="32"/>
      <c r="G686" s="32"/>
      <c r="H686" s="32"/>
      <c r="I686" s="32"/>
      <c r="J686" s="33"/>
      <c r="K686" s="33"/>
      <c r="L686" s="33"/>
      <c r="M686" s="33"/>
      <c r="N686" s="33"/>
      <c r="O686" s="17"/>
      <c r="P686" s="17"/>
      <c r="Q686" s="17"/>
      <c r="R686" s="17"/>
      <c r="S686" s="152"/>
      <c r="T686" s="152"/>
      <c r="U686" s="152"/>
      <c r="V686" s="152"/>
      <c r="W686" s="152"/>
      <c r="X686" s="152"/>
      <c r="Z686" s="152"/>
    </row>
    <row r="687" spans="2:27" x14ac:dyDescent="0.35">
      <c r="B687" s="31"/>
      <c r="C687" s="32"/>
      <c r="D687" s="32"/>
      <c r="E687" s="32"/>
      <c r="F687" s="32"/>
      <c r="G687" s="32"/>
      <c r="H687" s="32"/>
      <c r="I687" s="32"/>
      <c r="J687" s="33"/>
      <c r="K687" s="33"/>
      <c r="L687" s="33"/>
      <c r="M687" s="33"/>
      <c r="N687" s="33"/>
      <c r="O687" s="17"/>
      <c r="P687" s="17"/>
      <c r="Q687" s="17"/>
      <c r="R687" s="17"/>
      <c r="S687" s="152"/>
      <c r="T687" s="152"/>
      <c r="U687" s="152"/>
      <c r="V687" s="152"/>
      <c r="W687" s="152"/>
      <c r="X687" s="152"/>
      <c r="Z687" s="152"/>
    </row>
    <row r="688" spans="2:27" x14ac:dyDescent="0.35">
      <c r="B688" s="31"/>
      <c r="C688" s="32"/>
      <c r="D688" s="32"/>
      <c r="E688" s="32"/>
      <c r="F688" s="32"/>
      <c r="G688" s="32"/>
      <c r="H688" s="32"/>
      <c r="I688" s="32"/>
      <c r="J688" s="33"/>
      <c r="K688" s="33"/>
      <c r="L688" s="33"/>
      <c r="M688" s="33"/>
      <c r="N688" s="33"/>
      <c r="O688" s="17"/>
      <c r="P688" s="17"/>
      <c r="Q688" s="17"/>
      <c r="R688" s="17"/>
      <c r="S688" s="152"/>
      <c r="T688" s="152"/>
      <c r="U688" s="152"/>
      <c r="V688" s="152"/>
      <c r="W688" s="152"/>
      <c r="X688" s="152"/>
      <c r="Z688" s="152"/>
    </row>
    <row r="689" spans="2:48" x14ac:dyDescent="0.35">
      <c r="B689" s="31"/>
      <c r="C689" s="32"/>
      <c r="D689" s="32"/>
      <c r="E689" s="32"/>
      <c r="F689" s="32"/>
      <c r="G689" s="32"/>
      <c r="H689" s="32"/>
      <c r="I689" s="32"/>
      <c r="J689" s="33"/>
      <c r="K689" s="33"/>
      <c r="L689" s="33"/>
      <c r="M689" s="33"/>
      <c r="N689" s="33"/>
      <c r="O689" s="17"/>
      <c r="P689" s="17"/>
      <c r="Q689" s="17"/>
      <c r="R689" s="17"/>
      <c r="S689" s="152"/>
      <c r="T689" s="152"/>
      <c r="U689" s="152"/>
      <c r="V689" s="152"/>
      <c r="W689" s="152"/>
      <c r="X689" s="152"/>
      <c r="Z689" s="152"/>
    </row>
    <row r="690" spans="2:48" x14ac:dyDescent="0.35">
      <c r="B690" s="31"/>
      <c r="C690" s="32"/>
      <c r="D690" s="32"/>
      <c r="E690" s="32"/>
      <c r="F690" s="32"/>
      <c r="G690" s="32"/>
      <c r="H690" s="32"/>
      <c r="I690" s="32"/>
      <c r="J690" s="33"/>
      <c r="K690" s="33"/>
      <c r="L690" s="33"/>
      <c r="M690" s="33"/>
      <c r="N690" s="33"/>
      <c r="O690" s="17"/>
      <c r="P690" s="17"/>
      <c r="Q690" s="17"/>
      <c r="R690" s="17"/>
      <c r="S690" s="152"/>
      <c r="T690" s="152"/>
      <c r="U690" s="152"/>
      <c r="V690" s="152"/>
      <c r="W690" s="152"/>
      <c r="X690" s="152"/>
      <c r="Z690" s="152"/>
    </row>
    <row r="691" spans="2:48" x14ac:dyDescent="0.35">
      <c r="B691" s="31"/>
      <c r="C691" s="32"/>
      <c r="D691" s="32"/>
      <c r="E691" s="32"/>
      <c r="F691" s="32"/>
      <c r="G691" s="32"/>
      <c r="H691" s="32"/>
      <c r="I691" s="32"/>
      <c r="J691" s="33"/>
      <c r="K691" s="33"/>
      <c r="L691" s="33"/>
      <c r="M691" s="33"/>
      <c r="N691" s="33"/>
      <c r="O691" s="17"/>
      <c r="P691" s="17"/>
      <c r="Q691" s="17"/>
      <c r="R691" s="17"/>
      <c r="S691" s="152"/>
      <c r="T691" s="152"/>
      <c r="U691" s="152"/>
      <c r="V691" s="152"/>
      <c r="W691" s="152"/>
      <c r="X691" s="152"/>
      <c r="Z691" s="152"/>
    </row>
    <row r="692" spans="2:48" x14ac:dyDescent="0.35">
      <c r="B692" s="31"/>
      <c r="C692" s="32"/>
      <c r="D692" s="32"/>
      <c r="E692" s="32"/>
      <c r="F692" s="32"/>
      <c r="G692" s="32"/>
      <c r="H692" s="32"/>
      <c r="I692" s="32"/>
      <c r="J692" s="33"/>
      <c r="K692" s="33"/>
      <c r="L692" s="33"/>
      <c r="M692" s="33"/>
      <c r="N692" s="33"/>
      <c r="O692" s="17"/>
      <c r="P692" s="17"/>
      <c r="Q692" s="17"/>
      <c r="R692" s="17"/>
      <c r="S692" s="152"/>
      <c r="T692" s="152"/>
      <c r="U692" s="152"/>
      <c r="V692" s="152"/>
      <c r="W692" s="152"/>
      <c r="X692" s="152"/>
      <c r="Z692" s="152"/>
    </row>
    <row r="693" spans="2:48" x14ac:dyDescent="0.35">
      <c r="B693" s="31"/>
      <c r="C693" s="32"/>
      <c r="D693" s="32"/>
      <c r="E693" s="32"/>
      <c r="F693" s="32"/>
      <c r="G693" s="32"/>
      <c r="H693" s="32"/>
      <c r="I693" s="32"/>
      <c r="J693" s="33"/>
      <c r="K693" s="33"/>
      <c r="L693" s="33"/>
      <c r="M693" s="33"/>
      <c r="N693" s="33"/>
      <c r="O693" s="17"/>
      <c r="P693" s="17"/>
      <c r="Q693" s="17"/>
      <c r="R693" s="17"/>
      <c r="S693" s="152"/>
      <c r="T693" s="152"/>
      <c r="U693" s="152"/>
      <c r="V693" s="152"/>
      <c r="W693" s="152"/>
      <c r="X693" s="152"/>
      <c r="Z693" s="152"/>
    </row>
    <row r="694" spans="2:48" x14ac:dyDescent="0.35">
      <c r="B694" s="31"/>
      <c r="C694" s="32"/>
      <c r="D694" s="32"/>
      <c r="E694" s="32"/>
      <c r="F694" s="32"/>
      <c r="G694" s="32"/>
      <c r="H694" s="32"/>
      <c r="I694" s="32"/>
      <c r="J694" s="33"/>
      <c r="K694" s="33"/>
      <c r="L694" s="33"/>
      <c r="M694" s="33"/>
      <c r="N694" s="33"/>
      <c r="O694" s="17"/>
      <c r="P694" s="17"/>
      <c r="Q694" s="17"/>
      <c r="R694" s="17"/>
      <c r="S694" s="152"/>
      <c r="T694" s="152"/>
      <c r="U694" s="152"/>
      <c r="V694" s="152"/>
      <c r="W694" s="152"/>
      <c r="X694" s="152"/>
      <c r="Z694" s="152"/>
    </row>
    <row r="695" spans="2:48" x14ac:dyDescent="0.35">
      <c r="B695" s="31"/>
      <c r="C695" s="32"/>
      <c r="D695" s="32"/>
      <c r="E695" s="32"/>
      <c r="F695" s="32"/>
      <c r="G695" s="32"/>
      <c r="H695" s="32"/>
      <c r="I695" s="32"/>
      <c r="J695" s="33"/>
      <c r="K695" s="33"/>
      <c r="L695" s="33"/>
      <c r="M695" s="33"/>
      <c r="N695" s="33"/>
      <c r="O695" s="17"/>
      <c r="P695" s="17"/>
      <c r="Q695" s="17"/>
      <c r="R695" s="17"/>
      <c r="S695" s="152"/>
      <c r="T695" s="152"/>
      <c r="U695" s="152"/>
      <c r="V695" s="152"/>
      <c r="W695" s="152"/>
      <c r="X695" s="152"/>
      <c r="Z695" s="152"/>
    </row>
    <row r="696" spans="2:48" x14ac:dyDescent="0.35">
      <c r="B696" s="31"/>
      <c r="C696" s="32"/>
      <c r="D696" s="32"/>
      <c r="E696" s="32"/>
      <c r="F696" s="32"/>
      <c r="G696" s="32"/>
      <c r="H696" s="32"/>
      <c r="I696" s="32"/>
      <c r="J696" s="33"/>
      <c r="K696" s="33"/>
      <c r="L696" s="33"/>
      <c r="M696" s="33"/>
      <c r="N696" s="33"/>
      <c r="O696" s="17"/>
      <c r="P696" s="17"/>
      <c r="Q696" s="17"/>
      <c r="R696" s="17"/>
      <c r="S696" s="152"/>
      <c r="T696" s="152"/>
      <c r="U696" s="152"/>
      <c r="V696" s="152"/>
      <c r="W696" s="152"/>
      <c r="X696" s="152"/>
      <c r="Z696" s="152"/>
    </row>
    <row r="697" spans="2:48" x14ac:dyDescent="0.35">
      <c r="B697" s="31"/>
      <c r="C697" s="32"/>
      <c r="D697" s="32"/>
      <c r="E697" s="32"/>
      <c r="F697" s="32"/>
      <c r="G697" s="32"/>
      <c r="H697" s="32"/>
      <c r="I697" s="32"/>
      <c r="J697" s="33"/>
      <c r="K697" s="33"/>
      <c r="L697" s="33"/>
      <c r="M697" s="33"/>
      <c r="N697" s="33"/>
      <c r="O697" s="17"/>
      <c r="P697" s="17"/>
      <c r="Q697" s="17"/>
      <c r="R697" s="17"/>
      <c r="S697" s="152"/>
      <c r="T697" s="152"/>
      <c r="U697" s="152"/>
      <c r="V697" s="152"/>
      <c r="W697" s="152"/>
      <c r="X697" s="152"/>
      <c r="Z697" s="152"/>
    </row>
    <row r="698" spans="2:48" x14ac:dyDescent="0.35">
      <c r="B698" s="31"/>
      <c r="C698" s="32"/>
      <c r="D698" s="32"/>
      <c r="E698" s="32"/>
      <c r="F698" s="32"/>
      <c r="G698" s="32"/>
      <c r="H698" s="32"/>
      <c r="I698" s="32"/>
      <c r="J698" s="33"/>
      <c r="K698" s="33"/>
      <c r="L698" s="33"/>
      <c r="M698" s="33"/>
      <c r="N698" s="33"/>
      <c r="O698" s="17"/>
      <c r="P698" s="17"/>
      <c r="Q698" s="17"/>
      <c r="R698" s="17"/>
      <c r="S698" s="152"/>
      <c r="T698" s="152"/>
      <c r="U698" s="152"/>
      <c r="V698" s="152"/>
      <c r="W698" s="152"/>
      <c r="X698" s="152"/>
      <c r="Z698" s="152"/>
    </row>
    <row r="699" spans="2:48" x14ac:dyDescent="0.35">
      <c r="B699" s="31"/>
      <c r="C699" s="32"/>
      <c r="D699" s="32"/>
      <c r="E699" s="32"/>
      <c r="F699" s="32"/>
      <c r="G699" s="32"/>
      <c r="H699" s="32"/>
      <c r="I699" s="32"/>
      <c r="J699" s="33"/>
      <c r="K699" s="33"/>
      <c r="L699" s="33"/>
      <c r="M699" s="33"/>
      <c r="N699" s="33"/>
      <c r="O699" s="17"/>
      <c r="P699" s="17"/>
      <c r="Q699" s="17"/>
      <c r="R699" s="17"/>
      <c r="S699" s="152"/>
      <c r="T699" s="152"/>
      <c r="U699" s="152"/>
      <c r="V699" s="152"/>
      <c r="W699" s="152"/>
      <c r="X699" s="152"/>
      <c r="Z699" s="152"/>
    </row>
    <row r="700" spans="2:48" x14ac:dyDescent="0.35">
      <c r="B700" s="31"/>
      <c r="C700" s="32"/>
      <c r="D700" s="32"/>
      <c r="E700" s="32"/>
      <c r="F700" s="32"/>
      <c r="G700" s="32"/>
      <c r="H700" s="32"/>
      <c r="I700" s="32"/>
      <c r="J700" s="33"/>
      <c r="K700" s="33"/>
      <c r="L700" s="33"/>
      <c r="M700" s="33"/>
      <c r="N700" s="33"/>
      <c r="O700" s="17"/>
      <c r="P700" s="17"/>
      <c r="Q700" s="17"/>
      <c r="R700" s="17"/>
      <c r="S700" s="152"/>
      <c r="T700" s="152"/>
      <c r="U700" s="152"/>
      <c r="V700" s="152"/>
      <c r="W700" s="152"/>
      <c r="X700" s="152"/>
      <c r="Z700" s="152"/>
    </row>
    <row r="701" spans="2:48" x14ac:dyDescent="0.35">
      <c r="B701" s="31"/>
      <c r="C701" s="32"/>
      <c r="D701" s="32"/>
      <c r="E701" s="32"/>
      <c r="F701" s="32"/>
      <c r="G701" s="32"/>
      <c r="H701" s="32"/>
      <c r="I701" s="32"/>
      <c r="J701" s="33"/>
      <c r="K701" s="33"/>
      <c r="L701" s="33"/>
      <c r="M701" s="33"/>
      <c r="N701" s="33"/>
      <c r="O701" s="17"/>
      <c r="P701" s="17"/>
      <c r="Q701" s="17"/>
      <c r="R701" s="17"/>
      <c r="S701" s="152"/>
      <c r="T701" s="152"/>
      <c r="U701" s="152"/>
      <c r="V701" s="152"/>
      <c r="W701" s="152"/>
      <c r="X701" s="152"/>
      <c r="Z701" s="152"/>
    </row>
    <row r="702" spans="2:48" x14ac:dyDescent="0.35">
      <c r="B702" s="84"/>
      <c r="C702" s="61"/>
      <c r="D702" s="61"/>
      <c r="E702" s="61"/>
      <c r="F702" s="61"/>
      <c r="G702" s="61"/>
      <c r="H702" s="61"/>
      <c r="I702" s="61"/>
      <c r="J702" s="65"/>
      <c r="K702" s="65"/>
      <c r="L702" s="65"/>
      <c r="M702" s="65"/>
      <c r="N702" s="85"/>
      <c r="O702" s="17"/>
      <c r="P702" s="17"/>
      <c r="Q702" s="17"/>
      <c r="R702" s="17"/>
      <c r="S702" s="152"/>
      <c r="T702" s="152"/>
      <c r="U702" s="152"/>
      <c r="V702" s="152"/>
      <c r="W702" s="152"/>
      <c r="X702" s="152"/>
    </row>
    <row r="703" spans="2:48" x14ac:dyDescent="0.35">
      <c r="B703" s="84" t="s">
        <v>129</v>
      </c>
      <c r="D703" s="61"/>
      <c r="E703" s="61"/>
      <c r="F703" s="84" t="s">
        <v>401</v>
      </c>
      <c r="G703" s="61"/>
      <c r="H703" s="61"/>
      <c r="I703" s="61"/>
      <c r="J703" s="65"/>
      <c r="K703" s="65"/>
      <c r="L703" s="65"/>
      <c r="M703" s="65"/>
      <c r="N703" s="85" t="s">
        <v>130</v>
      </c>
      <c r="P703" s="17"/>
      <c r="Q703" s="17"/>
      <c r="R703" s="84" t="str">
        <f>F703</f>
        <v>China market only</v>
      </c>
      <c r="S703" s="152"/>
      <c r="T703" s="152"/>
      <c r="U703" s="152"/>
      <c r="V703" s="152"/>
      <c r="W703" s="152"/>
      <c r="X703" s="152"/>
      <c r="Y703" s="141" t="s">
        <v>2</v>
      </c>
      <c r="AA703" s="312"/>
      <c r="AB703" s="61"/>
      <c r="AC703" s="61"/>
      <c r="AD703" s="61"/>
      <c r="AE703" s="61"/>
      <c r="AF703" s="61"/>
      <c r="AG703" s="61"/>
      <c r="AH703" s="61"/>
      <c r="AI703" s="65"/>
      <c r="AJ703" s="85"/>
      <c r="AK703" s="65"/>
      <c r="AL703" s="65"/>
      <c r="AM703" s="65"/>
      <c r="AN703" s="65"/>
      <c r="AO703" s="65"/>
      <c r="AP703" s="65"/>
      <c r="AQ703" s="65"/>
      <c r="AR703" s="17"/>
      <c r="AS703" s="17"/>
      <c r="AT703" s="17"/>
      <c r="AU703" s="17"/>
      <c r="AV703" s="152"/>
    </row>
    <row r="704" spans="2:48" x14ac:dyDescent="0.35">
      <c r="B704" s="185" t="s">
        <v>80</v>
      </c>
      <c r="C704" s="123">
        <v>2016</v>
      </c>
      <c r="D704" s="140">
        <v>2017</v>
      </c>
      <c r="E704" s="123">
        <v>2018</v>
      </c>
      <c r="F704" s="123">
        <v>2019</v>
      </c>
      <c r="G704" s="123">
        <v>2020</v>
      </c>
      <c r="H704" s="123">
        <v>2021</v>
      </c>
      <c r="I704" s="123">
        <v>2022</v>
      </c>
      <c r="J704" s="123">
        <v>2023</v>
      </c>
      <c r="K704" s="123">
        <v>2024</v>
      </c>
      <c r="L704" s="123">
        <v>2025</v>
      </c>
      <c r="M704" s="65"/>
      <c r="N704" s="185" t="s">
        <v>10</v>
      </c>
      <c r="O704" s="124">
        <v>2016</v>
      </c>
      <c r="P704" s="123">
        <v>2017</v>
      </c>
      <c r="Q704" s="140">
        <v>2018</v>
      </c>
      <c r="R704" s="140">
        <v>2019</v>
      </c>
      <c r="S704" s="140">
        <v>2020</v>
      </c>
      <c r="T704" s="140">
        <v>2021</v>
      </c>
      <c r="U704" s="140">
        <v>2022</v>
      </c>
      <c r="V704" s="140">
        <v>2023</v>
      </c>
      <c r="W704" s="140">
        <v>2024</v>
      </c>
      <c r="X704" s="140">
        <v>2025</v>
      </c>
      <c r="Y704" s="123" t="str">
        <f>$Y$98</f>
        <v>2020-2025</v>
      </c>
      <c r="AA704" s="304">
        <f>ROUND(SUM(O705:X713),6)</f>
        <v>1061.230667</v>
      </c>
    </row>
    <row r="705" spans="2:27" x14ac:dyDescent="0.35">
      <c r="B705" s="34" t="s">
        <v>469</v>
      </c>
      <c r="C705" s="147">
        <f>SUM('Ethernet-Total'!E30:E30)</f>
        <v>2863473.6774646235</v>
      </c>
      <c r="D705" s="147">
        <f>SUM('Ethernet-Total'!F30:F30)</f>
        <v>2381256.8681999999</v>
      </c>
      <c r="E705" s="147">
        <f>SUM('Ethernet-Total'!G30:G30)</f>
        <v>0</v>
      </c>
      <c r="F705" s="147">
        <f>SUM('Ethernet-Total'!H30:H30)</f>
        <v>0</v>
      </c>
      <c r="G705" s="147">
        <f>SUM('Ethernet-Total'!I30:I30)</f>
        <v>0</v>
      </c>
      <c r="H705" s="147">
        <f>SUM('Ethernet-Total'!J30:J30)</f>
        <v>0</v>
      </c>
      <c r="I705" s="147">
        <f>SUM('Ethernet-Total'!K30:K30)</f>
        <v>0</v>
      </c>
      <c r="J705" s="147">
        <f>SUM('Ethernet-Total'!L30:L30)</f>
        <v>0</v>
      </c>
      <c r="K705" s="147">
        <f>SUM('Ethernet-Total'!M30:M30)</f>
        <v>0</v>
      </c>
      <c r="L705" s="147">
        <f>SUM('Ethernet-Total'!N30:N30)</f>
        <v>0</v>
      </c>
      <c r="M705" s="65"/>
      <c r="N705" s="190" t="str">
        <f t="shared" ref="N705:N713" si="90">B705</f>
        <v>1 G</v>
      </c>
      <c r="O705" s="125">
        <f>SUM('Ethernet-Total'!E73:E73)</f>
        <v>33.753592950995731</v>
      </c>
      <c r="P705" s="125">
        <f>SUM('Ethernet-Total'!F73:F73)</f>
        <v>24.12801298184791</v>
      </c>
      <c r="Q705" s="125">
        <f>SUM('Ethernet-Total'!G73:G73)</f>
        <v>0</v>
      </c>
      <c r="R705" s="125">
        <f>SUM('Ethernet-Total'!H73:H73)</f>
        <v>0</v>
      </c>
      <c r="S705" s="125">
        <f>SUM('Ethernet-Total'!I73:I73)</f>
        <v>0</v>
      </c>
      <c r="T705" s="125">
        <f>SUM('Ethernet-Total'!J73:J73)</f>
        <v>0</v>
      </c>
      <c r="U705" s="125">
        <f>SUM('Ethernet-Total'!K73:K73)</f>
        <v>0</v>
      </c>
      <c r="V705" s="125">
        <f>SUM('Ethernet-Total'!L73:L73)</f>
        <v>0</v>
      </c>
      <c r="W705" s="125">
        <f>SUM('Ethernet-Total'!M73:M73)</f>
        <v>0</v>
      </c>
      <c r="X705" s="125">
        <f>SUM('Ethernet-Total'!N73:N73)</f>
        <v>0</v>
      </c>
      <c r="Y705" s="153" t="e">
        <f>(X705/S705)^(1/5)-1</f>
        <v>#DIV/0!</v>
      </c>
      <c r="AA705" s="305">
        <f>ROUND(SUM(O714:X714),6)</f>
        <v>1061.230667</v>
      </c>
    </row>
    <row r="706" spans="2:27" x14ac:dyDescent="0.35">
      <c r="B706" s="34" t="s">
        <v>470</v>
      </c>
      <c r="C706" s="10">
        <f>SUM('Ethernet-Total'!E31:E31)</f>
        <v>3700420.6170334443</v>
      </c>
      <c r="D706" s="10">
        <f>SUM('Ethernet-Total'!F31:F31)</f>
        <v>4354610.1340645906</v>
      </c>
      <c r="E706" s="10">
        <f>SUM('Ethernet-Total'!G31:G31)</f>
        <v>0</v>
      </c>
      <c r="F706" s="10">
        <f>SUM('Ethernet-Total'!H31:H31)</f>
        <v>0</v>
      </c>
      <c r="G706" s="10">
        <f>SUM('Ethernet-Total'!I31:I31)</f>
        <v>0</v>
      </c>
      <c r="H706" s="10">
        <f>SUM('Ethernet-Total'!J31:J31)</f>
        <v>0</v>
      </c>
      <c r="I706" s="10">
        <f>SUM('Ethernet-Total'!K31:K31)</f>
        <v>0</v>
      </c>
      <c r="J706" s="10">
        <f>SUM('Ethernet-Total'!L31:L31)</f>
        <v>0</v>
      </c>
      <c r="K706" s="10">
        <f>SUM('Ethernet-Total'!M31:M31)</f>
        <v>0</v>
      </c>
      <c r="L706" s="10">
        <f>SUM('Ethernet-Total'!N31:N31)</f>
        <v>0</v>
      </c>
      <c r="M706" s="65"/>
      <c r="N706" s="24" t="str">
        <f t="shared" si="90"/>
        <v>10 G</v>
      </c>
      <c r="O706" s="69">
        <f>SUM('Ethernet-Total'!E74:E74)</f>
        <v>125.13761849681907</v>
      </c>
      <c r="P706" s="69">
        <f>SUM('Ethernet-Total'!F74:F74)</f>
        <v>111.17325049723253</v>
      </c>
      <c r="Q706" s="69">
        <f>SUM('Ethernet-Total'!G74:G74)</f>
        <v>0</v>
      </c>
      <c r="R706" s="69">
        <f>SUM('Ethernet-Total'!H74:H74)</f>
        <v>0</v>
      </c>
      <c r="S706" s="69">
        <f>SUM('Ethernet-Total'!I74:I74)</f>
        <v>0</v>
      </c>
      <c r="T706" s="69">
        <f>SUM('Ethernet-Total'!J74:J74)</f>
        <v>0</v>
      </c>
      <c r="U706" s="69">
        <f>SUM('Ethernet-Total'!K74:K74)</f>
        <v>0</v>
      </c>
      <c r="V706" s="69">
        <f>SUM('Ethernet-Total'!L74:L74)</f>
        <v>0</v>
      </c>
      <c r="W706" s="69">
        <f>SUM('Ethernet-Total'!M74:M74)</f>
        <v>0</v>
      </c>
      <c r="X706" s="69">
        <f>SUM('Ethernet-Total'!N74:N74)</f>
        <v>0</v>
      </c>
      <c r="Y706" s="154" t="e">
        <f t="shared" ref="Y706:Y714" si="91">(X706/S706)^(1/5)-1</f>
        <v>#DIV/0!</v>
      </c>
      <c r="AA706" s="305">
        <f>ROUND(SUM('Ethernet-Total'!E73:N90),6)</f>
        <v>1061.230667</v>
      </c>
    </row>
    <row r="707" spans="2:27" x14ac:dyDescent="0.35">
      <c r="B707" s="34" t="s">
        <v>484</v>
      </c>
      <c r="C707" s="10">
        <f>'Ethernet-Total'!E32</f>
        <v>584.70000000000005</v>
      </c>
      <c r="D707" s="10">
        <f>'Ethernet-Total'!F32</f>
        <v>7932.89</v>
      </c>
      <c r="E707" s="10">
        <f>'Ethernet-Total'!G32</f>
        <v>0</v>
      </c>
      <c r="F707" s="10">
        <f>'Ethernet-Total'!H32</f>
        <v>0</v>
      </c>
      <c r="G707" s="10">
        <f>'Ethernet-Total'!I32</f>
        <v>0</v>
      </c>
      <c r="H707" s="10">
        <f>'Ethernet-Total'!J32</f>
        <v>0</v>
      </c>
      <c r="I707" s="10">
        <f>'Ethernet-Total'!K32</f>
        <v>0</v>
      </c>
      <c r="J707" s="10">
        <f>'Ethernet-Total'!L32</f>
        <v>0</v>
      </c>
      <c r="K707" s="10">
        <f>'Ethernet-Total'!M32</f>
        <v>0</v>
      </c>
      <c r="L707" s="10">
        <f>'Ethernet-Total'!N32</f>
        <v>0</v>
      </c>
      <c r="M707" s="65"/>
      <c r="N707" s="24" t="str">
        <f t="shared" si="90"/>
        <v>25G</v>
      </c>
      <c r="O707" s="69">
        <f>'Ethernet-Total'!E75</f>
        <v>0.17061530000000003</v>
      </c>
      <c r="P707" s="69">
        <f>'Ethernet-Total'!F75</f>
        <v>1.3430952714839963</v>
      </c>
      <c r="Q707" s="69">
        <f>'Ethernet-Total'!G75</f>
        <v>0</v>
      </c>
      <c r="R707" s="69">
        <f>'Ethernet-Total'!H75</f>
        <v>0</v>
      </c>
      <c r="S707" s="69">
        <f>'Ethernet-Total'!I75</f>
        <v>0</v>
      </c>
      <c r="T707" s="69">
        <f>'Ethernet-Total'!J75</f>
        <v>0</v>
      </c>
      <c r="U707" s="69">
        <f>'Ethernet-Total'!K75</f>
        <v>0</v>
      </c>
      <c r="V707" s="69">
        <f>'Ethernet-Total'!L75</f>
        <v>0</v>
      </c>
      <c r="W707" s="69">
        <f>'Ethernet-Total'!M75</f>
        <v>0</v>
      </c>
      <c r="X707" s="69">
        <f>'Ethernet-Total'!N75</f>
        <v>0</v>
      </c>
      <c r="Y707" s="154" t="e">
        <f t="shared" si="91"/>
        <v>#DIV/0!</v>
      </c>
    </row>
    <row r="708" spans="2:27" x14ac:dyDescent="0.35">
      <c r="B708" s="34" t="s">
        <v>472</v>
      </c>
      <c r="C708" s="10">
        <f>SUM('Ethernet-Total'!E33:E38)</f>
        <v>506625.75399999996</v>
      </c>
      <c r="D708" s="10">
        <f>SUM('Ethernet-Total'!F33:F38)</f>
        <v>776708.81549999979</v>
      </c>
      <c r="E708" s="10">
        <f>SUM('Ethernet-Total'!G33:G38)</f>
        <v>0</v>
      </c>
      <c r="F708" s="10">
        <f>SUM('Ethernet-Total'!H33:H38)</f>
        <v>0</v>
      </c>
      <c r="G708" s="10">
        <f>SUM('Ethernet-Total'!I33:I38)</f>
        <v>0</v>
      </c>
      <c r="H708" s="10">
        <f>SUM('Ethernet-Total'!J33:J38)</f>
        <v>0</v>
      </c>
      <c r="I708" s="10">
        <f>SUM('Ethernet-Total'!K33:K38)</f>
        <v>0</v>
      </c>
      <c r="J708" s="10">
        <f>SUM('Ethernet-Total'!L33:L38)</f>
        <v>0</v>
      </c>
      <c r="K708" s="10">
        <f>SUM('Ethernet-Total'!M33:M38)</f>
        <v>0</v>
      </c>
      <c r="L708" s="10">
        <f>SUM('Ethernet-Total'!N33:N38)</f>
        <v>0</v>
      </c>
      <c r="M708" s="65"/>
      <c r="N708" s="24" t="str">
        <f t="shared" si="90"/>
        <v>40 G</v>
      </c>
      <c r="O708" s="69">
        <f>SUM('Ethernet-Total'!E76:E81)</f>
        <v>95.906305971113625</v>
      </c>
      <c r="P708" s="69">
        <f>SUM('Ethernet-Total'!F76:F81)</f>
        <v>143.4496129428216</v>
      </c>
      <c r="Q708" s="69">
        <f>SUM('Ethernet-Total'!G76:G81)</f>
        <v>0</v>
      </c>
      <c r="R708" s="69">
        <f>SUM('Ethernet-Total'!H76:H81)</f>
        <v>0</v>
      </c>
      <c r="S708" s="69">
        <f>SUM('Ethernet-Total'!I76:I81)</f>
        <v>0</v>
      </c>
      <c r="T708" s="69">
        <f>SUM('Ethernet-Total'!J76:J81)</f>
        <v>0</v>
      </c>
      <c r="U708" s="69">
        <f>SUM('Ethernet-Total'!K76:K81)</f>
        <v>0</v>
      </c>
      <c r="V708" s="69">
        <f>SUM('Ethernet-Total'!L76:L81)</f>
        <v>0</v>
      </c>
      <c r="W708" s="69">
        <f>SUM('Ethernet-Total'!M76:M81)</f>
        <v>0</v>
      </c>
      <c r="X708" s="69">
        <f>SUM('Ethernet-Total'!N76:N81)</f>
        <v>0</v>
      </c>
      <c r="Y708" s="154" t="e">
        <f t="shared" si="91"/>
        <v>#DIV/0!</v>
      </c>
    </row>
    <row r="709" spans="2:27" x14ac:dyDescent="0.35">
      <c r="B709" s="34" t="s">
        <v>475</v>
      </c>
      <c r="C709" s="10">
        <f>'Ethernet-Total'!E39</f>
        <v>0</v>
      </c>
      <c r="D709" s="10">
        <f>'Ethernet-Total'!F39</f>
        <v>0</v>
      </c>
      <c r="E709" s="10">
        <f>'Ethernet-Total'!G39</f>
        <v>0</v>
      </c>
      <c r="F709" s="10">
        <f>'Ethernet-Total'!H39</f>
        <v>0</v>
      </c>
      <c r="G709" s="10">
        <f>'Ethernet-Total'!I39</f>
        <v>0</v>
      </c>
      <c r="H709" s="10">
        <f>'Ethernet-Total'!J39</f>
        <v>0</v>
      </c>
      <c r="I709" s="10">
        <f>'Ethernet-Total'!K39</f>
        <v>0</v>
      </c>
      <c r="J709" s="10">
        <f>'Ethernet-Total'!L39</f>
        <v>0</v>
      </c>
      <c r="K709" s="10">
        <f>'Ethernet-Total'!M39</f>
        <v>0</v>
      </c>
      <c r="L709" s="10">
        <f>'Ethernet-Total'!N39</f>
        <v>0</v>
      </c>
      <c r="M709" s="10"/>
      <c r="N709" s="24" t="str">
        <f t="shared" si="90"/>
        <v>50 G</v>
      </c>
      <c r="O709" s="69"/>
      <c r="P709" s="69"/>
      <c r="Q709" s="69">
        <f>'Ethernet-Total'!G82</f>
        <v>0</v>
      </c>
      <c r="R709" s="69">
        <f>'Ethernet-Total'!H82</f>
        <v>0</v>
      </c>
      <c r="S709" s="69">
        <f>'Ethernet-Total'!I82</f>
        <v>0</v>
      </c>
      <c r="T709" s="69">
        <f>'Ethernet-Total'!J82</f>
        <v>0</v>
      </c>
      <c r="U709" s="69">
        <f>'Ethernet-Total'!K82</f>
        <v>0</v>
      </c>
      <c r="V709" s="69">
        <f>'Ethernet-Total'!L82</f>
        <v>0</v>
      </c>
      <c r="W709" s="69">
        <f>'Ethernet-Total'!M82</f>
        <v>0</v>
      </c>
      <c r="X709" s="69">
        <f>'Ethernet-Total'!N82</f>
        <v>0</v>
      </c>
      <c r="Y709" s="154"/>
      <c r="AA709" s="306"/>
    </row>
    <row r="710" spans="2:27" x14ac:dyDescent="0.35">
      <c r="B710" s="34" t="s">
        <v>476</v>
      </c>
      <c r="C710" s="10">
        <f>SUM('Ethernet-Total'!E40:E44)</f>
        <v>118616.39500000002</v>
      </c>
      <c r="D710" s="10">
        <f>SUM('Ethernet-Total'!F40:F44)</f>
        <v>256082.33799999999</v>
      </c>
      <c r="E710" s="10">
        <f>SUM('Ethernet-Total'!G40:G44)</f>
        <v>0</v>
      </c>
      <c r="F710" s="10">
        <f>SUM('Ethernet-Total'!H40:H44)</f>
        <v>0</v>
      </c>
      <c r="G710" s="10">
        <f>SUM('Ethernet-Total'!I40:I44)</f>
        <v>0</v>
      </c>
      <c r="H710" s="10">
        <f>SUM('Ethernet-Total'!J40:J44)</f>
        <v>0</v>
      </c>
      <c r="I710" s="10">
        <f>SUM('Ethernet-Total'!K40:K44)</f>
        <v>0</v>
      </c>
      <c r="J710" s="10">
        <f>SUM('Ethernet-Total'!L40:L44)</f>
        <v>0</v>
      </c>
      <c r="K710" s="10">
        <f>SUM('Ethernet-Total'!M40:M44)</f>
        <v>0</v>
      </c>
      <c r="L710" s="10">
        <f>SUM('Ethernet-Total'!N40:N44)</f>
        <v>0</v>
      </c>
      <c r="M710" s="10"/>
      <c r="N710" s="24" t="str">
        <f t="shared" si="90"/>
        <v>100 G</v>
      </c>
      <c r="O710" s="69">
        <f>SUM('Ethernet-Total'!E83:E87)</f>
        <v>298.68033240387786</v>
      </c>
      <c r="P710" s="69">
        <f>SUM('Ethernet-Total'!F83:F87)</f>
        <v>227.23482996170949</v>
      </c>
      <c r="Q710" s="69">
        <f>SUM('Ethernet-Total'!G83:G87)</f>
        <v>0</v>
      </c>
      <c r="R710" s="69">
        <f>SUM('Ethernet-Total'!H83:H87)</f>
        <v>0</v>
      </c>
      <c r="S710" s="69">
        <f>SUM('Ethernet-Total'!I83:I87)</f>
        <v>0</v>
      </c>
      <c r="T710" s="69">
        <f>SUM('Ethernet-Total'!J83:J87)</f>
        <v>0</v>
      </c>
      <c r="U710" s="69">
        <f>SUM('Ethernet-Total'!K83:K87)</f>
        <v>0</v>
      </c>
      <c r="V710" s="69">
        <f>SUM('Ethernet-Total'!L83:L87)</f>
        <v>0</v>
      </c>
      <c r="W710" s="69">
        <f>SUM('Ethernet-Total'!M83:M87)</f>
        <v>0</v>
      </c>
      <c r="X710" s="69">
        <f>SUM('Ethernet-Total'!N83:N87)</f>
        <v>0</v>
      </c>
      <c r="Y710" s="154" t="e">
        <f t="shared" si="91"/>
        <v>#DIV/0!</v>
      </c>
    </row>
    <row r="711" spans="2:27" x14ac:dyDescent="0.35">
      <c r="B711" s="34" t="s">
        <v>477</v>
      </c>
      <c r="C711" s="10">
        <f>'Ethernet-Total'!E45</f>
        <v>0</v>
      </c>
      <c r="D711" s="10">
        <f>'Ethernet-Total'!F45</f>
        <v>0</v>
      </c>
      <c r="E711" s="10">
        <f>'Ethernet-Total'!G45</f>
        <v>0</v>
      </c>
      <c r="F711" s="10">
        <f>'Ethernet-Total'!H45</f>
        <v>0</v>
      </c>
      <c r="G711" s="10">
        <f>'Ethernet-Total'!I45</f>
        <v>0</v>
      </c>
      <c r="H711" s="10">
        <f>'Ethernet-Total'!J45</f>
        <v>0</v>
      </c>
      <c r="I711" s="10">
        <f>'Ethernet-Total'!K45</f>
        <v>0</v>
      </c>
      <c r="J711" s="10">
        <f>'Ethernet-Total'!L45</f>
        <v>0</v>
      </c>
      <c r="K711" s="10">
        <f>'Ethernet-Total'!M45</f>
        <v>0</v>
      </c>
      <c r="L711" s="10">
        <f>'Ethernet-Total'!N45</f>
        <v>0</v>
      </c>
      <c r="M711" s="33"/>
      <c r="N711" s="24" t="str">
        <f t="shared" si="90"/>
        <v>200 G</v>
      </c>
      <c r="O711" s="69"/>
      <c r="P711" s="69">
        <f>'Ethernet-Total'!F88</f>
        <v>0</v>
      </c>
      <c r="Q711" s="69">
        <f>'Ethernet-Total'!G88</f>
        <v>0</v>
      </c>
      <c r="R711" s="69">
        <f>'Ethernet-Total'!H88</f>
        <v>0</v>
      </c>
      <c r="S711" s="69">
        <f>'Ethernet-Total'!I88</f>
        <v>0</v>
      </c>
      <c r="T711" s="69">
        <f>'Ethernet-Total'!J88</f>
        <v>0</v>
      </c>
      <c r="U711" s="69">
        <f>'Ethernet-Total'!K88</f>
        <v>0</v>
      </c>
      <c r="V711" s="69">
        <f>'Ethernet-Total'!L88</f>
        <v>0</v>
      </c>
      <c r="W711" s="69">
        <f>'Ethernet-Total'!M88</f>
        <v>0</v>
      </c>
      <c r="X711" s="69">
        <f>'Ethernet-Total'!N88</f>
        <v>0</v>
      </c>
      <c r="Y711" s="154" t="e">
        <f t="shared" si="91"/>
        <v>#DIV/0!</v>
      </c>
    </row>
    <row r="712" spans="2:27" x14ac:dyDescent="0.35">
      <c r="B712" s="34" t="s">
        <v>485</v>
      </c>
      <c r="C712" s="10">
        <f>'Ethernet-Total'!E46</f>
        <v>0</v>
      </c>
      <c r="D712" s="10">
        <f>'Ethernet-Total'!F46</f>
        <v>16.400000000000002</v>
      </c>
      <c r="E712" s="10">
        <f>'Ethernet-Total'!G46</f>
        <v>0</v>
      </c>
      <c r="F712" s="10">
        <f>'Ethernet-Total'!H46</f>
        <v>0</v>
      </c>
      <c r="G712" s="10">
        <f>'Ethernet-Total'!I46</f>
        <v>0</v>
      </c>
      <c r="H712" s="10">
        <f>'Ethernet-Total'!J46</f>
        <v>0</v>
      </c>
      <c r="I712" s="10">
        <f>'Ethernet-Total'!K46</f>
        <v>0</v>
      </c>
      <c r="J712" s="10">
        <f>'Ethernet-Total'!L46</f>
        <v>0</v>
      </c>
      <c r="K712" s="10">
        <f>'Ethernet-Total'!M46</f>
        <v>0</v>
      </c>
      <c r="L712" s="10">
        <f>'Ethernet-Total'!N46</f>
        <v>0</v>
      </c>
      <c r="M712" s="33"/>
      <c r="N712" s="24" t="str">
        <f t="shared" si="90"/>
        <v>400G</v>
      </c>
      <c r="O712" s="69"/>
      <c r="P712" s="69">
        <f>'Ethernet-Total'!F89</f>
        <v>0.25340000000000007</v>
      </c>
      <c r="Q712" s="69">
        <f>'Ethernet-Total'!G89</f>
        <v>0</v>
      </c>
      <c r="R712" s="69">
        <f>'Ethernet-Total'!H89</f>
        <v>0</v>
      </c>
      <c r="S712" s="69">
        <f>'Ethernet-Total'!I89</f>
        <v>0</v>
      </c>
      <c r="T712" s="69">
        <f>'Ethernet-Total'!J89</f>
        <v>0</v>
      </c>
      <c r="U712" s="69">
        <f>'Ethernet-Total'!K89</f>
        <v>0</v>
      </c>
      <c r="V712" s="69">
        <f>'Ethernet-Total'!L89</f>
        <v>0</v>
      </c>
      <c r="W712" s="69">
        <f>'Ethernet-Total'!M89</f>
        <v>0</v>
      </c>
      <c r="X712" s="69">
        <f>'Ethernet-Total'!N89</f>
        <v>0</v>
      </c>
      <c r="Y712" s="154" t="e">
        <f t="shared" si="91"/>
        <v>#DIV/0!</v>
      </c>
    </row>
    <row r="713" spans="2:27" x14ac:dyDescent="0.35">
      <c r="B713" s="34" t="s">
        <v>486</v>
      </c>
      <c r="C713" s="10">
        <f>'Ethernet-Total'!E47</f>
        <v>0</v>
      </c>
      <c r="D713" s="10">
        <f>'Ethernet-Total'!F47</f>
        <v>0</v>
      </c>
      <c r="E713" s="10">
        <f>'Ethernet-Total'!G47</f>
        <v>0</v>
      </c>
      <c r="F713" s="10">
        <f>'Ethernet-Total'!H47</f>
        <v>0</v>
      </c>
      <c r="G713" s="10">
        <f>'Ethernet-Total'!I47</f>
        <v>0</v>
      </c>
      <c r="H713" s="10">
        <f>'Ethernet-Total'!J47</f>
        <v>0</v>
      </c>
      <c r="I713" s="10">
        <f>'Ethernet-Total'!K47</f>
        <v>0</v>
      </c>
      <c r="J713" s="10">
        <f>'Ethernet-Total'!L47</f>
        <v>0</v>
      </c>
      <c r="K713" s="10">
        <f>'Ethernet-Total'!M47</f>
        <v>0</v>
      </c>
      <c r="L713" s="10">
        <f>'Ethernet-Total'!N47</f>
        <v>0</v>
      </c>
      <c r="M713" s="33"/>
      <c r="N713" s="27" t="str">
        <f t="shared" si="90"/>
        <v>800G</v>
      </c>
      <c r="O713" s="70"/>
      <c r="P713" s="70">
        <f>'Ethernet-Total'!F90</f>
        <v>0</v>
      </c>
      <c r="Q713" s="70">
        <f>'Ethernet-Total'!G90</f>
        <v>0</v>
      </c>
      <c r="R713" s="70">
        <f>'Ethernet-Total'!H90</f>
        <v>0</v>
      </c>
      <c r="S713" s="70">
        <f>'Ethernet-Total'!I90</f>
        <v>0</v>
      </c>
      <c r="T713" s="70">
        <f>'Ethernet-Total'!J90</f>
        <v>0</v>
      </c>
      <c r="U713" s="70">
        <f>'Ethernet-Total'!K90</f>
        <v>0</v>
      </c>
      <c r="V713" s="70">
        <f>'Ethernet-Total'!L90</f>
        <v>0</v>
      </c>
      <c r="W713" s="70">
        <f>'Ethernet-Total'!M90</f>
        <v>0</v>
      </c>
      <c r="X713" s="70">
        <f>'Ethernet-Total'!N90</f>
        <v>0</v>
      </c>
      <c r="Y713" s="154"/>
    </row>
    <row r="714" spans="2:27" x14ac:dyDescent="0.35">
      <c r="B714" s="187" t="s">
        <v>79</v>
      </c>
      <c r="C714" s="130">
        <f>SUM(C705:C713)</f>
        <v>7189721.1434980668</v>
      </c>
      <c r="D714" s="130">
        <f t="shared" ref="D714:L714" si="92">SUM(D705:D713)</f>
        <v>7776607.4457645901</v>
      </c>
      <c r="E714" s="130">
        <f t="shared" si="92"/>
        <v>0</v>
      </c>
      <c r="F714" s="130">
        <f t="shared" si="92"/>
        <v>0</v>
      </c>
      <c r="G714" s="130">
        <f t="shared" si="92"/>
        <v>0</v>
      </c>
      <c r="H714" s="130">
        <f t="shared" si="92"/>
        <v>0</v>
      </c>
      <c r="I714" s="130">
        <f t="shared" si="92"/>
        <v>0</v>
      </c>
      <c r="J714" s="130">
        <f t="shared" si="92"/>
        <v>0</v>
      </c>
      <c r="K714" s="130">
        <f t="shared" si="92"/>
        <v>0</v>
      </c>
      <c r="L714" s="130">
        <f t="shared" si="92"/>
        <v>0</v>
      </c>
      <c r="M714" s="33"/>
      <c r="N714" s="187" t="s">
        <v>79</v>
      </c>
      <c r="O714" s="126">
        <f>SUM(O705:O713)</f>
        <v>553.64846512280633</v>
      </c>
      <c r="P714" s="126">
        <f t="shared" ref="P714:X714" si="93">SUM(P705:P713)</f>
        <v>507.5822016550955</v>
      </c>
      <c r="Q714" s="126">
        <f t="shared" si="93"/>
        <v>0</v>
      </c>
      <c r="R714" s="126">
        <f t="shared" si="93"/>
        <v>0</v>
      </c>
      <c r="S714" s="126">
        <f t="shared" si="93"/>
        <v>0</v>
      </c>
      <c r="T714" s="126">
        <f t="shared" si="93"/>
        <v>0</v>
      </c>
      <c r="U714" s="126">
        <f t="shared" si="93"/>
        <v>0</v>
      </c>
      <c r="V714" s="126">
        <f t="shared" si="93"/>
        <v>0</v>
      </c>
      <c r="W714" s="126">
        <f t="shared" si="93"/>
        <v>0</v>
      </c>
      <c r="X714" s="126">
        <f t="shared" si="93"/>
        <v>0</v>
      </c>
      <c r="Y714" s="159" t="e">
        <f t="shared" si="91"/>
        <v>#DIV/0!</v>
      </c>
    </row>
    <row r="715" spans="2:27" x14ac:dyDescent="0.35">
      <c r="B715" s="31"/>
      <c r="C715" s="51"/>
      <c r="D715" s="51">
        <f t="shared" ref="D715:L715" si="94">D714/C714-1</f>
        <v>8.1628520849833963E-2</v>
      </c>
      <c r="E715" s="51">
        <f t="shared" si="94"/>
        <v>-1</v>
      </c>
      <c r="F715" s="51" t="e">
        <f t="shared" si="94"/>
        <v>#DIV/0!</v>
      </c>
      <c r="G715" s="51" t="e">
        <f t="shared" si="94"/>
        <v>#DIV/0!</v>
      </c>
      <c r="H715" s="51" t="e">
        <f t="shared" si="94"/>
        <v>#DIV/0!</v>
      </c>
      <c r="I715" s="51" t="e">
        <f t="shared" si="94"/>
        <v>#DIV/0!</v>
      </c>
      <c r="J715" s="51" t="e">
        <f t="shared" si="94"/>
        <v>#DIV/0!</v>
      </c>
      <c r="K715" s="51" t="e">
        <f t="shared" si="94"/>
        <v>#DIV/0!</v>
      </c>
      <c r="L715" s="51" t="e">
        <f t="shared" si="94"/>
        <v>#DIV/0!</v>
      </c>
      <c r="M715" s="33"/>
      <c r="N715" s="33"/>
      <c r="O715" s="59"/>
      <c r="P715" s="59">
        <f t="shared" ref="P715:X715" si="95">P714/O714-1</f>
        <v>-8.3204896915035631E-2</v>
      </c>
      <c r="Q715" s="59">
        <f t="shared" si="95"/>
        <v>-1</v>
      </c>
      <c r="R715" s="59" t="e">
        <f t="shared" si="95"/>
        <v>#DIV/0!</v>
      </c>
      <c r="S715" s="59" t="e">
        <f t="shared" si="95"/>
        <v>#DIV/0!</v>
      </c>
      <c r="T715" s="59" t="e">
        <f t="shared" si="95"/>
        <v>#DIV/0!</v>
      </c>
      <c r="U715" s="59" t="e">
        <f t="shared" si="95"/>
        <v>#DIV/0!</v>
      </c>
      <c r="V715" s="59" t="e">
        <f t="shared" si="95"/>
        <v>#DIV/0!</v>
      </c>
      <c r="W715" s="59" t="e">
        <f t="shared" si="95"/>
        <v>#DIV/0!</v>
      </c>
      <c r="X715" s="59" t="e">
        <f t="shared" si="95"/>
        <v>#DIV/0!</v>
      </c>
    </row>
    <row r="716" spans="2:27" x14ac:dyDescent="0.35">
      <c r="B716" s="31"/>
      <c r="C716" s="33"/>
      <c r="D716" s="33"/>
      <c r="E716" s="33"/>
      <c r="F716" s="33"/>
      <c r="G716" s="33"/>
      <c r="H716" s="33"/>
      <c r="I716" s="33"/>
      <c r="J716" s="33"/>
      <c r="K716" s="33"/>
      <c r="L716" s="33"/>
      <c r="M716" s="33"/>
      <c r="N716" s="33"/>
      <c r="O716" s="17"/>
      <c r="P716" s="17"/>
      <c r="Q716" s="17"/>
      <c r="R716" s="17"/>
      <c r="S716" s="152"/>
      <c r="T716" s="152"/>
      <c r="U716" s="152"/>
      <c r="V716" s="152"/>
      <c r="W716" s="152"/>
      <c r="X716" s="152"/>
      <c r="Z716" s="152"/>
    </row>
    <row r="717" spans="2:27" x14ac:dyDescent="0.35">
      <c r="B717" s="94" t="s">
        <v>141</v>
      </c>
      <c r="C717" s="32"/>
      <c r="D717" s="32"/>
      <c r="E717" s="32"/>
      <c r="F717" s="32"/>
      <c r="G717" s="32"/>
      <c r="H717" s="32"/>
      <c r="I717" s="32"/>
      <c r="J717" s="33"/>
      <c r="K717" s="33"/>
      <c r="L717" s="33"/>
      <c r="M717" s="33"/>
      <c r="N717" s="94" t="s">
        <v>142</v>
      </c>
      <c r="O717" s="17"/>
      <c r="P717" s="17"/>
      <c r="Q717" s="17"/>
      <c r="R717" s="17"/>
      <c r="S717" s="152"/>
      <c r="T717" s="152"/>
      <c r="U717" s="152"/>
      <c r="V717" s="152"/>
      <c r="W717" s="152"/>
      <c r="X717" s="152"/>
      <c r="Z717" s="152"/>
    </row>
    <row r="718" spans="2:27" x14ac:dyDescent="0.35">
      <c r="B718" s="31"/>
      <c r="C718" s="32"/>
      <c r="D718" s="32"/>
      <c r="E718" s="32"/>
      <c r="F718" s="32"/>
      <c r="G718" s="32"/>
      <c r="H718" s="32"/>
      <c r="I718" s="32"/>
      <c r="J718" s="33"/>
      <c r="K718" s="33"/>
      <c r="L718" s="33"/>
      <c r="M718" s="33"/>
      <c r="N718" s="33"/>
      <c r="O718" s="17"/>
      <c r="P718" s="17"/>
      <c r="Q718" s="17"/>
      <c r="R718" s="17"/>
      <c r="S718" s="152"/>
      <c r="T718" s="152"/>
      <c r="U718" s="152"/>
      <c r="V718" s="152"/>
      <c r="W718" s="152"/>
      <c r="X718" s="152"/>
      <c r="Z718" s="152"/>
    </row>
    <row r="719" spans="2:27" x14ac:dyDescent="0.35">
      <c r="B719" s="31"/>
      <c r="C719" s="32"/>
      <c r="D719" s="32"/>
      <c r="E719" s="32"/>
      <c r="F719" s="32"/>
      <c r="G719" s="32"/>
      <c r="H719" s="32"/>
      <c r="I719" s="32"/>
      <c r="J719" s="33"/>
      <c r="K719" s="33"/>
      <c r="L719" s="33"/>
      <c r="M719" s="33"/>
      <c r="N719" s="33"/>
      <c r="O719" s="17"/>
      <c r="P719" s="17"/>
      <c r="Q719" s="17"/>
      <c r="R719" s="17"/>
      <c r="S719" s="152"/>
      <c r="T719" s="152"/>
      <c r="U719" s="152"/>
      <c r="V719" s="152"/>
      <c r="W719" s="152"/>
      <c r="X719" s="152"/>
      <c r="Z719" s="152"/>
    </row>
    <row r="720" spans="2:27" x14ac:dyDescent="0.35">
      <c r="B720" s="31"/>
      <c r="C720" s="32"/>
      <c r="D720" s="32"/>
      <c r="E720" s="32"/>
      <c r="F720" s="32"/>
      <c r="G720" s="32"/>
      <c r="H720" s="32"/>
      <c r="I720" s="32"/>
      <c r="J720" s="33"/>
      <c r="K720" s="33"/>
      <c r="L720" s="33"/>
      <c r="M720" s="33"/>
      <c r="N720" s="33"/>
      <c r="O720" s="17"/>
      <c r="P720" s="17"/>
      <c r="Q720" s="17"/>
      <c r="R720" s="17"/>
      <c r="S720" s="152"/>
      <c r="T720" s="152"/>
      <c r="U720" s="152"/>
      <c r="V720" s="152"/>
      <c r="W720" s="152"/>
      <c r="X720" s="152"/>
      <c r="Z720" s="152"/>
    </row>
    <row r="721" spans="2:26" x14ac:dyDescent="0.35">
      <c r="B721" s="31"/>
      <c r="C721" s="32"/>
      <c r="D721" s="32"/>
      <c r="E721" s="32"/>
      <c r="F721" s="32"/>
      <c r="G721" s="32"/>
      <c r="H721" s="32"/>
      <c r="I721" s="32"/>
      <c r="J721" s="33"/>
      <c r="K721" s="33"/>
      <c r="L721" s="33"/>
      <c r="M721" s="33"/>
      <c r="N721" s="33"/>
      <c r="O721" s="17"/>
      <c r="P721" s="17"/>
      <c r="Q721" s="17"/>
      <c r="R721" s="17"/>
      <c r="S721" s="152"/>
      <c r="T721" s="152"/>
      <c r="U721" s="152"/>
      <c r="V721" s="152"/>
      <c r="W721" s="152"/>
      <c r="X721" s="152"/>
      <c r="Z721" s="152"/>
    </row>
    <row r="722" spans="2:26" x14ac:dyDescent="0.35">
      <c r="B722" s="31"/>
      <c r="C722" s="32"/>
      <c r="D722" s="32"/>
      <c r="E722" s="32"/>
      <c r="F722" s="32"/>
      <c r="G722" s="32"/>
      <c r="H722" s="32"/>
      <c r="I722" s="32"/>
      <c r="J722" s="33"/>
      <c r="K722" s="33"/>
      <c r="L722" s="33"/>
      <c r="M722" s="33"/>
      <c r="N722" s="33"/>
      <c r="O722" s="17"/>
      <c r="P722" s="17"/>
      <c r="Q722" s="17"/>
      <c r="R722" s="17"/>
      <c r="S722" s="152"/>
      <c r="T722" s="152"/>
      <c r="U722" s="152"/>
      <c r="V722" s="152"/>
      <c r="W722" s="152"/>
      <c r="X722" s="152"/>
      <c r="Z722" s="152"/>
    </row>
    <row r="723" spans="2:26" x14ac:dyDescent="0.35">
      <c r="B723" s="31"/>
      <c r="C723" s="32"/>
      <c r="D723" s="32"/>
      <c r="E723" s="32"/>
      <c r="F723" s="32"/>
      <c r="G723" s="32"/>
      <c r="H723" s="32"/>
      <c r="I723" s="32"/>
      <c r="J723" s="33"/>
      <c r="K723" s="33"/>
      <c r="L723" s="33"/>
      <c r="M723" s="33"/>
      <c r="N723" s="33"/>
      <c r="O723" s="17"/>
      <c r="P723" s="17"/>
      <c r="Q723" s="17"/>
      <c r="R723" s="17"/>
      <c r="S723" s="152"/>
      <c r="T723" s="152"/>
      <c r="U723" s="152"/>
      <c r="V723" s="152"/>
      <c r="W723" s="152"/>
      <c r="X723" s="152"/>
      <c r="Z723" s="152"/>
    </row>
    <row r="724" spans="2:26" x14ac:dyDescent="0.35">
      <c r="B724" s="31"/>
      <c r="C724" s="32"/>
      <c r="D724" s="32"/>
      <c r="E724" s="32"/>
      <c r="F724" s="32"/>
      <c r="G724" s="32"/>
      <c r="H724" s="32"/>
      <c r="I724" s="32"/>
      <c r="J724" s="33"/>
      <c r="K724" s="33"/>
      <c r="L724" s="33"/>
      <c r="M724" s="33"/>
      <c r="N724" s="33"/>
      <c r="O724" s="17"/>
      <c r="P724" s="17"/>
      <c r="Q724" s="17"/>
      <c r="R724" s="17"/>
      <c r="S724" s="152"/>
      <c r="T724" s="152"/>
      <c r="U724" s="152"/>
      <c r="V724" s="152"/>
      <c r="W724" s="152"/>
      <c r="X724" s="152"/>
      <c r="Z724" s="152"/>
    </row>
    <row r="725" spans="2:26" x14ac:dyDescent="0.35">
      <c r="B725" s="31"/>
      <c r="C725" s="32"/>
      <c r="D725" s="32"/>
      <c r="E725" s="32"/>
      <c r="F725" s="32"/>
      <c r="G725" s="32"/>
      <c r="H725" s="32"/>
      <c r="I725" s="32"/>
      <c r="J725" s="33"/>
      <c r="K725" s="33"/>
      <c r="L725" s="33"/>
      <c r="M725" s="33"/>
      <c r="N725" s="33"/>
      <c r="O725" s="17"/>
      <c r="P725" s="17"/>
      <c r="Q725" s="17"/>
      <c r="R725" s="17"/>
      <c r="S725" s="152"/>
      <c r="T725" s="152"/>
      <c r="U725" s="152"/>
      <c r="V725" s="152"/>
      <c r="W725" s="152"/>
      <c r="X725" s="152"/>
      <c r="Z725" s="152"/>
    </row>
    <row r="726" spans="2:26" x14ac:dyDescent="0.35">
      <c r="B726" s="31"/>
      <c r="C726" s="32"/>
      <c r="D726" s="32"/>
      <c r="E726" s="32"/>
      <c r="F726" s="32"/>
      <c r="G726" s="32"/>
      <c r="H726" s="32"/>
      <c r="I726" s="32"/>
      <c r="J726" s="33"/>
      <c r="K726" s="33"/>
      <c r="L726" s="33"/>
      <c r="M726" s="33"/>
      <c r="N726" s="33"/>
      <c r="O726" s="17"/>
      <c r="P726" s="17"/>
      <c r="Q726" s="17"/>
      <c r="R726" s="17"/>
      <c r="S726" s="152"/>
      <c r="T726" s="152"/>
      <c r="U726" s="152"/>
      <c r="V726" s="152"/>
      <c r="W726" s="152"/>
      <c r="X726" s="152"/>
      <c r="Z726" s="152"/>
    </row>
    <row r="727" spans="2:26" x14ac:dyDescent="0.35">
      <c r="B727" s="31"/>
      <c r="C727" s="32"/>
      <c r="D727" s="32"/>
      <c r="E727" s="32"/>
      <c r="F727" s="32"/>
      <c r="G727" s="32"/>
      <c r="H727" s="32"/>
      <c r="I727" s="32"/>
      <c r="J727" s="33"/>
      <c r="K727" s="33"/>
      <c r="L727" s="33"/>
      <c r="M727" s="33"/>
      <c r="N727" s="33"/>
      <c r="O727" s="17"/>
      <c r="P727" s="17"/>
      <c r="Q727" s="17"/>
      <c r="R727" s="17"/>
      <c r="S727" s="152"/>
      <c r="T727" s="152"/>
      <c r="U727" s="152"/>
      <c r="V727" s="152"/>
      <c r="W727" s="152"/>
      <c r="X727" s="152"/>
      <c r="Z727" s="152"/>
    </row>
    <row r="728" spans="2:26" x14ac:dyDescent="0.35">
      <c r="B728" s="31"/>
      <c r="C728" s="32"/>
      <c r="D728" s="32"/>
      <c r="E728" s="32"/>
      <c r="F728" s="32"/>
      <c r="G728" s="32"/>
      <c r="H728" s="32"/>
      <c r="I728" s="32"/>
      <c r="J728" s="33"/>
      <c r="K728" s="33"/>
      <c r="L728" s="33"/>
      <c r="M728" s="33"/>
      <c r="N728" s="33"/>
      <c r="O728" s="17"/>
      <c r="P728" s="17"/>
      <c r="Q728" s="17"/>
      <c r="R728" s="17"/>
      <c r="S728" s="152"/>
      <c r="T728" s="152"/>
      <c r="U728" s="152"/>
      <c r="V728" s="152"/>
      <c r="W728" s="152"/>
      <c r="X728" s="152"/>
      <c r="Z728" s="152"/>
    </row>
    <row r="729" spans="2:26" x14ac:dyDescent="0.35">
      <c r="B729" s="31"/>
      <c r="C729" s="32"/>
      <c r="D729" s="32"/>
      <c r="E729" s="32"/>
      <c r="F729" s="32"/>
      <c r="G729" s="32"/>
      <c r="H729" s="32"/>
      <c r="I729" s="32"/>
      <c r="J729" s="33"/>
      <c r="K729" s="33"/>
      <c r="L729" s="33"/>
      <c r="M729" s="33"/>
      <c r="N729" s="33"/>
      <c r="O729" s="17"/>
      <c r="P729" s="17"/>
      <c r="Q729" s="17"/>
      <c r="R729" s="17"/>
      <c r="S729" s="152"/>
      <c r="T729" s="152"/>
      <c r="U729" s="152"/>
      <c r="V729" s="152"/>
      <c r="W729" s="152"/>
      <c r="X729" s="152"/>
      <c r="Z729" s="152"/>
    </row>
    <row r="730" spans="2:26" x14ac:dyDescent="0.35">
      <c r="B730" s="31"/>
      <c r="C730" s="32"/>
      <c r="D730" s="32"/>
      <c r="E730" s="32"/>
      <c r="F730" s="32"/>
      <c r="G730" s="32"/>
      <c r="H730" s="32"/>
      <c r="I730" s="32"/>
      <c r="J730" s="33"/>
      <c r="K730" s="33"/>
      <c r="L730" s="33"/>
      <c r="M730" s="33"/>
      <c r="N730" s="33"/>
      <c r="O730" s="17"/>
      <c r="P730" s="17"/>
      <c r="Q730" s="17"/>
      <c r="R730" s="17"/>
      <c r="S730" s="152"/>
      <c r="T730" s="152"/>
      <c r="U730" s="152"/>
      <c r="V730" s="152"/>
      <c r="W730" s="152"/>
      <c r="X730" s="152"/>
      <c r="Z730" s="152"/>
    </row>
    <row r="731" spans="2:26" x14ac:dyDescent="0.35">
      <c r="B731" s="31"/>
      <c r="C731" s="32"/>
      <c r="D731" s="32"/>
      <c r="E731" s="32"/>
      <c r="F731" s="32"/>
      <c r="G731" s="32"/>
      <c r="H731" s="32"/>
      <c r="I731" s="32"/>
      <c r="J731" s="33"/>
      <c r="K731" s="33"/>
      <c r="L731" s="33"/>
      <c r="M731" s="33"/>
      <c r="N731" s="33"/>
      <c r="O731" s="17"/>
      <c r="P731" s="17"/>
      <c r="Q731" s="17"/>
      <c r="R731" s="17"/>
      <c r="S731" s="152"/>
      <c r="T731" s="152"/>
      <c r="U731" s="152"/>
      <c r="V731" s="152"/>
      <c r="W731" s="152"/>
      <c r="X731" s="152"/>
      <c r="Z731" s="152"/>
    </row>
    <row r="732" spans="2:26" x14ac:dyDescent="0.35">
      <c r="B732" s="31"/>
      <c r="C732" s="32"/>
      <c r="D732" s="32"/>
      <c r="E732" s="32"/>
      <c r="F732" s="32"/>
      <c r="G732" s="32"/>
      <c r="H732" s="32"/>
      <c r="I732" s="32"/>
      <c r="J732" s="33"/>
      <c r="K732" s="33"/>
      <c r="L732" s="33"/>
      <c r="M732" s="33"/>
      <c r="N732" s="33"/>
      <c r="O732" s="17"/>
      <c r="P732" s="17"/>
      <c r="Q732" s="17"/>
      <c r="R732" s="17"/>
      <c r="S732" s="152"/>
      <c r="T732" s="152"/>
      <c r="U732" s="152"/>
      <c r="V732" s="152"/>
      <c r="W732" s="152"/>
      <c r="X732" s="152"/>
      <c r="Z732" s="152"/>
    </row>
    <row r="733" spans="2:26" x14ac:dyDescent="0.35">
      <c r="B733" s="31"/>
      <c r="C733" s="32"/>
      <c r="D733" s="32"/>
      <c r="E733" s="32"/>
      <c r="F733" s="32"/>
      <c r="G733" s="32"/>
      <c r="H733" s="32"/>
      <c r="I733" s="32"/>
      <c r="J733" s="33"/>
      <c r="K733" s="33"/>
      <c r="L733" s="33"/>
      <c r="M733" s="33"/>
      <c r="N733" s="33"/>
      <c r="O733" s="17"/>
      <c r="P733" s="17"/>
      <c r="Q733" s="17"/>
      <c r="R733" s="17"/>
      <c r="S733" s="152"/>
      <c r="T733" s="152"/>
      <c r="U733" s="152"/>
      <c r="V733" s="152"/>
      <c r="W733" s="152"/>
      <c r="X733" s="152"/>
      <c r="Z733" s="152"/>
    </row>
    <row r="734" spans="2:26" x14ac:dyDescent="0.35">
      <c r="B734" s="31"/>
      <c r="C734" s="32"/>
      <c r="D734" s="32"/>
      <c r="E734" s="32"/>
      <c r="F734" s="32"/>
      <c r="G734" s="32"/>
      <c r="H734" s="32"/>
      <c r="I734" s="32"/>
      <c r="J734" s="33"/>
      <c r="K734" s="33"/>
      <c r="L734" s="33"/>
      <c r="M734" s="33"/>
      <c r="N734" s="33"/>
      <c r="O734" s="17"/>
      <c r="P734" s="17"/>
      <c r="Q734" s="17"/>
      <c r="R734" s="17"/>
      <c r="S734" s="152"/>
      <c r="T734" s="152"/>
      <c r="U734" s="152"/>
      <c r="V734" s="152"/>
      <c r="W734" s="152"/>
      <c r="X734" s="152"/>
      <c r="Z734" s="152"/>
    </row>
    <row r="735" spans="2:26" x14ac:dyDescent="0.35">
      <c r="B735" s="31"/>
      <c r="C735" s="32"/>
      <c r="D735" s="32"/>
      <c r="E735" s="32"/>
      <c r="F735" s="32"/>
      <c r="G735" s="32"/>
      <c r="H735" s="32"/>
      <c r="I735" s="32"/>
      <c r="J735" s="33"/>
      <c r="K735" s="33"/>
      <c r="L735" s="33"/>
      <c r="M735" s="33"/>
      <c r="N735" s="33"/>
      <c r="O735" s="17"/>
      <c r="P735" s="17"/>
      <c r="Q735" s="17"/>
      <c r="R735" s="17"/>
      <c r="S735" s="152"/>
      <c r="T735" s="152"/>
      <c r="U735" s="152"/>
      <c r="V735" s="152"/>
      <c r="W735" s="152"/>
      <c r="X735" s="152"/>
      <c r="Z735" s="152"/>
    </row>
    <row r="736" spans="2:26" x14ac:dyDescent="0.35">
      <c r="B736" s="31"/>
      <c r="C736" s="32"/>
      <c r="D736" s="32"/>
      <c r="E736" s="32"/>
      <c r="F736" s="32"/>
      <c r="G736" s="32"/>
      <c r="H736" s="32"/>
      <c r="I736" s="32"/>
      <c r="J736" s="33"/>
      <c r="K736" s="33"/>
      <c r="L736" s="33"/>
      <c r="M736" s="33"/>
      <c r="N736" s="33"/>
      <c r="O736" s="17"/>
      <c r="P736" s="17"/>
      <c r="Q736" s="17"/>
      <c r="R736" s="17"/>
      <c r="S736" s="152"/>
      <c r="T736" s="152"/>
      <c r="U736" s="152"/>
      <c r="V736" s="152"/>
      <c r="W736" s="152"/>
      <c r="X736" s="152"/>
      <c r="Z736" s="152"/>
    </row>
    <row r="737" spans="2:27" x14ac:dyDescent="0.35">
      <c r="B737" s="31"/>
      <c r="C737" s="32"/>
      <c r="D737" s="32"/>
      <c r="E737" s="32"/>
      <c r="F737" s="32"/>
      <c r="G737" s="32"/>
      <c r="H737" s="32"/>
      <c r="I737" s="32"/>
      <c r="J737" s="33"/>
      <c r="K737" s="33"/>
      <c r="L737" s="33"/>
      <c r="M737" s="33"/>
      <c r="N737" s="33"/>
      <c r="O737" s="17"/>
      <c r="P737" s="17"/>
      <c r="Q737" s="17"/>
      <c r="R737" s="17"/>
      <c r="S737" s="152"/>
      <c r="T737" s="152"/>
      <c r="U737" s="152"/>
      <c r="V737" s="152"/>
      <c r="W737" s="152"/>
      <c r="X737" s="152"/>
      <c r="Z737" s="152"/>
    </row>
    <row r="738" spans="2:27" x14ac:dyDescent="0.35">
      <c r="B738" s="31"/>
      <c r="C738" s="32"/>
      <c r="D738" s="32"/>
      <c r="E738" s="32"/>
      <c r="F738" s="32"/>
      <c r="G738" s="32"/>
      <c r="H738" s="32"/>
      <c r="I738" s="32"/>
      <c r="J738" s="33"/>
      <c r="K738" s="33"/>
      <c r="L738" s="33"/>
      <c r="M738" s="33"/>
      <c r="N738" s="33"/>
      <c r="O738" s="17"/>
      <c r="P738" s="17"/>
      <c r="Q738" s="17"/>
      <c r="R738" s="17"/>
      <c r="S738" s="152"/>
      <c r="T738" s="152"/>
      <c r="U738" s="152"/>
      <c r="V738" s="152"/>
      <c r="W738" s="152"/>
      <c r="X738" s="152"/>
      <c r="Z738" s="152"/>
    </row>
    <row r="739" spans="2:27" x14ac:dyDescent="0.35">
      <c r="B739" s="58"/>
      <c r="C739" s="32"/>
      <c r="D739" s="32"/>
      <c r="E739" s="32"/>
      <c r="F739" s="32"/>
      <c r="G739" s="32"/>
      <c r="H739" s="32"/>
      <c r="I739" s="32"/>
      <c r="J739" s="33"/>
      <c r="K739" s="33"/>
      <c r="L739" s="33"/>
      <c r="M739" s="33"/>
      <c r="N739" s="33"/>
      <c r="O739" s="17"/>
      <c r="P739" s="17"/>
      <c r="Q739" s="17"/>
      <c r="R739" s="17"/>
      <c r="S739" s="152"/>
      <c r="T739" s="152"/>
      <c r="U739" s="152"/>
      <c r="V739" s="152"/>
      <c r="W739" s="152"/>
      <c r="X739" s="152"/>
      <c r="Z739" s="152"/>
    </row>
    <row r="740" spans="2:27" x14ac:dyDescent="0.35">
      <c r="B740" s="31"/>
      <c r="C740" s="32"/>
      <c r="D740" s="32"/>
      <c r="E740" s="32"/>
      <c r="F740" s="32"/>
      <c r="G740" s="32"/>
      <c r="H740" s="32"/>
      <c r="I740" s="32"/>
      <c r="J740" s="33"/>
      <c r="K740" s="33"/>
      <c r="L740" s="33"/>
      <c r="M740" s="33"/>
      <c r="N740" s="33"/>
      <c r="O740" s="17"/>
      <c r="P740" s="17"/>
      <c r="Q740" s="17"/>
      <c r="R740" s="17"/>
      <c r="S740" s="152"/>
      <c r="T740" s="152"/>
      <c r="U740" s="152"/>
      <c r="V740" s="152"/>
      <c r="W740" s="152"/>
      <c r="X740" s="152"/>
      <c r="Z740" s="152"/>
    </row>
    <row r="741" spans="2:27" x14ac:dyDescent="0.35">
      <c r="B741" s="31"/>
      <c r="C741" s="32"/>
      <c r="D741" s="32"/>
      <c r="E741" s="32"/>
      <c r="F741" s="32"/>
      <c r="G741" s="32"/>
      <c r="H741" s="32"/>
      <c r="I741" s="32"/>
      <c r="J741" s="33"/>
      <c r="K741" s="33"/>
      <c r="L741" s="33"/>
      <c r="M741" s="33"/>
      <c r="N741" s="33"/>
      <c r="O741" s="17"/>
      <c r="P741" s="17"/>
      <c r="Q741" s="17"/>
      <c r="R741" s="17"/>
      <c r="S741" s="152"/>
      <c r="T741" s="152"/>
      <c r="U741" s="152"/>
      <c r="V741" s="152"/>
      <c r="W741" s="152"/>
      <c r="X741" s="152"/>
      <c r="Z741" s="152"/>
    </row>
    <row r="742" spans="2:27" x14ac:dyDescent="0.35">
      <c r="B742" s="31"/>
      <c r="C742" s="32"/>
      <c r="D742" s="32"/>
      <c r="E742" s="32"/>
      <c r="F742" s="32"/>
      <c r="G742" s="32"/>
      <c r="H742" s="32"/>
      <c r="I742" s="32"/>
      <c r="J742" s="33"/>
      <c r="K742" s="33"/>
      <c r="L742" s="33"/>
      <c r="M742" s="242"/>
      <c r="N742" s="33"/>
      <c r="O742" s="17"/>
      <c r="P742" s="17"/>
      <c r="Q742" s="17"/>
      <c r="R742" s="17"/>
      <c r="S742" s="152"/>
      <c r="T742" s="152"/>
      <c r="U742" s="152"/>
      <c r="V742" s="152"/>
      <c r="W742" s="152"/>
      <c r="X742" s="152"/>
      <c r="Z742" s="152"/>
    </row>
    <row r="743" spans="2:27" x14ac:dyDescent="0.35">
      <c r="B743" s="84" t="s">
        <v>143</v>
      </c>
      <c r="C743" s="61"/>
      <c r="D743" s="61"/>
      <c r="E743" s="61"/>
      <c r="F743" s="61"/>
      <c r="G743" s="61"/>
      <c r="H743" s="61"/>
      <c r="I743" s="61"/>
      <c r="J743" s="65"/>
      <c r="K743" s="65"/>
      <c r="L743" s="65"/>
      <c r="M743" s="242"/>
      <c r="N743" s="85" t="s">
        <v>144</v>
      </c>
      <c r="O743" s="17"/>
      <c r="P743" s="17"/>
      <c r="Q743" s="17"/>
      <c r="R743" s="152"/>
      <c r="Y743" s="141" t="s">
        <v>2</v>
      </c>
    </row>
    <row r="744" spans="2:27" x14ac:dyDescent="0.35">
      <c r="B744" s="185" t="s">
        <v>11</v>
      </c>
      <c r="C744" s="123">
        <v>2016</v>
      </c>
      <c r="D744" s="140">
        <v>2017</v>
      </c>
      <c r="E744" s="140">
        <v>2018</v>
      </c>
      <c r="F744" s="123">
        <v>2019</v>
      </c>
      <c r="G744" s="123">
        <v>2020</v>
      </c>
      <c r="H744" s="123">
        <v>2021</v>
      </c>
      <c r="I744" s="123">
        <v>2022</v>
      </c>
      <c r="J744" s="123">
        <v>2023</v>
      </c>
      <c r="K744" s="123">
        <v>2024</v>
      </c>
      <c r="L744" s="123">
        <v>2025</v>
      </c>
      <c r="M744" s="242"/>
      <c r="N744" s="185" t="s">
        <v>11</v>
      </c>
      <c r="O744" s="124">
        <v>2016</v>
      </c>
      <c r="P744" s="123">
        <v>2017</v>
      </c>
      <c r="Q744" s="140">
        <v>2018</v>
      </c>
      <c r="R744" s="140">
        <v>2019</v>
      </c>
      <c r="S744" s="140">
        <v>2020</v>
      </c>
      <c r="T744" s="140">
        <v>2021</v>
      </c>
      <c r="U744" s="140">
        <v>2022</v>
      </c>
      <c r="V744" s="140">
        <v>2023</v>
      </c>
      <c r="W744" s="140">
        <v>2024</v>
      </c>
      <c r="X744" s="140">
        <v>2025</v>
      </c>
      <c r="Y744" s="123" t="str">
        <f>$Y$98</f>
        <v>2020-2025</v>
      </c>
    </row>
    <row r="745" spans="2:27" x14ac:dyDescent="0.35">
      <c r="B745" s="24" t="str">
        <f>'Ethernet-Total'!C62</f>
        <v>100-300 m</v>
      </c>
      <c r="C745" s="128">
        <f>'Ethernet-Total'!E40</f>
        <v>28869.035000000003</v>
      </c>
      <c r="D745" s="128">
        <f>'Ethernet-Total'!F40</f>
        <v>125017.50000000001</v>
      </c>
      <c r="E745" s="128">
        <f>'Ethernet-Total'!G40</f>
        <v>0</v>
      </c>
      <c r="F745" s="128">
        <f>'Ethernet-Total'!H40</f>
        <v>0</v>
      </c>
      <c r="G745" s="128">
        <f>'Ethernet-Total'!I40</f>
        <v>0</v>
      </c>
      <c r="H745" s="128">
        <f>'Ethernet-Total'!J40</f>
        <v>0</v>
      </c>
      <c r="I745" s="128">
        <f>'Ethernet-Total'!K40</f>
        <v>0</v>
      </c>
      <c r="J745" s="128">
        <f>'Ethernet-Total'!L40</f>
        <v>0</v>
      </c>
      <c r="K745" s="128">
        <f>'Ethernet-Total'!M40</f>
        <v>0</v>
      </c>
      <c r="L745" s="128">
        <f>'Ethernet-Total'!N40</f>
        <v>0</v>
      </c>
      <c r="M745" s="242"/>
      <c r="N745" s="36" t="str">
        <f>B745</f>
        <v>100-300 m</v>
      </c>
      <c r="O745" s="125">
        <f>'Ethernet-Total'!E83</f>
        <v>8.4134355900000006</v>
      </c>
      <c r="P745" s="125">
        <f>'Ethernet-Total'!F83</f>
        <v>23.236572126144001</v>
      </c>
      <c r="Q745" s="125">
        <f>'Ethernet-Total'!G83</f>
        <v>0</v>
      </c>
      <c r="R745" s="125">
        <f>'Ethernet-Total'!H83</f>
        <v>0</v>
      </c>
      <c r="S745" s="125">
        <f>'Ethernet-Total'!I83</f>
        <v>0</v>
      </c>
      <c r="T745" s="125">
        <f>'Ethernet-Total'!J83</f>
        <v>0</v>
      </c>
      <c r="U745" s="125">
        <f>'Ethernet-Total'!K83</f>
        <v>0</v>
      </c>
      <c r="V745" s="125">
        <f>'Ethernet-Total'!L83</f>
        <v>0</v>
      </c>
      <c r="W745" s="125">
        <f>'Ethernet-Total'!M83</f>
        <v>0</v>
      </c>
      <c r="X745" s="125">
        <f>'Ethernet-Total'!N83</f>
        <v>0</v>
      </c>
      <c r="Y745" s="153" t="e">
        <f t="shared" ref="Y745:Y750" si="96">(X745/S745)^(1/5)-1</f>
        <v>#DIV/0!</v>
      </c>
      <c r="AA745" s="304">
        <f>SUM(O745:X749)</f>
        <v>525.91516236558743</v>
      </c>
    </row>
    <row r="746" spans="2:27" x14ac:dyDescent="0.35">
      <c r="B746" s="24" t="str">
        <f>'Ethernet-Total'!C63</f>
        <v>500 m</v>
      </c>
      <c r="C746" s="75">
        <f>'Ethernet-Total'!E41</f>
        <v>0</v>
      </c>
      <c r="D746" s="75">
        <f>'Ethernet-Total'!F41</f>
        <v>27869.002000000004</v>
      </c>
      <c r="E746" s="75">
        <f>'Ethernet-Total'!G41</f>
        <v>0</v>
      </c>
      <c r="F746" s="75">
        <f>'Ethernet-Total'!H41</f>
        <v>0</v>
      </c>
      <c r="G746" s="75">
        <f>'Ethernet-Total'!I41</f>
        <v>0</v>
      </c>
      <c r="H746" s="75">
        <f>'Ethernet-Total'!J41</f>
        <v>0</v>
      </c>
      <c r="I746" s="75">
        <f>'Ethernet-Total'!K41</f>
        <v>0</v>
      </c>
      <c r="J746" s="75">
        <f>'Ethernet-Total'!L41</f>
        <v>0</v>
      </c>
      <c r="K746" s="75">
        <f>'Ethernet-Total'!M41</f>
        <v>0</v>
      </c>
      <c r="L746" s="75">
        <f>'Ethernet-Total'!N41</f>
        <v>0</v>
      </c>
      <c r="M746" s="242"/>
      <c r="N746" s="34" t="str">
        <f>B746</f>
        <v>500 m</v>
      </c>
      <c r="O746" s="69">
        <f>'Ethernet-Total'!E84</f>
        <v>0</v>
      </c>
      <c r="P746" s="69">
        <f>'Ethernet-Total'!F84</f>
        <v>9.3125889599999994</v>
      </c>
      <c r="Q746" s="69">
        <f>'Ethernet-Total'!G84</f>
        <v>0</v>
      </c>
      <c r="R746" s="69">
        <f>'Ethernet-Total'!H84</f>
        <v>0</v>
      </c>
      <c r="S746" s="69">
        <f>'Ethernet-Total'!I84</f>
        <v>0</v>
      </c>
      <c r="T746" s="69">
        <f>'Ethernet-Total'!J84</f>
        <v>0</v>
      </c>
      <c r="U746" s="69">
        <f>'Ethernet-Total'!K84</f>
        <v>0</v>
      </c>
      <c r="V746" s="69">
        <f>'Ethernet-Total'!L84</f>
        <v>0</v>
      </c>
      <c r="W746" s="69">
        <f>'Ethernet-Total'!M84</f>
        <v>0</v>
      </c>
      <c r="X746" s="69">
        <f>'Ethernet-Total'!N84</f>
        <v>0</v>
      </c>
      <c r="Y746" s="154" t="e">
        <f t="shared" si="96"/>
        <v>#DIV/0!</v>
      </c>
      <c r="AA746" s="305">
        <f>SUM(O750:X750)</f>
        <v>525.91516236558732</v>
      </c>
    </row>
    <row r="747" spans="2:27" ht="12.5" x14ac:dyDescent="0.25">
      <c r="B747" s="24" t="str">
        <f>'Ethernet-Total'!C64</f>
        <v>2 km</v>
      </c>
      <c r="C747" s="75">
        <f>'Ethernet-Total'!E42</f>
        <v>0</v>
      </c>
      <c r="D747" s="75">
        <f>'Ethernet-Total'!F42</f>
        <v>5857.8180000000002</v>
      </c>
      <c r="E747" s="75">
        <f>'Ethernet-Total'!G42</f>
        <v>0</v>
      </c>
      <c r="F747" s="75">
        <f>'Ethernet-Total'!H42</f>
        <v>0</v>
      </c>
      <c r="G747" s="75">
        <f>'Ethernet-Total'!I42</f>
        <v>0</v>
      </c>
      <c r="H747" s="75">
        <f>'Ethernet-Total'!J42</f>
        <v>0</v>
      </c>
      <c r="I747" s="75">
        <f>'Ethernet-Total'!K42</f>
        <v>0</v>
      </c>
      <c r="J747" s="75">
        <f>'Ethernet-Total'!L42</f>
        <v>0</v>
      </c>
      <c r="K747" s="75">
        <f>'Ethernet-Total'!M42</f>
        <v>0</v>
      </c>
      <c r="L747" s="75">
        <f>'Ethernet-Total'!N42</f>
        <v>0</v>
      </c>
      <c r="M747" s="242"/>
      <c r="N747" s="34" t="str">
        <f>B747</f>
        <v>2 km</v>
      </c>
      <c r="O747" s="69">
        <f>'Ethernet-Total'!E85</f>
        <v>0</v>
      </c>
      <c r="P747" s="69">
        <f>'Ethernet-Total'!F85</f>
        <v>3.8075817000000001</v>
      </c>
      <c r="Q747" s="69">
        <f>'Ethernet-Total'!G85</f>
        <v>0</v>
      </c>
      <c r="R747" s="69">
        <f>'Ethernet-Total'!H85</f>
        <v>0</v>
      </c>
      <c r="S747" s="69">
        <f>'Ethernet-Total'!I85</f>
        <v>0</v>
      </c>
      <c r="T747" s="69">
        <f>'Ethernet-Total'!J85</f>
        <v>0</v>
      </c>
      <c r="U747" s="69">
        <f>'Ethernet-Total'!K85</f>
        <v>0</v>
      </c>
      <c r="V747" s="69">
        <f>'Ethernet-Total'!L85</f>
        <v>0</v>
      </c>
      <c r="W747" s="69">
        <f>'Ethernet-Total'!M85</f>
        <v>0</v>
      </c>
      <c r="X747" s="69">
        <f>'Ethernet-Total'!N85</f>
        <v>0</v>
      </c>
      <c r="Y747" s="154" t="e">
        <f t="shared" si="96"/>
        <v>#DIV/0!</v>
      </c>
      <c r="AA747" s="184"/>
    </row>
    <row r="748" spans="2:27" ht="12.5" x14ac:dyDescent="0.25">
      <c r="B748" s="24" t="str">
        <f>'Ethernet-Total'!C65</f>
        <v>10-20 km</v>
      </c>
      <c r="C748" s="75">
        <f>'Ethernet-Total'!E43</f>
        <v>88107.040000000008</v>
      </c>
      <c r="D748" s="75">
        <f>'Ethernet-Total'!F43</f>
        <v>94872.737999999983</v>
      </c>
      <c r="E748" s="75">
        <f>'Ethernet-Total'!G43</f>
        <v>0</v>
      </c>
      <c r="F748" s="75">
        <f>'Ethernet-Total'!H43</f>
        <v>0</v>
      </c>
      <c r="G748" s="75">
        <f>'Ethernet-Total'!I43</f>
        <v>0</v>
      </c>
      <c r="H748" s="75">
        <f>'Ethernet-Total'!J43</f>
        <v>0</v>
      </c>
      <c r="I748" s="75">
        <f>'Ethernet-Total'!K43</f>
        <v>0</v>
      </c>
      <c r="J748" s="75">
        <f>'Ethernet-Total'!L43</f>
        <v>0</v>
      </c>
      <c r="K748" s="75">
        <f>'Ethernet-Total'!M43</f>
        <v>0</v>
      </c>
      <c r="L748" s="75">
        <f>'Ethernet-Total'!N43</f>
        <v>0</v>
      </c>
      <c r="M748" s="242"/>
      <c r="N748" s="34" t="str">
        <f>B748</f>
        <v>10-20 km</v>
      </c>
      <c r="O748" s="69">
        <f>'Ethernet-Total'!E86</f>
        <v>275.51654796896685</v>
      </c>
      <c r="P748" s="69">
        <f>'Ethernet-Total'!F86</f>
        <v>175.9805796164346</v>
      </c>
      <c r="Q748" s="69">
        <f>'Ethernet-Total'!G86</f>
        <v>0</v>
      </c>
      <c r="R748" s="69">
        <f>'Ethernet-Total'!H86</f>
        <v>0</v>
      </c>
      <c r="S748" s="69">
        <f>'Ethernet-Total'!I86</f>
        <v>0</v>
      </c>
      <c r="T748" s="69">
        <f>'Ethernet-Total'!J86</f>
        <v>0</v>
      </c>
      <c r="U748" s="69">
        <f>'Ethernet-Total'!K86</f>
        <v>0</v>
      </c>
      <c r="V748" s="69">
        <f>'Ethernet-Total'!L86</f>
        <v>0</v>
      </c>
      <c r="W748" s="69">
        <f>'Ethernet-Total'!M86</f>
        <v>0</v>
      </c>
      <c r="X748" s="69">
        <f>'Ethernet-Total'!N86</f>
        <v>0</v>
      </c>
      <c r="Y748" s="154" t="e">
        <f t="shared" si="96"/>
        <v>#DIV/0!</v>
      </c>
      <c r="AA748" s="184"/>
    </row>
    <row r="749" spans="2:27" x14ac:dyDescent="0.35">
      <c r="B749" s="24" t="str">
        <f>'Ethernet-Total'!C66</f>
        <v>40 km</v>
      </c>
      <c r="C749" s="72">
        <f>'Ethernet-Total'!E44</f>
        <v>1640.32</v>
      </c>
      <c r="D749" s="72">
        <f>'Ethernet-Total'!F44</f>
        <v>2465.2799999999997</v>
      </c>
      <c r="E749" s="72">
        <f>'Ethernet-Total'!G44</f>
        <v>0</v>
      </c>
      <c r="F749" s="72">
        <f>'Ethernet-Total'!H44</f>
        <v>0</v>
      </c>
      <c r="G749" s="72">
        <f>'Ethernet-Total'!I44</f>
        <v>0</v>
      </c>
      <c r="H749" s="72">
        <f>'Ethernet-Total'!J44</f>
        <v>0</v>
      </c>
      <c r="I749" s="72">
        <f>'Ethernet-Total'!K44</f>
        <v>0</v>
      </c>
      <c r="J749" s="72">
        <f>'Ethernet-Total'!L44</f>
        <v>0</v>
      </c>
      <c r="K749" s="72">
        <f>'Ethernet-Total'!M44</f>
        <v>0</v>
      </c>
      <c r="L749" s="72">
        <f>'Ethernet-Total'!N44</f>
        <v>0</v>
      </c>
      <c r="M749" s="242"/>
      <c r="N749" s="24" t="str">
        <f>B749</f>
        <v>40 km</v>
      </c>
      <c r="O749" s="70">
        <f>'Ethernet-Total'!E87</f>
        <v>14.750348844910976</v>
      </c>
      <c r="P749" s="70">
        <f>'Ethernet-Total'!F87</f>
        <v>14.897507559130903</v>
      </c>
      <c r="Q749" s="70">
        <f>'Ethernet-Total'!G87</f>
        <v>0</v>
      </c>
      <c r="R749" s="70">
        <f>'Ethernet-Total'!H87</f>
        <v>0</v>
      </c>
      <c r="S749" s="70">
        <f>'Ethernet-Total'!I87</f>
        <v>0</v>
      </c>
      <c r="T749" s="70">
        <f>'Ethernet-Total'!J87</f>
        <v>0</v>
      </c>
      <c r="U749" s="70">
        <f>'Ethernet-Total'!K87</f>
        <v>0</v>
      </c>
      <c r="V749" s="70">
        <f>'Ethernet-Total'!L87</f>
        <v>0</v>
      </c>
      <c r="W749" s="70">
        <f>'Ethernet-Total'!M87</f>
        <v>0</v>
      </c>
      <c r="X749" s="70">
        <f>'Ethernet-Total'!N87</f>
        <v>0</v>
      </c>
      <c r="Y749" s="154" t="e">
        <f t="shared" si="96"/>
        <v>#DIV/0!</v>
      </c>
    </row>
    <row r="750" spans="2:27" x14ac:dyDescent="0.35">
      <c r="B750" s="187" t="s">
        <v>79</v>
      </c>
      <c r="C750" s="192">
        <f t="shared" ref="C750:L750" si="97">SUM(C745:C749)</f>
        <v>118616.39500000002</v>
      </c>
      <c r="D750" s="192">
        <f t="shared" si="97"/>
        <v>256082.33799999999</v>
      </c>
      <c r="E750" s="127">
        <f t="shared" si="97"/>
        <v>0</v>
      </c>
      <c r="F750" s="127">
        <f t="shared" si="97"/>
        <v>0</v>
      </c>
      <c r="G750" s="127">
        <f t="shared" si="97"/>
        <v>0</v>
      </c>
      <c r="H750" s="127">
        <f t="shared" si="97"/>
        <v>0</v>
      </c>
      <c r="I750" s="127">
        <f t="shared" si="97"/>
        <v>0</v>
      </c>
      <c r="J750" s="127">
        <f t="shared" si="97"/>
        <v>0</v>
      </c>
      <c r="K750" s="127">
        <f t="shared" si="97"/>
        <v>0</v>
      </c>
      <c r="L750" s="127">
        <f t="shared" si="97"/>
        <v>0</v>
      </c>
      <c r="M750" s="242"/>
      <c r="N750" s="187" t="s">
        <v>79</v>
      </c>
      <c r="O750" s="191">
        <f>SUM(O745:O749)</f>
        <v>298.68033240387786</v>
      </c>
      <c r="P750" s="191">
        <f>SUM(P745:P749)</f>
        <v>227.23482996170949</v>
      </c>
      <c r="Q750" s="191">
        <f>SUM(Q745:Q749)</f>
        <v>0</v>
      </c>
      <c r="R750" s="191">
        <f t="shared" ref="R750:X750" si="98">SUM(R745:R749)</f>
        <v>0</v>
      </c>
      <c r="S750" s="191">
        <f t="shared" si="98"/>
        <v>0</v>
      </c>
      <c r="T750" s="191">
        <f t="shared" si="98"/>
        <v>0</v>
      </c>
      <c r="U750" s="191">
        <f t="shared" si="98"/>
        <v>0</v>
      </c>
      <c r="V750" s="191">
        <f t="shared" si="98"/>
        <v>0</v>
      </c>
      <c r="W750" s="191">
        <f t="shared" si="98"/>
        <v>0</v>
      </c>
      <c r="X750" s="191">
        <f t="shared" si="98"/>
        <v>0</v>
      </c>
      <c r="Y750" s="159" t="e">
        <f t="shared" si="96"/>
        <v>#DIV/0!</v>
      </c>
    </row>
    <row r="751" spans="2:27" customFormat="1" ht="12.5" x14ac:dyDescent="0.25"/>
    <row r="752" spans="2:27" x14ac:dyDescent="0.35">
      <c r="B752" s="31"/>
      <c r="C752" s="33"/>
      <c r="D752" s="33"/>
      <c r="E752" s="33"/>
      <c r="F752" s="33"/>
      <c r="G752" s="33"/>
      <c r="H752" s="33"/>
      <c r="I752" s="33"/>
      <c r="J752" s="33"/>
      <c r="K752" s="33"/>
      <c r="L752" s="33"/>
      <c r="M752" s="33"/>
      <c r="N752" s="33"/>
      <c r="O752" s="17"/>
      <c r="P752" s="17"/>
      <c r="Q752" s="17"/>
      <c r="R752" s="17"/>
      <c r="S752" s="152"/>
      <c r="T752" s="152"/>
      <c r="U752" s="152"/>
      <c r="V752" s="152"/>
      <c r="W752" s="152"/>
      <c r="X752" s="152"/>
    </row>
    <row r="753" spans="1:27" s="42" customFormat="1" ht="18" x14ac:dyDescent="0.4">
      <c r="A753" s="83" t="s">
        <v>7</v>
      </c>
      <c r="Z753" s="110"/>
      <c r="AA753" s="308"/>
    </row>
    <row r="754" spans="1:27" x14ac:dyDescent="0.35">
      <c r="A754" s="56"/>
      <c r="B754" s="93" t="s">
        <v>266</v>
      </c>
      <c r="C754" s="61"/>
      <c r="D754" s="61"/>
      <c r="E754" s="61"/>
      <c r="F754" s="61"/>
      <c r="G754" s="61"/>
      <c r="H754" s="61"/>
      <c r="I754" s="61"/>
      <c r="J754" s="50"/>
      <c r="K754" s="50"/>
      <c r="L754" s="50"/>
      <c r="M754" s="50"/>
      <c r="N754" s="93" t="s">
        <v>267</v>
      </c>
      <c r="O754" s="17"/>
      <c r="P754" s="17"/>
      <c r="Q754" s="17"/>
      <c r="R754" s="17"/>
      <c r="S754" s="152"/>
      <c r="T754" s="152"/>
      <c r="U754" s="152"/>
      <c r="V754" s="152"/>
      <c r="W754" s="152"/>
      <c r="X754" s="152"/>
      <c r="Z754" s="152"/>
    </row>
    <row r="755" spans="1:27" x14ac:dyDescent="0.35">
      <c r="B755" s="31"/>
      <c r="C755" s="32"/>
      <c r="D755" s="32"/>
      <c r="E755" s="32"/>
      <c r="F755" s="32"/>
      <c r="G755" s="32"/>
      <c r="H755" s="32"/>
      <c r="I755" s="32"/>
      <c r="J755" s="33"/>
      <c r="K755" s="33"/>
      <c r="L755" s="33"/>
      <c r="M755" s="33"/>
      <c r="N755" s="33"/>
      <c r="O755" s="17"/>
      <c r="P755" s="17"/>
      <c r="Q755" s="17"/>
      <c r="R755" s="17"/>
      <c r="S755" s="152"/>
      <c r="T755" s="152"/>
      <c r="U755" s="152"/>
      <c r="V755" s="152"/>
      <c r="W755" s="152"/>
      <c r="X755" s="152"/>
      <c r="Z755" s="152"/>
    </row>
    <row r="756" spans="1:27" x14ac:dyDescent="0.35">
      <c r="B756" s="31"/>
      <c r="C756" s="32"/>
      <c r="D756" s="32"/>
      <c r="E756" s="32"/>
      <c r="F756" s="32"/>
      <c r="G756" s="32"/>
      <c r="H756" s="32"/>
      <c r="I756" s="32"/>
      <c r="J756" s="33"/>
      <c r="K756" s="33"/>
      <c r="L756" s="33"/>
      <c r="M756" s="33"/>
      <c r="N756" s="33"/>
      <c r="O756" s="17"/>
      <c r="P756" s="17"/>
      <c r="Q756" s="17"/>
      <c r="R756" s="17"/>
      <c r="S756" s="152"/>
      <c r="T756" s="152"/>
      <c r="U756" s="152"/>
      <c r="V756" s="152"/>
      <c r="W756" s="152"/>
      <c r="X756" s="152"/>
      <c r="Z756" s="152"/>
    </row>
    <row r="757" spans="1:27" x14ac:dyDescent="0.35">
      <c r="B757" s="31"/>
      <c r="C757" s="32"/>
      <c r="D757" s="32"/>
      <c r="E757" s="32"/>
      <c r="F757" s="32"/>
      <c r="G757" s="32"/>
      <c r="H757" s="32"/>
      <c r="I757" s="32"/>
      <c r="J757" s="33"/>
      <c r="K757" s="33"/>
      <c r="L757" s="33"/>
      <c r="M757" s="33"/>
      <c r="N757" s="33"/>
      <c r="O757" s="17"/>
      <c r="P757" s="17"/>
      <c r="Q757" s="17"/>
      <c r="R757" s="17"/>
      <c r="S757" s="152"/>
      <c r="T757" s="152"/>
      <c r="U757" s="152"/>
      <c r="V757" s="152"/>
      <c r="W757" s="152"/>
      <c r="X757" s="152"/>
      <c r="Z757" s="152"/>
    </row>
    <row r="758" spans="1:27" x14ac:dyDescent="0.35">
      <c r="B758" s="31"/>
      <c r="C758" s="32"/>
      <c r="D758" s="32"/>
      <c r="E758" s="32"/>
      <c r="F758" s="32"/>
      <c r="G758" s="32"/>
      <c r="H758" s="32"/>
      <c r="I758" s="32"/>
      <c r="J758" s="33"/>
      <c r="K758" s="33"/>
      <c r="L758" s="33"/>
      <c r="M758" s="33"/>
      <c r="N758" s="33"/>
      <c r="O758" s="17"/>
      <c r="P758" s="17"/>
      <c r="Q758" s="17"/>
      <c r="R758" s="17"/>
      <c r="S758" s="152"/>
      <c r="T758" s="152"/>
      <c r="U758" s="152"/>
      <c r="V758" s="152"/>
      <c r="W758" s="152"/>
      <c r="X758" s="152"/>
      <c r="Z758" s="152"/>
    </row>
    <row r="759" spans="1:27" x14ac:dyDescent="0.35">
      <c r="B759" s="31"/>
      <c r="C759" s="32"/>
      <c r="D759" s="32"/>
      <c r="E759" s="32"/>
      <c r="F759" s="32"/>
      <c r="G759" s="32"/>
      <c r="H759" s="32"/>
      <c r="I759" s="32"/>
      <c r="J759" s="33"/>
      <c r="K759" s="33"/>
      <c r="L759" s="33"/>
      <c r="M759" s="33"/>
      <c r="N759" s="33"/>
      <c r="O759" s="17"/>
      <c r="P759" s="17"/>
      <c r="Q759" s="17"/>
      <c r="R759" s="17"/>
      <c r="S759" s="152"/>
      <c r="T759" s="152"/>
      <c r="U759" s="152"/>
      <c r="V759" s="152"/>
      <c r="W759" s="152"/>
      <c r="X759" s="152"/>
      <c r="Z759" s="152"/>
    </row>
    <row r="760" spans="1:27" x14ac:dyDescent="0.35">
      <c r="B760" s="31"/>
      <c r="C760" s="32"/>
      <c r="D760" s="32"/>
      <c r="E760" s="32"/>
      <c r="F760" s="32"/>
      <c r="G760" s="32"/>
      <c r="H760" s="32"/>
      <c r="I760" s="32"/>
      <c r="J760" s="33"/>
      <c r="K760" s="33"/>
      <c r="L760" s="33"/>
      <c r="M760" s="33"/>
      <c r="N760" s="33"/>
      <c r="O760" s="17"/>
      <c r="P760" s="17"/>
      <c r="Q760" s="17"/>
      <c r="R760" s="17"/>
      <c r="S760" s="152"/>
      <c r="T760" s="152"/>
      <c r="U760" s="152"/>
      <c r="V760" s="152"/>
      <c r="W760" s="152"/>
      <c r="X760" s="152"/>
      <c r="Z760" s="152"/>
    </row>
    <row r="761" spans="1:27" x14ac:dyDescent="0.35">
      <c r="B761" s="31"/>
      <c r="C761" s="32"/>
      <c r="D761" s="32"/>
      <c r="E761" s="32"/>
      <c r="F761" s="32"/>
      <c r="G761" s="32"/>
      <c r="H761" s="32"/>
      <c r="I761" s="32"/>
      <c r="J761" s="33"/>
      <c r="K761" s="33"/>
      <c r="L761" s="33"/>
      <c r="M761" s="33"/>
      <c r="N761" s="33"/>
      <c r="O761" s="17"/>
      <c r="P761" s="17"/>
      <c r="Q761" s="17"/>
      <c r="R761" s="17"/>
      <c r="S761" s="152"/>
      <c r="T761" s="152"/>
      <c r="U761" s="152"/>
      <c r="V761" s="152"/>
      <c r="W761" s="152"/>
      <c r="X761" s="152"/>
      <c r="Z761" s="152"/>
    </row>
    <row r="762" spans="1:27" x14ac:dyDescent="0.35">
      <c r="B762" s="31"/>
      <c r="C762" s="32"/>
      <c r="D762" s="32"/>
      <c r="E762" s="32"/>
      <c r="F762" s="32"/>
      <c r="G762" s="32"/>
      <c r="H762" s="32"/>
      <c r="I762" s="32"/>
      <c r="J762" s="33"/>
      <c r="K762" s="33"/>
      <c r="L762" s="33"/>
      <c r="M762" s="33"/>
      <c r="N762" s="33"/>
      <c r="O762" s="17"/>
      <c r="P762" s="17"/>
      <c r="Q762" s="17"/>
      <c r="R762" s="17"/>
      <c r="S762" s="152"/>
      <c r="T762" s="152"/>
      <c r="U762" s="152"/>
      <c r="V762" s="152"/>
      <c r="W762" s="152"/>
      <c r="X762" s="152"/>
      <c r="Z762" s="152"/>
    </row>
    <row r="763" spans="1:27" x14ac:dyDescent="0.35">
      <c r="B763" s="31"/>
      <c r="C763" s="32"/>
      <c r="D763" s="32"/>
      <c r="E763" s="32"/>
      <c r="F763" s="32"/>
      <c r="G763" s="32"/>
      <c r="H763" s="32"/>
      <c r="I763" s="32"/>
      <c r="J763" s="33"/>
      <c r="K763" s="33"/>
      <c r="L763" s="33"/>
      <c r="M763" s="33"/>
      <c r="N763" s="33"/>
      <c r="O763" s="17"/>
      <c r="P763" s="17"/>
      <c r="Q763" s="17"/>
      <c r="R763" s="17"/>
      <c r="S763" s="152"/>
      <c r="T763" s="152"/>
      <c r="U763" s="152"/>
      <c r="V763" s="152"/>
      <c r="W763" s="152"/>
      <c r="X763" s="152"/>
      <c r="Z763" s="152"/>
    </row>
    <row r="764" spans="1:27" x14ac:dyDescent="0.35">
      <c r="B764" s="31"/>
      <c r="C764" s="32"/>
      <c r="D764" s="32"/>
      <c r="E764" s="32"/>
      <c r="F764" s="32"/>
      <c r="G764" s="32"/>
      <c r="H764" s="32"/>
      <c r="I764" s="32"/>
      <c r="J764" s="33"/>
      <c r="K764" s="33"/>
      <c r="L764" s="33"/>
      <c r="M764" s="33"/>
      <c r="N764" s="33"/>
      <c r="O764" s="17"/>
      <c r="P764" s="17"/>
      <c r="Q764" s="17"/>
      <c r="R764" s="17"/>
      <c r="S764" s="152"/>
      <c r="T764" s="152"/>
      <c r="U764" s="152"/>
      <c r="V764" s="152"/>
      <c r="W764" s="152"/>
      <c r="X764" s="152"/>
      <c r="Z764" s="152"/>
    </row>
    <row r="765" spans="1:27" x14ac:dyDescent="0.35">
      <c r="B765" s="31"/>
      <c r="C765" s="32"/>
      <c r="D765" s="32"/>
      <c r="E765" s="32"/>
      <c r="F765" s="32"/>
      <c r="G765" s="32"/>
      <c r="H765" s="32"/>
      <c r="I765" s="32"/>
      <c r="J765" s="33"/>
      <c r="K765" s="33"/>
      <c r="L765" s="33"/>
      <c r="M765" s="33"/>
      <c r="N765" s="33"/>
      <c r="O765" s="17"/>
      <c r="P765" s="17"/>
      <c r="Q765" s="17"/>
      <c r="R765" s="17"/>
      <c r="S765" s="152"/>
      <c r="T765" s="152"/>
      <c r="U765" s="152"/>
      <c r="V765" s="152"/>
      <c r="W765" s="152"/>
      <c r="X765" s="152"/>
      <c r="Z765" s="152"/>
    </row>
    <row r="766" spans="1:27" x14ac:dyDescent="0.35">
      <c r="B766" s="31"/>
      <c r="C766" s="32"/>
      <c r="D766" s="32"/>
      <c r="E766" s="32"/>
      <c r="F766" s="32"/>
      <c r="G766" s="32"/>
      <c r="H766" s="32"/>
      <c r="I766" s="32"/>
      <c r="J766" s="33"/>
      <c r="K766" s="33"/>
      <c r="L766" s="33"/>
      <c r="M766" s="33"/>
      <c r="N766" s="33"/>
      <c r="O766" s="17"/>
      <c r="P766" s="17"/>
      <c r="Q766" s="17"/>
      <c r="R766" s="17"/>
      <c r="S766" s="152"/>
      <c r="T766" s="152"/>
      <c r="U766" s="152"/>
      <c r="V766" s="152"/>
      <c r="W766" s="152"/>
      <c r="X766" s="152"/>
      <c r="Z766" s="152"/>
    </row>
    <row r="767" spans="1:27" x14ac:dyDescent="0.35">
      <c r="B767" s="31"/>
      <c r="C767" s="32"/>
      <c r="D767" s="32"/>
      <c r="E767" s="32"/>
      <c r="F767" s="32"/>
      <c r="G767" s="32"/>
      <c r="H767" s="32"/>
      <c r="I767" s="32"/>
      <c r="J767" s="33"/>
      <c r="K767" s="33"/>
      <c r="L767" s="33"/>
      <c r="M767" s="33"/>
      <c r="N767" s="33"/>
      <c r="O767" s="17"/>
      <c r="P767" s="17"/>
      <c r="Q767" s="17"/>
      <c r="R767" s="17"/>
      <c r="S767" s="152"/>
      <c r="T767" s="152"/>
      <c r="U767" s="152"/>
      <c r="V767" s="152"/>
      <c r="W767" s="152"/>
      <c r="X767" s="152"/>
      <c r="Z767" s="152"/>
    </row>
    <row r="768" spans="1:27" x14ac:dyDescent="0.35">
      <c r="B768" s="31"/>
      <c r="C768" s="32"/>
      <c r="D768" s="32"/>
      <c r="E768" s="32"/>
      <c r="F768" s="32"/>
      <c r="G768" s="32"/>
      <c r="H768" s="32"/>
      <c r="I768" s="32"/>
      <c r="J768" s="33"/>
      <c r="K768" s="33"/>
      <c r="L768" s="33"/>
      <c r="M768" s="33"/>
      <c r="N768" s="33"/>
      <c r="O768" s="17"/>
      <c r="P768" s="17"/>
      <c r="Q768" s="17"/>
      <c r="R768" s="17"/>
      <c r="S768" s="152"/>
      <c r="T768" s="152"/>
      <c r="U768" s="152"/>
      <c r="V768" s="152"/>
      <c r="W768" s="152"/>
      <c r="X768" s="152"/>
      <c r="Z768" s="152"/>
    </row>
    <row r="769" spans="2:27" x14ac:dyDescent="0.35">
      <c r="B769" s="31"/>
      <c r="C769" s="32"/>
      <c r="D769" s="32"/>
      <c r="E769" s="32"/>
      <c r="F769" s="32"/>
      <c r="G769" s="32"/>
      <c r="H769" s="32"/>
      <c r="I769" s="32"/>
      <c r="J769" s="33"/>
      <c r="K769" s="33"/>
      <c r="L769" s="33"/>
      <c r="M769" s="33"/>
      <c r="N769" s="33"/>
      <c r="O769" s="17"/>
      <c r="P769" s="17"/>
      <c r="Q769" s="17"/>
      <c r="R769" s="17"/>
      <c r="S769" s="152"/>
      <c r="T769" s="152"/>
      <c r="U769" s="152"/>
      <c r="V769" s="152"/>
      <c r="W769" s="152"/>
      <c r="X769" s="152"/>
      <c r="Z769" s="152"/>
    </row>
    <row r="770" spans="2:27" x14ac:dyDescent="0.35">
      <c r="B770" s="31"/>
      <c r="C770" s="32"/>
      <c r="D770" s="32"/>
      <c r="E770" s="32"/>
      <c r="F770" s="32"/>
      <c r="G770" s="32"/>
      <c r="H770" s="32"/>
      <c r="I770" s="32"/>
      <c r="J770" s="33"/>
      <c r="K770" s="33"/>
      <c r="L770" s="33"/>
      <c r="M770" s="33"/>
      <c r="N770" s="33"/>
      <c r="O770" s="17"/>
      <c r="P770" s="17"/>
      <c r="Q770" s="17"/>
      <c r="R770" s="17"/>
      <c r="S770" s="152"/>
      <c r="T770" s="152"/>
      <c r="U770" s="152"/>
      <c r="V770" s="152"/>
      <c r="W770" s="152"/>
      <c r="X770" s="152"/>
      <c r="Z770" s="152"/>
    </row>
    <row r="771" spans="2:27" x14ac:dyDescent="0.35">
      <c r="B771" s="31"/>
      <c r="C771" s="32"/>
      <c r="D771" s="32"/>
      <c r="E771" s="32"/>
      <c r="F771" s="32"/>
      <c r="G771" s="32"/>
      <c r="H771" s="32"/>
      <c r="I771" s="32"/>
      <c r="J771" s="33"/>
      <c r="K771" s="33"/>
      <c r="L771" s="33"/>
      <c r="M771" s="33"/>
      <c r="N771" s="33"/>
      <c r="O771" s="17"/>
      <c r="P771" s="17"/>
      <c r="Q771" s="17"/>
      <c r="R771" s="17"/>
      <c r="S771" s="152"/>
      <c r="T771" s="152"/>
      <c r="U771" s="152"/>
      <c r="V771" s="152"/>
      <c r="W771" s="152"/>
      <c r="X771" s="152"/>
      <c r="Z771" s="152"/>
    </row>
    <row r="772" spans="2:27" x14ac:dyDescent="0.35">
      <c r="B772" s="31"/>
      <c r="C772" s="32"/>
      <c r="D772" s="32"/>
      <c r="E772" s="32"/>
      <c r="F772" s="32"/>
      <c r="G772" s="32"/>
      <c r="H772" s="32"/>
      <c r="I772" s="32"/>
      <c r="J772" s="33"/>
      <c r="K772" s="33"/>
      <c r="L772" s="33"/>
      <c r="M772" s="33"/>
      <c r="N772" s="33"/>
      <c r="O772" s="17"/>
      <c r="P772" s="17"/>
      <c r="Q772" s="17"/>
      <c r="R772" s="17"/>
      <c r="S772" s="152"/>
      <c r="T772" s="152"/>
      <c r="U772" s="152"/>
      <c r="V772" s="152"/>
      <c r="W772" s="152"/>
      <c r="X772" s="152"/>
      <c r="Z772" s="152"/>
    </row>
    <row r="773" spans="2:27" x14ac:dyDescent="0.35">
      <c r="B773" s="31"/>
      <c r="C773" s="32"/>
      <c r="D773" s="32"/>
      <c r="E773" s="32"/>
      <c r="F773" s="32"/>
      <c r="G773" s="32"/>
      <c r="H773" s="32"/>
      <c r="I773" s="32"/>
      <c r="J773" s="33"/>
      <c r="K773" s="33"/>
      <c r="L773" s="33"/>
      <c r="M773" s="33"/>
      <c r="N773" s="33"/>
      <c r="O773" s="17"/>
      <c r="P773" s="17"/>
      <c r="Q773" s="17"/>
      <c r="R773" s="17"/>
      <c r="S773" s="152"/>
      <c r="T773" s="152"/>
      <c r="U773" s="152"/>
      <c r="V773" s="152"/>
      <c r="W773" s="152"/>
      <c r="X773" s="152"/>
      <c r="Z773" s="152"/>
    </row>
    <row r="774" spans="2:27" x14ac:dyDescent="0.35">
      <c r="B774" s="31"/>
      <c r="C774" s="32"/>
      <c r="D774" s="32"/>
      <c r="E774" s="32"/>
      <c r="F774" s="32"/>
      <c r="G774" s="32"/>
      <c r="H774" s="32"/>
      <c r="I774" s="32"/>
      <c r="J774" s="33"/>
      <c r="K774" s="33"/>
      <c r="L774" s="33"/>
      <c r="M774" s="33"/>
      <c r="N774" s="33"/>
      <c r="O774" s="17"/>
      <c r="P774" s="17"/>
      <c r="Q774" s="17"/>
      <c r="R774" s="17"/>
      <c r="S774" s="152"/>
      <c r="T774" s="152"/>
      <c r="U774" s="152"/>
      <c r="V774" s="152"/>
      <c r="W774" s="152"/>
      <c r="X774" s="152"/>
      <c r="Z774" s="152"/>
    </row>
    <row r="775" spans="2:27" x14ac:dyDescent="0.35">
      <c r="B775" s="31"/>
      <c r="C775" s="32"/>
      <c r="D775" s="32"/>
      <c r="E775" s="32"/>
      <c r="F775" s="32"/>
      <c r="G775" s="32"/>
      <c r="H775" s="32"/>
      <c r="I775" s="32"/>
      <c r="J775" s="33"/>
      <c r="K775" s="33"/>
      <c r="L775" s="33"/>
      <c r="M775" s="33"/>
      <c r="N775" s="33"/>
      <c r="O775" s="17"/>
      <c r="P775" s="17"/>
      <c r="Q775" s="17"/>
      <c r="R775" s="17"/>
      <c r="S775" s="152"/>
      <c r="T775" s="152"/>
      <c r="U775" s="152"/>
      <c r="V775" s="152"/>
      <c r="W775" s="152"/>
      <c r="X775" s="152"/>
      <c r="Z775" s="152"/>
    </row>
    <row r="776" spans="2:27" x14ac:dyDescent="0.35">
      <c r="B776" s="31"/>
      <c r="C776" s="32"/>
      <c r="D776" s="32"/>
      <c r="E776" s="32"/>
      <c r="F776" s="32"/>
      <c r="G776" s="32"/>
      <c r="H776" s="32"/>
      <c r="I776" s="32"/>
      <c r="J776" s="33"/>
      <c r="K776" s="33"/>
      <c r="L776" s="33"/>
      <c r="M776" s="33"/>
      <c r="N776" s="33"/>
      <c r="O776" s="17"/>
      <c r="P776" s="17"/>
      <c r="Q776" s="17"/>
      <c r="R776" s="17"/>
      <c r="S776" s="152"/>
      <c r="T776" s="152"/>
      <c r="U776" s="152"/>
      <c r="V776" s="152"/>
      <c r="W776" s="152"/>
      <c r="X776" s="152"/>
      <c r="Z776" s="152"/>
    </row>
    <row r="777" spans="2:27" x14ac:dyDescent="0.35">
      <c r="B777" s="31"/>
      <c r="C777" s="32"/>
      <c r="D777" s="32"/>
      <c r="E777" s="32"/>
      <c r="F777" s="32"/>
      <c r="G777" s="32"/>
      <c r="H777" s="32"/>
      <c r="I777" s="32"/>
      <c r="J777" s="33"/>
      <c r="K777" s="33"/>
      <c r="L777" s="33"/>
      <c r="M777" s="33"/>
      <c r="N777" s="33"/>
      <c r="O777" s="17"/>
      <c r="P777" s="17"/>
      <c r="Q777" s="17"/>
      <c r="R777" s="17"/>
      <c r="S777" s="152"/>
      <c r="T777" s="152"/>
      <c r="U777" s="152"/>
      <c r="V777" s="152"/>
      <c r="W777" s="152"/>
      <c r="X777" s="152"/>
      <c r="Z777" s="152"/>
    </row>
    <row r="778" spans="2:27" x14ac:dyDescent="0.35">
      <c r="B778" s="84"/>
      <c r="C778" s="61"/>
      <c r="D778" s="61"/>
      <c r="E778" s="61"/>
      <c r="F778" s="61"/>
      <c r="G778" s="61"/>
      <c r="H778" s="61"/>
      <c r="I778" s="61"/>
      <c r="J778" s="65"/>
      <c r="K778" s="65"/>
      <c r="L778" s="65"/>
      <c r="M778" s="65"/>
      <c r="O778" s="17"/>
      <c r="P778" s="17"/>
      <c r="Q778" s="17"/>
      <c r="R778" s="17"/>
      <c r="S778" s="152"/>
      <c r="T778" s="152"/>
      <c r="U778" s="152"/>
      <c r="V778" s="152"/>
      <c r="W778" s="152"/>
      <c r="X778" s="152"/>
      <c r="Z778" s="152"/>
    </row>
    <row r="779" spans="2:27" x14ac:dyDescent="0.35">
      <c r="B779" s="84" t="s">
        <v>264</v>
      </c>
      <c r="C779" s="61"/>
      <c r="D779" s="61"/>
      <c r="E779" s="61"/>
      <c r="F779" s="61"/>
      <c r="G779" s="61"/>
      <c r="H779" s="61"/>
      <c r="I779" s="61"/>
      <c r="J779" s="426"/>
      <c r="K779" s="565"/>
      <c r="L779" s="666"/>
      <c r="M779" s="33"/>
      <c r="N779" s="85" t="s">
        <v>265</v>
      </c>
      <c r="O779" s="426"/>
      <c r="P779" s="426"/>
      <c r="Q779" s="426"/>
      <c r="R779" s="426"/>
      <c r="S779" s="426"/>
      <c r="T779" s="426"/>
      <c r="U779" s="426"/>
      <c r="V779" s="426"/>
      <c r="W779" s="565"/>
      <c r="X779" s="666"/>
      <c r="Y779" s="141" t="s">
        <v>2</v>
      </c>
    </row>
    <row r="780" spans="2:27" x14ac:dyDescent="0.35">
      <c r="B780" s="185" t="s">
        <v>70</v>
      </c>
      <c r="C780" s="123">
        <v>2016</v>
      </c>
      <c r="D780" s="140">
        <v>2017</v>
      </c>
      <c r="E780" s="140">
        <v>2018</v>
      </c>
      <c r="F780" s="123">
        <v>2019</v>
      </c>
      <c r="G780" s="123">
        <v>2020</v>
      </c>
      <c r="H780" s="123">
        <v>2021</v>
      </c>
      <c r="I780" s="123">
        <v>2022</v>
      </c>
      <c r="J780" s="123">
        <v>2023</v>
      </c>
      <c r="K780" s="123">
        <v>2024</v>
      </c>
      <c r="L780" s="123">
        <v>2025</v>
      </c>
      <c r="M780" s="33"/>
      <c r="N780" s="185" t="s">
        <v>70</v>
      </c>
      <c r="O780" s="124">
        <v>2016</v>
      </c>
      <c r="P780" s="123">
        <v>2017</v>
      </c>
      <c r="Q780" s="140">
        <v>2018</v>
      </c>
      <c r="R780" s="140">
        <v>2019</v>
      </c>
      <c r="S780" s="140">
        <v>2020</v>
      </c>
      <c r="T780" s="140">
        <v>2021</v>
      </c>
      <c r="U780" s="140">
        <v>2022</v>
      </c>
      <c r="V780" s="140">
        <v>2023</v>
      </c>
      <c r="W780" s="140">
        <v>2024</v>
      </c>
      <c r="X780" s="140">
        <v>2025</v>
      </c>
      <c r="Y780" s="123" t="str">
        <f>$Y$98</f>
        <v>2020-2025</v>
      </c>
      <c r="AA780" s="304">
        <f>SUM(O781:X783)</f>
        <v>885.1914311854548</v>
      </c>
    </row>
    <row r="781" spans="2:27" x14ac:dyDescent="0.35">
      <c r="B781" s="24" t="s">
        <v>199</v>
      </c>
      <c r="C781" s="55">
        <f>'AOC-EOM'!E17</f>
        <v>802184.53714285721</v>
      </c>
      <c r="D781" s="55">
        <f>'AOC-EOM'!F17</f>
        <v>1831408.3199999998</v>
      </c>
      <c r="E781" s="55">
        <f>'AOC-EOM'!G17</f>
        <v>0</v>
      </c>
      <c r="F781" s="55">
        <f>'AOC-EOM'!H17</f>
        <v>0</v>
      </c>
      <c r="G781" s="55">
        <f>'AOC-EOM'!I17</f>
        <v>0</v>
      </c>
      <c r="H781" s="55">
        <f>'AOC-EOM'!J17</f>
        <v>0</v>
      </c>
      <c r="I781" s="55">
        <f>'AOC-EOM'!K17</f>
        <v>0</v>
      </c>
      <c r="J781" s="55">
        <f>'AOC-EOM'!L17</f>
        <v>0</v>
      </c>
      <c r="K781" s="10">
        <f>'AOC-EOM'!M17</f>
        <v>0</v>
      </c>
      <c r="L781" s="147">
        <f>'AOC-EOM'!N17</f>
        <v>0</v>
      </c>
      <c r="M781" s="33"/>
      <c r="N781" s="24" t="str">
        <f>B781</f>
        <v>China</v>
      </c>
      <c r="O781" s="125">
        <f>'AOC-EOM'!E41</f>
        <v>46.76241923894375</v>
      </c>
      <c r="P781" s="125">
        <f>'AOC-EOM'!F41</f>
        <v>61.78953336003724</v>
      </c>
      <c r="Q781" s="125">
        <f>'AOC-EOM'!G41</f>
        <v>0</v>
      </c>
      <c r="R781" s="125">
        <f>'AOC-EOM'!H41</f>
        <v>0</v>
      </c>
      <c r="S781" s="125">
        <f>'AOC-EOM'!I41</f>
        <v>0</v>
      </c>
      <c r="T781" s="125">
        <f>'AOC-EOM'!J41</f>
        <v>0</v>
      </c>
      <c r="U781" s="125">
        <f>'AOC-EOM'!K41</f>
        <v>0</v>
      </c>
      <c r="V781" s="125">
        <f>'AOC-EOM'!L41</f>
        <v>0</v>
      </c>
      <c r="W781" s="125">
        <f>'AOC-EOM'!M41</f>
        <v>0</v>
      </c>
      <c r="X781" s="125">
        <f>'AOC-EOM'!N41</f>
        <v>0</v>
      </c>
      <c r="Y781" s="153" t="e">
        <f>(X781/S781)^(1/5)-1</f>
        <v>#DIV/0!</v>
      </c>
      <c r="AA781" s="305">
        <f>SUM('AOC-EOM'!E116:N123)</f>
        <v>885.19143118545321</v>
      </c>
    </row>
    <row r="782" spans="2:27" x14ac:dyDescent="0.35">
      <c r="B782" s="24" t="s">
        <v>224</v>
      </c>
      <c r="C782" s="55">
        <f>'AOC-EOM'!E58</f>
        <v>1715201.82</v>
      </c>
      <c r="D782" s="55">
        <f>'AOC-EOM'!F58</f>
        <v>2294447.6800000002</v>
      </c>
      <c r="E782" s="55">
        <f>'AOC-EOM'!G58</f>
        <v>0</v>
      </c>
      <c r="F782" s="55">
        <f>'AOC-EOM'!H58</f>
        <v>0</v>
      </c>
      <c r="G782" s="55">
        <f>'AOC-EOM'!I58</f>
        <v>0</v>
      </c>
      <c r="H782" s="55">
        <f>'AOC-EOM'!J58</f>
        <v>0</v>
      </c>
      <c r="I782" s="55">
        <f>'AOC-EOM'!K58</f>
        <v>0</v>
      </c>
      <c r="J782" s="55">
        <f>'AOC-EOM'!L58</f>
        <v>0</v>
      </c>
      <c r="K782" s="55">
        <f>'AOC-EOM'!M58</f>
        <v>0</v>
      </c>
      <c r="L782" s="10">
        <f>'AOC-EOM'!N58</f>
        <v>0</v>
      </c>
      <c r="M782" s="33"/>
      <c r="N782" s="24" t="str">
        <f>B782</f>
        <v>Rest of World</v>
      </c>
      <c r="O782" s="69">
        <f>'AOC-EOM'!E82</f>
        <v>183.53084702024273</v>
      </c>
      <c r="P782" s="69">
        <f>'AOC-EOM'!F82</f>
        <v>150.51291597350368</v>
      </c>
      <c r="Q782" s="69">
        <f>'AOC-EOM'!G82</f>
        <v>0</v>
      </c>
      <c r="R782" s="69">
        <f>'AOC-EOM'!H82</f>
        <v>0</v>
      </c>
      <c r="S782" s="69">
        <f>'AOC-EOM'!I82</f>
        <v>0</v>
      </c>
      <c r="T782" s="69">
        <f>'AOC-EOM'!J82</f>
        <v>0</v>
      </c>
      <c r="U782" s="69">
        <f>'AOC-EOM'!K82</f>
        <v>0</v>
      </c>
      <c r="V782" s="69">
        <f>'AOC-EOM'!L82</f>
        <v>0</v>
      </c>
      <c r="W782" s="69">
        <f>'AOC-EOM'!M82</f>
        <v>0</v>
      </c>
      <c r="X782" s="69">
        <f>'AOC-EOM'!N82</f>
        <v>0</v>
      </c>
      <c r="Y782" s="154" t="e">
        <f>(X782/S782)^(1/5)-1</f>
        <v>#DIV/0!</v>
      </c>
      <c r="AA782" s="304"/>
    </row>
    <row r="783" spans="2:27" x14ac:dyDescent="0.35">
      <c r="B783" s="187" t="s">
        <v>253</v>
      </c>
      <c r="C783" s="193">
        <f t="shared" ref="C783:J783" si="99">C782+C781</f>
        <v>2517386.3571428573</v>
      </c>
      <c r="D783" s="193">
        <f t="shared" si="99"/>
        <v>4125856</v>
      </c>
      <c r="E783" s="193">
        <f t="shared" si="99"/>
        <v>0</v>
      </c>
      <c r="F783" s="193">
        <f t="shared" si="99"/>
        <v>0</v>
      </c>
      <c r="G783" s="193">
        <f t="shared" si="99"/>
        <v>0</v>
      </c>
      <c r="H783" s="193">
        <f t="shared" si="99"/>
        <v>0</v>
      </c>
      <c r="I783" s="193">
        <f t="shared" si="99"/>
        <v>0</v>
      </c>
      <c r="J783" s="193">
        <f t="shared" si="99"/>
        <v>0</v>
      </c>
      <c r="K783" s="130">
        <f>K782+K781</f>
        <v>0</v>
      </c>
      <c r="L783" s="130">
        <f>L782+L781</f>
        <v>0</v>
      </c>
      <c r="M783" s="33"/>
      <c r="N783" s="187" t="str">
        <f>B783</f>
        <v>Global</v>
      </c>
      <c r="O783" s="329">
        <f t="shared" ref="O783:V783" si="100">O782+O781</f>
        <v>230.29326625918648</v>
      </c>
      <c r="P783" s="329">
        <f t="shared" si="100"/>
        <v>212.30244933354092</v>
      </c>
      <c r="Q783" s="329">
        <f t="shared" si="100"/>
        <v>0</v>
      </c>
      <c r="R783" s="329">
        <f t="shared" si="100"/>
        <v>0</v>
      </c>
      <c r="S783" s="329">
        <f t="shared" si="100"/>
        <v>0</v>
      </c>
      <c r="T783" s="329">
        <f t="shared" si="100"/>
        <v>0</v>
      </c>
      <c r="U783" s="329">
        <f t="shared" si="100"/>
        <v>0</v>
      </c>
      <c r="V783" s="329">
        <f t="shared" si="100"/>
        <v>0</v>
      </c>
      <c r="W783" s="329">
        <f>W782+W781</f>
        <v>0</v>
      </c>
      <c r="X783" s="329">
        <f>X782+X781</f>
        <v>0</v>
      </c>
      <c r="Y783" s="159" t="e">
        <f>(X783/S783)^(1/5)-1</f>
        <v>#DIV/0!</v>
      </c>
    </row>
    <row r="784" spans="2:27" x14ac:dyDescent="0.35">
      <c r="B784" s="454" t="s">
        <v>273</v>
      </c>
      <c r="C784" s="455">
        <f t="shared" ref="C784:L784" si="101">IF(C781=0,"",C781/C783)</f>
        <v>0.31865769625180129</v>
      </c>
      <c r="D784" s="455">
        <f t="shared" si="101"/>
        <v>0.44388566154514358</v>
      </c>
      <c r="E784" s="455" t="str">
        <f t="shared" si="101"/>
        <v/>
      </c>
      <c r="F784" s="455" t="str">
        <f t="shared" si="101"/>
        <v/>
      </c>
      <c r="G784" s="455" t="str">
        <f t="shared" si="101"/>
        <v/>
      </c>
      <c r="H784" s="455" t="str">
        <f t="shared" si="101"/>
        <v/>
      </c>
      <c r="I784" s="455" t="str">
        <f t="shared" si="101"/>
        <v/>
      </c>
      <c r="J784" s="455" t="str">
        <f t="shared" si="101"/>
        <v/>
      </c>
      <c r="K784" s="455" t="str">
        <f t="shared" si="101"/>
        <v/>
      </c>
      <c r="L784" s="455" t="str">
        <f t="shared" si="101"/>
        <v/>
      </c>
      <c r="M784" s="33"/>
      <c r="N784" s="454" t="s">
        <v>273</v>
      </c>
      <c r="O784" s="455">
        <f t="shared" ref="O784:X784" si="102">IF(O781=0,"",O781/O783)</f>
        <v>0.2030559555584851</v>
      </c>
      <c r="P784" s="455">
        <f t="shared" si="102"/>
        <v>0.29104484453197182</v>
      </c>
      <c r="Q784" s="455" t="str">
        <f t="shared" si="102"/>
        <v/>
      </c>
      <c r="R784" s="455" t="str">
        <f t="shared" si="102"/>
        <v/>
      </c>
      <c r="S784" s="455" t="str">
        <f t="shared" si="102"/>
        <v/>
      </c>
      <c r="T784" s="455" t="str">
        <f t="shared" si="102"/>
        <v/>
      </c>
      <c r="U784" s="455" t="str">
        <f t="shared" si="102"/>
        <v/>
      </c>
      <c r="V784" s="455" t="str">
        <f t="shared" si="102"/>
        <v/>
      </c>
      <c r="W784" s="455" t="str">
        <f t="shared" si="102"/>
        <v/>
      </c>
      <c r="X784" s="455" t="str">
        <f t="shared" si="102"/>
        <v/>
      </c>
      <c r="Y784" s="452"/>
    </row>
    <row r="785" spans="1:26" x14ac:dyDescent="0.35">
      <c r="M785" s="33"/>
      <c r="S785" s="152"/>
      <c r="T785" s="152"/>
      <c r="U785" s="152"/>
      <c r="V785" s="152"/>
      <c r="W785" s="152"/>
      <c r="X785" s="152"/>
      <c r="Z785" s="9"/>
    </row>
    <row r="786" spans="1:26" x14ac:dyDescent="0.35">
      <c r="A786" s="56"/>
      <c r="B786" s="93" t="s">
        <v>268</v>
      </c>
      <c r="C786" s="61"/>
      <c r="D786" s="61"/>
      <c r="E786" s="61"/>
      <c r="F786" s="61"/>
      <c r="G786" s="61"/>
      <c r="H786" s="61"/>
      <c r="I786" s="61"/>
      <c r="J786" s="50"/>
      <c r="K786" s="50"/>
      <c r="L786" s="50"/>
      <c r="M786" s="33"/>
      <c r="N786" s="93" t="s">
        <v>269</v>
      </c>
      <c r="O786" s="17"/>
      <c r="P786" s="17"/>
      <c r="Q786" s="17"/>
      <c r="R786" s="17"/>
      <c r="S786" s="152"/>
      <c r="T786" s="152"/>
      <c r="U786" s="152"/>
      <c r="V786" s="152"/>
      <c r="W786" s="152"/>
      <c r="X786" s="152"/>
      <c r="Z786" s="152"/>
    </row>
    <row r="787" spans="1:26" x14ac:dyDescent="0.35">
      <c r="B787" s="31"/>
      <c r="C787" s="32"/>
      <c r="D787" s="32"/>
      <c r="E787" s="32"/>
      <c r="F787" s="32"/>
      <c r="G787" s="32"/>
      <c r="H787" s="32"/>
      <c r="I787" s="32"/>
      <c r="J787" s="33"/>
      <c r="K787" s="33"/>
      <c r="L787" s="33"/>
      <c r="M787" s="33"/>
      <c r="N787" s="33"/>
      <c r="O787" s="17"/>
      <c r="P787" s="17"/>
      <c r="Q787" s="17"/>
      <c r="R787" s="17"/>
      <c r="S787" s="152"/>
      <c r="T787" s="152"/>
      <c r="U787" s="152"/>
      <c r="V787" s="152"/>
      <c r="W787" s="152"/>
      <c r="X787" s="152"/>
      <c r="Z787" s="152"/>
    </row>
    <row r="788" spans="1:26" x14ac:dyDescent="0.35">
      <c r="B788" s="31"/>
      <c r="C788" s="32"/>
      <c r="D788" s="32"/>
      <c r="E788" s="32"/>
      <c r="F788" s="32"/>
      <c r="G788" s="32"/>
      <c r="H788" s="32"/>
      <c r="I788" s="32"/>
      <c r="J788" s="33"/>
      <c r="K788" s="33"/>
      <c r="L788" s="33"/>
      <c r="M788" s="33"/>
      <c r="N788" s="33"/>
      <c r="O788" s="17"/>
      <c r="P788" s="17"/>
      <c r="Q788" s="17"/>
      <c r="R788" s="17"/>
      <c r="S788" s="152"/>
      <c r="T788" s="152"/>
      <c r="U788" s="152"/>
      <c r="V788" s="152"/>
      <c r="W788" s="152"/>
      <c r="X788" s="152"/>
      <c r="Z788" s="152"/>
    </row>
    <row r="789" spans="1:26" x14ac:dyDescent="0.35">
      <c r="B789" s="31"/>
      <c r="C789" s="32"/>
      <c r="D789" s="32"/>
      <c r="E789" s="32"/>
      <c r="F789" s="32"/>
      <c r="G789" s="32"/>
      <c r="H789" s="32"/>
      <c r="I789" s="32"/>
      <c r="J789" s="33"/>
      <c r="K789" s="33"/>
      <c r="L789" s="33"/>
      <c r="M789" s="33"/>
      <c r="N789" s="33"/>
      <c r="O789" s="17"/>
      <c r="P789" s="17"/>
      <c r="Q789" s="17"/>
      <c r="R789" s="17"/>
      <c r="S789" s="152"/>
      <c r="T789" s="152"/>
      <c r="U789" s="152"/>
      <c r="V789" s="152"/>
      <c r="W789" s="152"/>
      <c r="X789" s="152"/>
      <c r="Z789" s="152"/>
    </row>
    <row r="790" spans="1:26" x14ac:dyDescent="0.35">
      <c r="B790" s="31"/>
      <c r="C790" s="32"/>
      <c r="D790" s="32"/>
      <c r="E790" s="32"/>
      <c r="F790" s="32"/>
      <c r="G790" s="32"/>
      <c r="H790" s="32"/>
      <c r="I790" s="32"/>
      <c r="J790" s="33"/>
      <c r="K790" s="33"/>
      <c r="L790" s="33"/>
      <c r="M790" s="33"/>
      <c r="N790" s="33"/>
      <c r="O790" s="17"/>
      <c r="P790" s="17"/>
      <c r="Q790" s="17"/>
      <c r="R790" s="17"/>
      <c r="S790" s="152"/>
      <c r="T790" s="152"/>
      <c r="U790" s="152"/>
      <c r="V790" s="152"/>
      <c r="W790" s="152"/>
      <c r="X790" s="152"/>
      <c r="Z790" s="152"/>
    </row>
    <row r="791" spans="1:26" x14ac:dyDescent="0.35">
      <c r="B791" s="31"/>
      <c r="C791" s="32"/>
      <c r="D791" s="32"/>
      <c r="E791" s="32"/>
      <c r="F791" s="32"/>
      <c r="G791" s="32"/>
      <c r="H791" s="32"/>
      <c r="I791" s="32"/>
      <c r="J791" s="33"/>
      <c r="K791" s="33"/>
      <c r="L791" s="33"/>
      <c r="M791" s="33"/>
      <c r="N791" s="33"/>
      <c r="O791" s="17"/>
      <c r="P791" s="17"/>
      <c r="Q791" s="17"/>
      <c r="R791" s="17"/>
      <c r="S791" s="152"/>
      <c r="T791" s="152"/>
      <c r="U791" s="152"/>
      <c r="V791" s="152"/>
      <c r="W791" s="152"/>
      <c r="X791" s="152"/>
      <c r="Z791" s="152"/>
    </row>
    <row r="792" spans="1:26" x14ac:dyDescent="0.35">
      <c r="B792" s="31"/>
      <c r="C792" s="32"/>
      <c r="D792" s="32"/>
      <c r="E792" s="32"/>
      <c r="F792" s="32"/>
      <c r="G792" s="32"/>
      <c r="H792" s="32"/>
      <c r="I792" s="32"/>
      <c r="J792" s="33"/>
      <c r="K792" s="33"/>
      <c r="L792" s="33"/>
      <c r="M792" s="33"/>
      <c r="N792" s="33"/>
      <c r="O792" s="17"/>
      <c r="P792" s="17"/>
      <c r="Q792" s="17"/>
      <c r="R792" s="17"/>
      <c r="S792" s="152"/>
      <c r="T792" s="152"/>
      <c r="U792" s="152"/>
      <c r="V792" s="152"/>
      <c r="W792" s="152"/>
      <c r="X792" s="152"/>
      <c r="Z792" s="152"/>
    </row>
    <row r="793" spans="1:26" x14ac:dyDescent="0.35">
      <c r="B793" s="31"/>
      <c r="C793" s="32"/>
      <c r="D793" s="32"/>
      <c r="E793" s="32"/>
      <c r="F793" s="32"/>
      <c r="G793" s="32"/>
      <c r="H793" s="32"/>
      <c r="I793" s="32"/>
      <c r="J793" s="33"/>
      <c r="K793" s="33"/>
      <c r="L793" s="33"/>
      <c r="M793" s="33"/>
      <c r="N793" s="33"/>
      <c r="O793" s="17"/>
      <c r="P793" s="17"/>
      <c r="Q793" s="17"/>
      <c r="R793" s="17"/>
      <c r="S793" s="152"/>
      <c r="T793" s="152"/>
      <c r="U793" s="152"/>
      <c r="V793" s="152"/>
      <c r="W793" s="152"/>
      <c r="X793" s="152"/>
      <c r="Z793" s="152"/>
    </row>
    <row r="794" spans="1:26" x14ac:dyDescent="0.35">
      <c r="B794" s="31"/>
      <c r="C794" s="32"/>
      <c r="D794" s="32"/>
      <c r="E794" s="32"/>
      <c r="F794" s="32"/>
      <c r="G794" s="32"/>
      <c r="H794" s="32"/>
      <c r="I794" s="32"/>
      <c r="J794" s="33"/>
      <c r="K794" s="33"/>
      <c r="L794" s="33"/>
      <c r="M794" s="33"/>
      <c r="N794" s="33"/>
      <c r="O794" s="17"/>
      <c r="P794" s="17"/>
      <c r="Q794" s="17"/>
      <c r="R794" s="17"/>
      <c r="S794" s="152"/>
      <c r="T794" s="152"/>
      <c r="U794" s="152"/>
      <c r="V794" s="152"/>
      <c r="W794" s="152"/>
      <c r="X794" s="152"/>
      <c r="Z794" s="152"/>
    </row>
    <row r="795" spans="1:26" x14ac:dyDescent="0.35">
      <c r="B795" s="31"/>
      <c r="C795" s="32"/>
      <c r="D795" s="32"/>
      <c r="E795" s="32"/>
      <c r="F795" s="32"/>
      <c r="G795" s="32"/>
      <c r="H795" s="32"/>
      <c r="I795" s="32"/>
      <c r="J795" s="33"/>
      <c r="K795" s="33"/>
      <c r="L795" s="33"/>
      <c r="M795" s="33"/>
      <c r="N795" s="33"/>
      <c r="O795" s="17"/>
      <c r="P795" s="17"/>
      <c r="Q795" s="17"/>
      <c r="R795" s="17"/>
      <c r="S795" s="152"/>
      <c r="T795" s="152"/>
      <c r="U795" s="152"/>
      <c r="V795" s="152"/>
      <c r="W795" s="152"/>
      <c r="X795" s="152"/>
      <c r="Z795" s="152"/>
    </row>
    <row r="796" spans="1:26" x14ac:dyDescent="0.35">
      <c r="B796" s="31"/>
      <c r="C796" s="32"/>
      <c r="D796" s="32"/>
      <c r="E796" s="32"/>
      <c r="F796" s="32"/>
      <c r="G796" s="32"/>
      <c r="H796" s="32"/>
      <c r="I796" s="32"/>
      <c r="J796" s="33"/>
      <c r="K796" s="33"/>
      <c r="L796" s="33"/>
      <c r="M796" s="33"/>
      <c r="N796" s="33"/>
      <c r="O796" s="17"/>
      <c r="P796" s="17"/>
      <c r="Q796" s="17"/>
      <c r="R796" s="17"/>
      <c r="S796" s="152"/>
      <c r="T796" s="152"/>
      <c r="U796" s="152"/>
      <c r="V796" s="152"/>
      <c r="W796" s="152"/>
      <c r="X796" s="152"/>
      <c r="Z796" s="152"/>
    </row>
    <row r="797" spans="1:26" x14ac:dyDescent="0.35">
      <c r="B797" s="31"/>
      <c r="C797" s="32"/>
      <c r="D797" s="32"/>
      <c r="E797" s="32"/>
      <c r="F797" s="32"/>
      <c r="G797" s="32"/>
      <c r="H797" s="32"/>
      <c r="I797" s="32"/>
      <c r="J797" s="33"/>
      <c r="K797" s="33"/>
      <c r="L797" s="33"/>
      <c r="M797" s="33"/>
      <c r="N797" s="33"/>
      <c r="O797" s="17"/>
      <c r="P797" s="17"/>
      <c r="Q797" s="17"/>
      <c r="R797" s="17"/>
      <c r="S797" s="152"/>
      <c r="T797" s="152"/>
      <c r="U797" s="152"/>
      <c r="V797" s="152"/>
      <c r="W797" s="152"/>
      <c r="X797" s="152"/>
      <c r="Z797" s="152"/>
    </row>
    <row r="798" spans="1:26" x14ac:dyDescent="0.35">
      <c r="B798" s="31"/>
      <c r="C798" s="32"/>
      <c r="D798" s="32"/>
      <c r="E798" s="32"/>
      <c r="F798" s="32"/>
      <c r="G798" s="32"/>
      <c r="H798" s="32"/>
      <c r="I798" s="32"/>
      <c r="J798" s="33"/>
      <c r="K798" s="33"/>
      <c r="L798" s="33"/>
      <c r="M798" s="33"/>
      <c r="N798" s="33"/>
      <c r="O798" s="17"/>
      <c r="P798" s="17"/>
      <c r="Q798" s="17"/>
      <c r="R798" s="17"/>
      <c r="S798" s="152"/>
      <c r="T798" s="152"/>
      <c r="U798" s="152"/>
      <c r="V798" s="152"/>
      <c r="W798" s="152"/>
      <c r="X798" s="152"/>
      <c r="Z798" s="152"/>
    </row>
    <row r="799" spans="1:26" x14ac:dyDescent="0.35">
      <c r="B799" s="31"/>
      <c r="C799" s="32"/>
      <c r="D799" s="32"/>
      <c r="E799" s="32"/>
      <c r="F799" s="32"/>
      <c r="G799" s="32"/>
      <c r="H799" s="32"/>
      <c r="I799" s="32"/>
      <c r="J799" s="33"/>
      <c r="K799" s="33"/>
      <c r="L799" s="33"/>
      <c r="M799" s="33"/>
      <c r="N799" s="33"/>
      <c r="O799" s="17"/>
      <c r="P799" s="17"/>
      <c r="Q799" s="17"/>
      <c r="R799" s="17"/>
      <c r="S799" s="152"/>
      <c r="T799" s="152"/>
      <c r="U799" s="152"/>
      <c r="V799" s="152"/>
      <c r="W799" s="152"/>
      <c r="X799" s="152"/>
      <c r="Z799" s="152"/>
    </row>
    <row r="800" spans="1:26" x14ac:dyDescent="0.35">
      <c r="B800" s="31"/>
      <c r="C800" s="32"/>
      <c r="D800" s="32"/>
      <c r="E800" s="32"/>
      <c r="F800" s="32"/>
      <c r="G800" s="32"/>
      <c r="H800" s="32"/>
      <c r="I800" s="32"/>
      <c r="J800" s="33"/>
      <c r="K800" s="33"/>
      <c r="L800" s="33"/>
      <c r="M800" s="33"/>
      <c r="N800" s="33"/>
      <c r="O800" s="17"/>
      <c r="P800" s="17"/>
      <c r="Q800" s="17"/>
      <c r="R800" s="17"/>
      <c r="S800" s="152"/>
      <c r="T800" s="152"/>
      <c r="U800" s="152"/>
      <c r="V800" s="152"/>
      <c r="W800" s="152"/>
      <c r="X800" s="152"/>
      <c r="Z800" s="152"/>
    </row>
    <row r="801" spans="2:27" x14ac:dyDescent="0.35">
      <c r="B801" s="31"/>
      <c r="C801" s="32"/>
      <c r="D801" s="32"/>
      <c r="E801" s="32"/>
      <c r="F801" s="32"/>
      <c r="G801" s="32"/>
      <c r="H801" s="32"/>
      <c r="I801" s="32"/>
      <c r="J801" s="33"/>
      <c r="K801" s="33"/>
      <c r="L801" s="33"/>
      <c r="M801" s="33"/>
      <c r="N801" s="33"/>
      <c r="O801" s="17"/>
      <c r="P801" s="17"/>
      <c r="Q801" s="17"/>
      <c r="R801" s="17"/>
      <c r="S801" s="152"/>
      <c r="T801" s="152"/>
      <c r="U801" s="152"/>
      <c r="V801" s="152"/>
      <c r="W801" s="152"/>
      <c r="X801" s="152"/>
      <c r="Z801" s="152"/>
    </row>
    <row r="802" spans="2:27" x14ac:dyDescent="0.35">
      <c r="B802" s="31"/>
      <c r="C802" s="32"/>
      <c r="D802" s="32"/>
      <c r="E802" s="32"/>
      <c r="F802" s="32"/>
      <c r="G802" s="32"/>
      <c r="H802" s="32"/>
      <c r="I802" s="32"/>
      <c r="J802" s="33"/>
      <c r="K802" s="33"/>
      <c r="L802" s="33"/>
      <c r="M802" s="33"/>
      <c r="N802" s="33"/>
      <c r="O802" s="17"/>
      <c r="P802" s="17"/>
      <c r="Q802" s="17"/>
      <c r="R802" s="17"/>
      <c r="S802" s="152"/>
      <c r="T802" s="152"/>
      <c r="U802" s="152"/>
      <c r="V802" s="152"/>
      <c r="W802" s="152"/>
      <c r="X802" s="152"/>
      <c r="Z802" s="152"/>
    </row>
    <row r="803" spans="2:27" x14ac:dyDescent="0.35">
      <c r="B803" s="31"/>
      <c r="C803" s="32"/>
      <c r="D803" s="32"/>
      <c r="E803" s="32"/>
      <c r="F803" s="32"/>
      <c r="G803" s="32"/>
      <c r="H803" s="32"/>
      <c r="I803" s="32"/>
      <c r="J803" s="33"/>
      <c r="K803" s="33"/>
      <c r="L803" s="33"/>
      <c r="M803" s="33"/>
      <c r="N803" s="33"/>
      <c r="O803" s="17"/>
      <c r="P803" s="17"/>
      <c r="Q803" s="17"/>
      <c r="R803" s="17"/>
      <c r="S803" s="152"/>
      <c r="T803" s="152"/>
      <c r="U803" s="152"/>
      <c r="V803" s="152"/>
      <c r="W803" s="152"/>
      <c r="X803" s="152"/>
      <c r="Z803" s="152"/>
    </row>
    <row r="804" spans="2:27" x14ac:dyDescent="0.35">
      <c r="B804" s="31"/>
      <c r="C804" s="32"/>
      <c r="D804" s="32"/>
      <c r="E804" s="32"/>
      <c r="F804" s="32"/>
      <c r="G804" s="32"/>
      <c r="H804" s="32"/>
      <c r="I804" s="32"/>
      <c r="J804" s="33"/>
      <c r="K804" s="33"/>
      <c r="L804" s="33"/>
      <c r="M804" s="33"/>
      <c r="N804" s="33"/>
      <c r="O804" s="17"/>
      <c r="P804" s="17"/>
      <c r="Q804" s="17"/>
      <c r="R804" s="17"/>
      <c r="S804" s="152"/>
      <c r="T804" s="152"/>
      <c r="U804" s="152"/>
      <c r="V804" s="152"/>
      <c r="W804" s="152"/>
      <c r="X804" s="152"/>
      <c r="Z804" s="152"/>
    </row>
    <row r="805" spans="2:27" x14ac:dyDescent="0.35">
      <c r="B805" s="31"/>
      <c r="C805" s="32"/>
      <c r="D805" s="32"/>
      <c r="E805" s="32"/>
      <c r="F805" s="32"/>
      <c r="G805" s="32"/>
      <c r="H805" s="32"/>
      <c r="I805" s="32"/>
      <c r="J805" s="33"/>
      <c r="K805" s="33"/>
      <c r="L805" s="33"/>
      <c r="M805" s="33"/>
      <c r="N805" s="33"/>
      <c r="O805" s="17"/>
      <c r="P805" s="17"/>
      <c r="Q805" s="17"/>
      <c r="R805" s="17"/>
      <c r="S805" s="152"/>
      <c r="T805" s="152"/>
      <c r="U805" s="152"/>
      <c r="V805" s="152"/>
      <c r="W805" s="152"/>
      <c r="X805" s="152"/>
      <c r="Z805" s="152"/>
    </row>
    <row r="806" spans="2:27" x14ac:dyDescent="0.35">
      <c r="B806" s="31"/>
      <c r="C806" s="32"/>
      <c r="D806" s="32"/>
      <c r="E806" s="32"/>
      <c r="F806" s="32"/>
      <c r="G806" s="32"/>
      <c r="H806" s="32"/>
      <c r="I806" s="32"/>
      <c r="J806" s="33"/>
      <c r="K806" s="33"/>
      <c r="L806" s="33"/>
      <c r="M806" s="33"/>
      <c r="N806" s="33"/>
      <c r="O806" s="17"/>
      <c r="P806" s="17"/>
      <c r="Q806" s="17"/>
      <c r="R806" s="17"/>
      <c r="S806" s="152"/>
      <c r="T806" s="152"/>
      <c r="U806" s="152"/>
      <c r="V806" s="152"/>
      <c r="W806" s="152"/>
      <c r="X806" s="152"/>
      <c r="Z806" s="152"/>
    </row>
    <row r="807" spans="2:27" x14ac:dyDescent="0.35">
      <c r="B807" s="31"/>
      <c r="C807" s="32"/>
      <c r="D807" s="32"/>
      <c r="E807" s="32"/>
      <c r="F807" s="32"/>
      <c r="G807" s="32"/>
      <c r="H807" s="32"/>
      <c r="I807" s="32"/>
      <c r="J807" s="33"/>
      <c r="K807" s="33"/>
      <c r="L807" s="33"/>
      <c r="M807" s="33"/>
      <c r="N807" s="33"/>
      <c r="O807" s="17"/>
      <c r="P807" s="17"/>
      <c r="Q807" s="17"/>
      <c r="R807" s="17"/>
      <c r="S807" s="152"/>
      <c r="T807" s="152"/>
      <c r="U807" s="152"/>
      <c r="V807" s="152"/>
      <c r="W807" s="152"/>
      <c r="X807" s="152"/>
      <c r="Z807" s="152"/>
    </row>
    <row r="808" spans="2:27" x14ac:dyDescent="0.35">
      <c r="B808" s="31"/>
      <c r="C808" s="32"/>
      <c r="D808" s="32"/>
      <c r="E808" s="32"/>
      <c r="F808" s="32"/>
      <c r="G808" s="32"/>
      <c r="H808" s="32"/>
      <c r="I808" s="32"/>
      <c r="J808" s="33"/>
      <c r="K808" s="33"/>
      <c r="L808" s="33"/>
      <c r="M808" s="33"/>
      <c r="N808" s="33"/>
      <c r="O808" s="17"/>
      <c r="P808" s="17"/>
      <c r="Q808" s="17"/>
      <c r="R808" s="17"/>
      <c r="S808" s="152"/>
      <c r="T808" s="152"/>
      <c r="U808" s="152"/>
      <c r="V808" s="152"/>
      <c r="W808" s="152"/>
      <c r="X808" s="152"/>
      <c r="Z808" s="152"/>
    </row>
    <row r="809" spans="2:27" x14ac:dyDescent="0.35">
      <c r="B809" s="31"/>
      <c r="C809" s="32"/>
      <c r="D809" s="32"/>
      <c r="E809" s="32"/>
      <c r="F809" s="32"/>
      <c r="G809" s="32"/>
      <c r="H809" s="32"/>
      <c r="I809" s="32"/>
      <c r="J809" s="33"/>
      <c r="K809" s="33"/>
      <c r="L809" s="33"/>
      <c r="M809" s="33"/>
      <c r="N809" s="33"/>
      <c r="O809" s="17"/>
      <c r="P809" s="17"/>
      <c r="Q809" s="17"/>
      <c r="R809" s="17"/>
      <c r="S809" s="152"/>
      <c r="T809" s="152"/>
      <c r="U809" s="152"/>
      <c r="V809" s="152"/>
      <c r="W809" s="152"/>
      <c r="X809" s="152"/>
      <c r="Z809" s="152"/>
    </row>
    <row r="810" spans="2:27" x14ac:dyDescent="0.35">
      <c r="B810" s="84"/>
      <c r="C810" s="61"/>
      <c r="D810" s="61"/>
      <c r="E810" s="61"/>
      <c r="F810" s="61"/>
      <c r="G810" s="61"/>
      <c r="H810" s="61"/>
      <c r="I810" s="61"/>
      <c r="J810" s="65"/>
      <c r="K810" s="65"/>
      <c r="L810" s="65"/>
      <c r="M810" s="33"/>
      <c r="O810" s="17"/>
      <c r="P810" s="17"/>
      <c r="Q810" s="17"/>
      <c r="R810" s="17"/>
      <c r="S810" s="152"/>
      <c r="T810" s="152"/>
      <c r="U810" s="152"/>
      <c r="V810" s="152"/>
      <c r="W810" s="152"/>
      <c r="X810" s="152"/>
      <c r="Z810" s="152"/>
    </row>
    <row r="811" spans="2:27" x14ac:dyDescent="0.35">
      <c r="B811" s="84" t="s">
        <v>270</v>
      </c>
      <c r="C811" s="61"/>
      <c r="D811" s="61"/>
      <c r="E811" s="61"/>
      <c r="F811" s="61"/>
      <c r="G811" s="61"/>
      <c r="H811" s="61"/>
      <c r="I811" s="61"/>
      <c r="J811" s="426"/>
      <c r="K811" s="565"/>
      <c r="L811" s="666"/>
      <c r="M811" s="33"/>
      <c r="N811" s="85" t="s">
        <v>271</v>
      </c>
      <c r="O811" s="426"/>
      <c r="P811" s="426"/>
      <c r="Q811" s="426"/>
      <c r="R811" s="426"/>
      <c r="S811" s="426"/>
      <c r="T811" s="426"/>
      <c r="U811" s="426"/>
      <c r="V811" s="426"/>
      <c r="W811" s="565"/>
      <c r="X811" s="666"/>
      <c r="Y811" s="141" t="s">
        <v>2</v>
      </c>
    </row>
    <row r="812" spans="2:27" x14ac:dyDescent="0.35">
      <c r="B812" s="185" t="s">
        <v>70</v>
      </c>
      <c r="C812" s="123">
        <v>2016</v>
      </c>
      <c r="D812" s="140">
        <v>2017</v>
      </c>
      <c r="E812" s="140">
        <v>2018</v>
      </c>
      <c r="F812" s="123">
        <v>2019</v>
      </c>
      <c r="G812" s="123">
        <v>2020</v>
      </c>
      <c r="H812" s="123">
        <v>2021</v>
      </c>
      <c r="I812" s="123">
        <v>2022</v>
      </c>
      <c r="J812" s="123">
        <v>2023</v>
      </c>
      <c r="K812" s="123">
        <v>2024</v>
      </c>
      <c r="L812" s="123">
        <v>2025</v>
      </c>
      <c r="M812" s="33"/>
      <c r="N812" s="185" t="s">
        <v>70</v>
      </c>
      <c r="O812" s="124">
        <v>2016</v>
      </c>
      <c r="P812" s="123">
        <v>2017</v>
      </c>
      <c r="Q812" s="140">
        <v>2018</v>
      </c>
      <c r="R812" s="140">
        <v>2019</v>
      </c>
      <c r="S812" s="140">
        <v>2020</v>
      </c>
      <c r="T812" s="140">
        <v>2021</v>
      </c>
      <c r="U812" s="140">
        <v>2022</v>
      </c>
      <c r="V812" s="140">
        <v>2023</v>
      </c>
      <c r="W812" s="140">
        <v>2024</v>
      </c>
      <c r="X812" s="140">
        <v>2025</v>
      </c>
      <c r="Y812" s="123" t="str">
        <f>$Y$98</f>
        <v>2020-2025</v>
      </c>
      <c r="AA812" s="304">
        <f>SUM(O813:X815)</f>
        <v>147.53825723557534</v>
      </c>
    </row>
    <row r="813" spans="2:27" x14ac:dyDescent="0.35">
      <c r="B813" s="24" t="s">
        <v>199</v>
      </c>
      <c r="C813" s="55">
        <f>'AOC-EOM'!E9</f>
        <v>7950</v>
      </c>
      <c r="D813" s="55">
        <f>'AOC-EOM'!F9</f>
        <v>23618.2</v>
      </c>
      <c r="E813" s="55">
        <f>'AOC-EOM'!G9</f>
        <v>0</v>
      </c>
      <c r="F813" s="55">
        <f>'AOC-EOM'!H9</f>
        <v>0</v>
      </c>
      <c r="G813" s="55">
        <f>'AOC-EOM'!I9</f>
        <v>0</v>
      </c>
      <c r="H813" s="55">
        <f>'AOC-EOM'!J9</f>
        <v>0</v>
      </c>
      <c r="I813" s="55">
        <f>'AOC-EOM'!K9</f>
        <v>0</v>
      </c>
      <c r="J813" s="55">
        <f>'AOC-EOM'!L9</f>
        <v>0</v>
      </c>
      <c r="K813" s="55">
        <f>'AOC-EOM'!M9</f>
        <v>0</v>
      </c>
      <c r="L813" s="147">
        <f>'AOC-EOM'!N9</f>
        <v>0</v>
      </c>
      <c r="M813" s="33"/>
      <c r="N813" s="24" t="str">
        <f>B813</f>
        <v>China</v>
      </c>
      <c r="O813" s="125">
        <f>'AOC-EOM'!E33</f>
        <v>3.6433499426681508</v>
      </c>
      <c r="P813" s="125">
        <f>'AOC-EOM'!F33</f>
        <v>9.8960258000000003</v>
      </c>
      <c r="Q813" s="125">
        <f>'AOC-EOM'!G33</f>
        <v>0</v>
      </c>
      <c r="R813" s="125">
        <f>'AOC-EOM'!H33</f>
        <v>0</v>
      </c>
      <c r="S813" s="125">
        <f>'AOC-EOM'!I33</f>
        <v>0</v>
      </c>
      <c r="T813" s="125">
        <f>'AOC-EOM'!J33</f>
        <v>0</v>
      </c>
      <c r="U813" s="125">
        <f>'AOC-EOM'!K33</f>
        <v>0</v>
      </c>
      <c r="V813" s="125">
        <f>'AOC-EOM'!L33</f>
        <v>0</v>
      </c>
      <c r="W813" s="125">
        <f>'AOC-EOM'!M33</f>
        <v>0</v>
      </c>
      <c r="X813" s="125">
        <f>'AOC-EOM'!N33</f>
        <v>0</v>
      </c>
      <c r="Y813" s="153" t="e">
        <f>(X813/S813)^(1/5)-1</f>
        <v>#DIV/0!</v>
      </c>
      <c r="AA813" s="305">
        <f>SUM('AOC-EOM'!E115:N115)*2</f>
        <v>147.53825723557534</v>
      </c>
    </row>
    <row r="814" spans="2:27" x14ac:dyDescent="0.35">
      <c r="B814" s="24" t="s">
        <v>224</v>
      </c>
      <c r="C814" s="55">
        <f>'AOC-EOM'!E50</f>
        <v>45050</v>
      </c>
      <c r="D814" s="55">
        <f>'AOC-EOM'!F50</f>
        <v>94472.8</v>
      </c>
      <c r="E814" s="55">
        <f>'AOC-EOM'!G50</f>
        <v>0</v>
      </c>
      <c r="F814" s="55">
        <f>'AOC-EOM'!H50</f>
        <v>0</v>
      </c>
      <c r="G814" s="55">
        <f>'AOC-EOM'!I50</f>
        <v>0</v>
      </c>
      <c r="H814" s="55">
        <f>'AOC-EOM'!J50</f>
        <v>0</v>
      </c>
      <c r="I814" s="55">
        <f>'AOC-EOM'!K50</f>
        <v>0</v>
      </c>
      <c r="J814" s="55">
        <f>'AOC-EOM'!L50</f>
        <v>0</v>
      </c>
      <c r="K814" s="55">
        <f>'AOC-EOM'!M50</f>
        <v>0</v>
      </c>
      <c r="L814" s="240">
        <f>'AOC-EOM'!N50</f>
        <v>0</v>
      </c>
      <c r="M814" s="33"/>
      <c r="N814" s="24" t="str">
        <f>B814</f>
        <v>Rest of World</v>
      </c>
      <c r="O814" s="69">
        <f>'AOC-EOM'!E74</f>
        <v>20.645649675119522</v>
      </c>
      <c r="P814" s="69">
        <f>'AOC-EOM'!F74</f>
        <v>39.584103200000001</v>
      </c>
      <c r="Q814" s="69">
        <f>'AOC-EOM'!G74</f>
        <v>0</v>
      </c>
      <c r="R814" s="69">
        <f>'AOC-EOM'!H74</f>
        <v>0</v>
      </c>
      <c r="S814" s="69">
        <f>'AOC-EOM'!I74</f>
        <v>0</v>
      </c>
      <c r="T814" s="69">
        <f>'AOC-EOM'!J74</f>
        <v>0</v>
      </c>
      <c r="U814" s="69">
        <f>'AOC-EOM'!K74</f>
        <v>0</v>
      </c>
      <c r="V814" s="69">
        <f>'AOC-EOM'!L74</f>
        <v>0</v>
      </c>
      <c r="W814" s="69">
        <f>'AOC-EOM'!M74</f>
        <v>0</v>
      </c>
      <c r="X814" s="69">
        <f>'AOC-EOM'!N74</f>
        <v>0</v>
      </c>
      <c r="Y814" s="154" t="e">
        <f>(X814/S814)^(1/5)-1</f>
        <v>#DIV/0!</v>
      </c>
      <c r="AA814" s="304"/>
    </row>
    <row r="815" spans="2:27" x14ac:dyDescent="0.35">
      <c r="B815" s="187" t="s">
        <v>253</v>
      </c>
      <c r="C815" s="193">
        <f t="shared" ref="C815:J815" si="103">C814+C813</f>
        <v>53000</v>
      </c>
      <c r="D815" s="193">
        <f t="shared" si="103"/>
        <v>118091</v>
      </c>
      <c r="E815" s="193">
        <f t="shared" si="103"/>
        <v>0</v>
      </c>
      <c r="F815" s="193">
        <f t="shared" si="103"/>
        <v>0</v>
      </c>
      <c r="G815" s="193">
        <f t="shared" si="103"/>
        <v>0</v>
      </c>
      <c r="H815" s="193">
        <f t="shared" si="103"/>
        <v>0</v>
      </c>
      <c r="I815" s="193">
        <f t="shared" si="103"/>
        <v>0</v>
      </c>
      <c r="J815" s="193">
        <f t="shared" si="103"/>
        <v>0</v>
      </c>
      <c r="K815" s="130">
        <f>K814+K813</f>
        <v>0</v>
      </c>
      <c r="L815" s="130">
        <f>L814+L813</f>
        <v>0</v>
      </c>
      <c r="M815" s="33"/>
      <c r="N815" s="187" t="str">
        <f>B815</f>
        <v>Global</v>
      </c>
      <c r="O815" s="329">
        <f t="shared" ref="O815:V815" si="104">O814+O813</f>
        <v>24.288999617787674</v>
      </c>
      <c r="P815" s="329">
        <f t="shared" si="104"/>
        <v>49.480129000000005</v>
      </c>
      <c r="Q815" s="329">
        <f t="shared" si="104"/>
        <v>0</v>
      </c>
      <c r="R815" s="329">
        <f t="shared" si="104"/>
        <v>0</v>
      </c>
      <c r="S815" s="329">
        <f t="shared" si="104"/>
        <v>0</v>
      </c>
      <c r="T815" s="329">
        <f t="shared" si="104"/>
        <v>0</v>
      </c>
      <c r="U815" s="329">
        <f t="shared" si="104"/>
        <v>0</v>
      </c>
      <c r="V815" s="329">
        <f t="shared" si="104"/>
        <v>0</v>
      </c>
      <c r="W815" s="329">
        <f>W814+W813</f>
        <v>0</v>
      </c>
      <c r="X815" s="329">
        <f>X814+X813</f>
        <v>0</v>
      </c>
      <c r="Y815" s="159" t="e">
        <f>(X815/S815)^(1/5)-1</f>
        <v>#DIV/0!</v>
      </c>
    </row>
    <row r="816" spans="2:27" x14ac:dyDescent="0.35">
      <c r="B816" s="454" t="s">
        <v>273</v>
      </c>
      <c r="C816" s="455">
        <f t="shared" ref="C816:L816" si="105">IF(C813=0,"",C813/C815)</f>
        <v>0.15</v>
      </c>
      <c r="D816" s="455">
        <f t="shared" si="105"/>
        <v>0.2</v>
      </c>
      <c r="E816" s="455" t="str">
        <f t="shared" si="105"/>
        <v/>
      </c>
      <c r="F816" s="455" t="str">
        <f t="shared" si="105"/>
        <v/>
      </c>
      <c r="G816" s="455" t="str">
        <f t="shared" si="105"/>
        <v/>
      </c>
      <c r="H816" s="455" t="str">
        <f t="shared" si="105"/>
        <v/>
      </c>
      <c r="I816" s="455" t="str">
        <f t="shared" si="105"/>
        <v/>
      </c>
      <c r="J816" s="455" t="str">
        <f t="shared" si="105"/>
        <v/>
      </c>
      <c r="K816" s="455" t="str">
        <f t="shared" si="105"/>
        <v/>
      </c>
      <c r="L816" s="455" t="str">
        <f t="shared" si="105"/>
        <v/>
      </c>
      <c r="M816" s="33"/>
      <c r="N816" s="454" t="s">
        <v>273</v>
      </c>
      <c r="O816" s="455">
        <f t="shared" ref="O816:X816" si="106">IF(O813=0,"",O813/O815)</f>
        <v>0.15</v>
      </c>
      <c r="P816" s="455">
        <f t="shared" si="106"/>
        <v>0.19999999999999998</v>
      </c>
      <c r="Q816" s="455" t="str">
        <f t="shared" si="106"/>
        <v/>
      </c>
      <c r="R816" s="455" t="str">
        <f t="shared" si="106"/>
        <v/>
      </c>
      <c r="S816" s="455" t="str">
        <f t="shared" si="106"/>
        <v/>
      </c>
      <c r="T816" s="455" t="str">
        <f t="shared" si="106"/>
        <v/>
      </c>
      <c r="U816" s="455" t="str">
        <f t="shared" si="106"/>
        <v/>
      </c>
      <c r="V816" s="455" t="str">
        <f t="shared" si="106"/>
        <v/>
      </c>
      <c r="W816" s="455" t="str">
        <f t="shared" si="106"/>
        <v/>
      </c>
      <c r="X816" s="455" t="str">
        <f t="shared" si="106"/>
        <v/>
      </c>
      <c r="Y816" s="452"/>
    </row>
    <row r="817" spans="2:25" x14ac:dyDescent="0.35">
      <c r="B817" s="31"/>
      <c r="C817" s="451"/>
      <c r="D817" s="451"/>
      <c r="E817" s="451"/>
      <c r="F817" s="451"/>
      <c r="G817" s="451"/>
      <c r="H817" s="451"/>
      <c r="I817" s="451"/>
      <c r="J817" s="451"/>
      <c r="K817" s="451"/>
      <c r="L817" s="451"/>
      <c r="M817" s="33"/>
      <c r="N817" s="31"/>
      <c r="O817" s="65"/>
      <c r="P817" s="65"/>
      <c r="Q817" s="65"/>
      <c r="R817" s="65"/>
      <c r="S817" s="65"/>
      <c r="T817" s="65"/>
      <c r="U817" s="65"/>
      <c r="V817" s="65"/>
      <c r="W817" s="65"/>
      <c r="X817" s="65"/>
      <c r="Y817" s="452"/>
    </row>
    <row r="818" spans="2:25" x14ac:dyDescent="0.35">
      <c r="S818" s="152"/>
      <c r="T818" s="152"/>
      <c r="U818" s="152"/>
      <c r="V818" s="152"/>
      <c r="W818" s="152"/>
      <c r="X818" s="152"/>
    </row>
    <row r="819" spans="2:25" x14ac:dyDescent="0.35">
      <c r="S819" s="152"/>
      <c r="T819" s="152"/>
      <c r="U819" s="152"/>
      <c r="V819" s="152"/>
      <c r="W819" s="152"/>
      <c r="X819" s="152"/>
    </row>
    <row r="820" spans="2:25" x14ac:dyDescent="0.35">
      <c r="S820" s="152"/>
      <c r="T820" s="152"/>
      <c r="U820" s="152"/>
      <c r="V820" s="152"/>
      <c r="W820" s="152"/>
      <c r="X820" s="152"/>
    </row>
    <row r="821" spans="2:25" x14ac:dyDescent="0.35">
      <c r="S821" s="152"/>
      <c r="T821" s="152"/>
      <c r="U821" s="152"/>
      <c r="V821" s="152"/>
      <c r="W821" s="152"/>
      <c r="X821" s="152"/>
    </row>
    <row r="822" spans="2:25" x14ac:dyDescent="0.35">
      <c r="S822" s="152"/>
      <c r="T822" s="152"/>
      <c r="U822" s="152"/>
      <c r="V822" s="152"/>
      <c r="W822" s="152"/>
      <c r="X822" s="152"/>
    </row>
    <row r="823" spans="2:25" x14ac:dyDescent="0.35">
      <c r="S823" s="152"/>
      <c r="T823" s="152"/>
      <c r="U823" s="152"/>
      <c r="V823" s="152"/>
      <c r="W823" s="152"/>
      <c r="X823" s="152"/>
    </row>
    <row r="824" spans="2:25" x14ac:dyDescent="0.35">
      <c r="S824" s="152"/>
      <c r="T824" s="152"/>
      <c r="U824" s="152"/>
      <c r="V824" s="152"/>
      <c r="W824" s="152"/>
      <c r="X824" s="152"/>
    </row>
    <row r="825" spans="2:25" x14ac:dyDescent="0.35">
      <c r="S825" s="152"/>
      <c r="T825" s="152"/>
      <c r="U825" s="152"/>
      <c r="V825" s="152"/>
      <c r="W825" s="152"/>
      <c r="X825" s="152"/>
    </row>
    <row r="826" spans="2:25" x14ac:dyDescent="0.35">
      <c r="S826" s="152"/>
      <c r="T826" s="152"/>
      <c r="U826" s="152"/>
      <c r="V826" s="152"/>
      <c r="W826" s="152"/>
      <c r="X826" s="152"/>
    </row>
    <row r="827" spans="2:25" x14ac:dyDescent="0.35">
      <c r="S827" s="152"/>
      <c r="T827" s="152"/>
      <c r="U827" s="152"/>
      <c r="V827" s="152"/>
      <c r="W827" s="152"/>
      <c r="X827" s="152"/>
    </row>
    <row r="828" spans="2:25" x14ac:dyDescent="0.35">
      <c r="S828" s="152"/>
      <c r="T828" s="152"/>
      <c r="U828" s="152"/>
      <c r="V828" s="152"/>
      <c r="W828" s="152"/>
      <c r="X828" s="152"/>
    </row>
    <row r="829" spans="2:25" x14ac:dyDescent="0.35">
      <c r="S829" s="152"/>
      <c r="T829" s="152"/>
      <c r="U829" s="152"/>
      <c r="V829" s="152"/>
      <c r="W829" s="152"/>
      <c r="X829" s="152"/>
    </row>
    <row r="830" spans="2:25" x14ac:dyDescent="0.35">
      <c r="S830" s="152"/>
      <c r="T830" s="152"/>
      <c r="U830" s="152"/>
      <c r="V830" s="152"/>
      <c r="W830" s="152"/>
      <c r="X830" s="152"/>
    </row>
    <row r="831" spans="2:25" x14ac:dyDescent="0.35">
      <c r="S831" s="152"/>
      <c r="T831" s="152"/>
      <c r="U831" s="152"/>
      <c r="V831" s="152"/>
      <c r="W831" s="152"/>
      <c r="X831" s="152"/>
    </row>
    <row r="832" spans="2:25" x14ac:dyDescent="0.35">
      <c r="S832" s="152"/>
      <c r="T832" s="152"/>
      <c r="U832" s="152"/>
      <c r="V832" s="152"/>
      <c r="W832" s="152"/>
      <c r="X832" s="152"/>
    </row>
    <row r="833" spans="19:24" x14ac:dyDescent="0.35">
      <c r="S833" s="152"/>
      <c r="T833" s="152"/>
      <c r="U833" s="152"/>
      <c r="V833" s="152"/>
      <c r="W833" s="152"/>
      <c r="X833" s="152"/>
    </row>
    <row r="834" spans="19:24" x14ac:dyDescent="0.35">
      <c r="S834" s="152"/>
      <c r="T834" s="152"/>
      <c r="U834" s="152"/>
      <c r="V834" s="152"/>
      <c r="W834" s="152"/>
      <c r="X834" s="152"/>
    </row>
    <row r="835" spans="19:24" x14ac:dyDescent="0.35">
      <c r="S835" s="152"/>
      <c r="T835" s="152"/>
      <c r="U835" s="152"/>
      <c r="V835" s="152"/>
      <c r="W835" s="152"/>
      <c r="X835" s="152"/>
    </row>
    <row r="836" spans="19:24" x14ac:dyDescent="0.35">
      <c r="S836" s="152"/>
      <c r="T836" s="152"/>
      <c r="U836" s="152"/>
      <c r="V836" s="152"/>
      <c r="W836" s="152"/>
      <c r="X836" s="152"/>
    </row>
    <row r="837" spans="19:24" x14ac:dyDescent="0.35">
      <c r="S837" s="152"/>
      <c r="T837" s="152"/>
      <c r="U837" s="152"/>
      <c r="V837" s="152"/>
      <c r="W837" s="152"/>
      <c r="X837" s="152"/>
    </row>
    <row r="838" spans="19:24" x14ac:dyDescent="0.35">
      <c r="S838" s="152"/>
      <c r="T838" s="152"/>
      <c r="U838" s="152"/>
      <c r="V838" s="152"/>
      <c r="W838" s="152"/>
      <c r="X838" s="152"/>
    </row>
    <row r="839" spans="19:24" x14ac:dyDescent="0.35">
      <c r="S839" s="152"/>
      <c r="T839" s="152"/>
      <c r="U839" s="152"/>
      <c r="V839" s="152"/>
      <c r="W839" s="152"/>
      <c r="X839" s="152"/>
    </row>
    <row r="840" spans="19:24" x14ac:dyDescent="0.35">
      <c r="S840" s="152"/>
      <c r="T840" s="152"/>
      <c r="U840" s="152"/>
      <c r="V840" s="152"/>
      <c r="W840" s="152"/>
      <c r="X840" s="152"/>
    </row>
  </sheetData>
  <mergeCells count="1">
    <mergeCell ref="C434:E434"/>
  </mergeCells>
  <conditionalFormatting sqref="AA706">
    <cfRule type="expression" dxfId="27" priority="170">
      <formula>ROUND(AA706-AA705,-2)&lt;&gt;0</formula>
    </cfRule>
  </conditionalFormatting>
  <conditionalFormatting sqref="AA380">
    <cfRule type="expression" dxfId="26" priority="107">
      <formula>ROUND(AA380-AA379,0)&lt;&gt;0</formula>
    </cfRule>
  </conditionalFormatting>
  <conditionalFormatting sqref="AA445">
    <cfRule type="expression" dxfId="25" priority="99">
      <formula>ROUND(AA445-AA444,-2)&lt;&gt;0</formula>
    </cfRule>
  </conditionalFormatting>
  <conditionalFormatting sqref="AA446">
    <cfRule type="expression" dxfId="24" priority="97">
      <formula>ROUND(AA446-AA445,-2)&lt;&gt;0</formula>
    </cfRule>
  </conditionalFormatting>
  <conditionalFormatting sqref="AA542">
    <cfRule type="expression" dxfId="23" priority="95">
      <formula>ROUND(AA542-AA541,-2)&lt;&gt;0</formula>
    </cfRule>
  </conditionalFormatting>
  <conditionalFormatting sqref="AA543">
    <cfRule type="expression" dxfId="22" priority="93">
      <formula>ROUND(AA543-AA542,-2)&lt;&gt;0</formula>
    </cfRule>
  </conditionalFormatting>
  <conditionalFormatting sqref="AA705">
    <cfRule type="expression" dxfId="21" priority="91">
      <formula>ROUND(AA705-AA704,-2)&lt;&gt;0</formula>
    </cfRule>
  </conditionalFormatting>
  <conditionalFormatting sqref="AA746">
    <cfRule type="expression" dxfId="20" priority="71">
      <formula>ROUND(AA746-AA745,-2)&lt;&gt;0</formula>
    </cfRule>
  </conditionalFormatting>
  <conditionalFormatting sqref="AA412">
    <cfRule type="expression" dxfId="19" priority="31">
      <formula>ROUND(AA412-AA411,0)&lt;&gt;0</formula>
    </cfRule>
  </conditionalFormatting>
  <conditionalFormatting sqref="AA479">
    <cfRule type="expression" dxfId="18" priority="29">
      <formula>ROUND(AA479-AA478,0)&lt;&gt;0</formula>
    </cfRule>
  </conditionalFormatting>
  <conditionalFormatting sqref="AA511">
    <cfRule type="expression" dxfId="17" priority="27">
      <formula>ROUND(AA511-AA510,0)&lt;&gt;0</formula>
    </cfRule>
  </conditionalFormatting>
  <conditionalFormatting sqref="AA607">
    <cfRule type="expression" dxfId="16" priority="25">
      <formula>ROUND(AA607-AA606,0)&lt;&gt;0</formula>
    </cfRule>
  </conditionalFormatting>
  <conditionalFormatting sqref="AA781">
    <cfRule type="expression" dxfId="15" priority="23">
      <formula>ROUND(AA781-AA780,0)&lt;&gt;0</formula>
    </cfRule>
  </conditionalFormatting>
  <conditionalFormatting sqref="AA813">
    <cfRule type="expression" dxfId="14" priority="21">
      <formula>ROUND(AA813-AA812,0)&lt;&gt;0</formula>
    </cfRule>
  </conditionalFormatting>
  <conditionalFormatting sqref="AA639">
    <cfRule type="expression" dxfId="13" priority="19">
      <formula>ROUND(AA639-AA638,0)&lt;&gt;0</formula>
    </cfRule>
  </conditionalFormatting>
  <conditionalFormatting sqref="AA221">
    <cfRule type="expression" dxfId="12" priority="17">
      <formula>ROUND(AA221-AA220,0)&lt;&gt;0</formula>
    </cfRule>
  </conditionalFormatting>
  <conditionalFormatting sqref="AA253">
    <cfRule type="expression" dxfId="11" priority="15">
      <formula>ROUND(AA253-AA252,0)&lt;&gt;0</formula>
    </cfRule>
  </conditionalFormatting>
  <conditionalFormatting sqref="M103 O99:X103 C99:L103">
    <cfRule type="expression" dxfId="10" priority="6">
      <formula>C99&lt;0</formula>
    </cfRule>
  </conditionalFormatting>
  <conditionalFormatting sqref="AA671">
    <cfRule type="expression" dxfId="9" priority="3">
      <formula>ROUND(AA671-AA670,0)&lt;&gt;0</formula>
    </cfRule>
  </conditionalFormatting>
  <conditionalFormatting sqref="AA573">
    <cfRule type="expression" dxfId="8" priority="1">
      <formula>ROUND(AA573-AA572,0)&lt;&gt;0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AD116"/>
  <sheetViews>
    <sheetView showGridLines="0" zoomScale="70" zoomScaleNormal="70" zoomScalePageLayoutView="70" workbookViewId="0">
      <selection activeCell="P30" sqref="P30"/>
    </sheetView>
  </sheetViews>
  <sheetFormatPr defaultColWidth="9.1796875" defaultRowHeight="12.5" x14ac:dyDescent="0.25"/>
  <cols>
    <col min="1" max="1" width="4.453125" style="3" customWidth="1"/>
    <col min="2" max="2" width="12.1796875" style="3" customWidth="1"/>
    <col min="3" max="3" width="21" style="3" customWidth="1"/>
    <col min="4" max="4" width="9.36328125" style="3" customWidth="1"/>
    <col min="5" max="5" width="11.36328125" style="3" customWidth="1"/>
    <col min="6" max="6" width="11.453125" style="16" customWidth="1"/>
    <col min="7" max="7" width="11.453125" style="3" customWidth="1"/>
    <col min="8" max="8" width="11.453125" style="116" customWidth="1"/>
    <col min="9" max="15" width="11.453125" style="160" customWidth="1"/>
    <col min="16" max="16" width="14.6328125" style="3" customWidth="1"/>
    <col min="17" max="17" width="10.81640625" style="3" customWidth="1"/>
    <col min="18" max="29" width="9.1796875" style="3"/>
    <col min="30" max="30" width="9.1796875" style="160"/>
    <col min="31" max="16384" width="9.1796875" style="3"/>
  </cols>
  <sheetData>
    <row r="1" spans="2:30" s="160" customFormat="1" x14ac:dyDescent="0.25"/>
    <row r="2" spans="2:30" s="160" customFormat="1" ht="18" x14ac:dyDescent="0.4">
      <c r="B2" s="76" t="str">
        <f>Introduction!B2</f>
        <v>LightCounting Optical Components Market Forecast for China</v>
      </c>
    </row>
    <row r="3" spans="2:30" ht="15.5" x14ac:dyDescent="0.35">
      <c r="B3" s="215" t="str">
        <f>Introduction!B3</f>
        <v>January 25, 2021 - sample only - for illustrative purposes</v>
      </c>
    </row>
    <row r="4" spans="2:30" ht="15.5" x14ac:dyDescent="0.25">
      <c r="B4" s="218" t="s">
        <v>121</v>
      </c>
    </row>
    <row r="5" spans="2:30" x14ac:dyDescent="0.25">
      <c r="F5" s="160"/>
      <c r="G5" s="160"/>
      <c r="H5" s="160"/>
      <c r="AC5" s="160"/>
    </row>
    <row r="6" spans="2:30" ht="15.5" x14ac:dyDescent="0.35">
      <c r="B6" s="220" t="s">
        <v>0</v>
      </c>
      <c r="C6" s="220" t="s">
        <v>251</v>
      </c>
      <c r="D6" s="4"/>
      <c r="E6" s="4"/>
      <c r="F6" s="572"/>
      <c r="M6" s="220" t="str">
        <f>B6</f>
        <v>Units</v>
      </c>
      <c r="O6" s="668" t="str">
        <f>C6</f>
        <v>WDM - China</v>
      </c>
      <c r="P6" s="160"/>
      <c r="Q6" s="273" t="s">
        <v>246</v>
      </c>
      <c r="R6" s="4"/>
      <c r="S6" s="4"/>
      <c r="T6" s="4"/>
      <c r="U6" s="276"/>
      <c r="V6" s="160"/>
      <c r="W6" s="160"/>
      <c r="X6" s="160"/>
      <c r="Y6" s="160"/>
      <c r="Z6" s="160"/>
      <c r="AA6" s="160"/>
      <c r="AB6" s="160"/>
      <c r="AC6" s="160"/>
    </row>
    <row r="7" spans="2:30" x14ac:dyDescent="0.25">
      <c r="B7" s="5" t="s">
        <v>19</v>
      </c>
      <c r="C7" s="5" t="s">
        <v>10</v>
      </c>
      <c r="D7" s="261" t="s">
        <v>11</v>
      </c>
      <c r="E7" s="5" t="s">
        <v>12</v>
      </c>
      <c r="F7" s="1">
        <v>2016</v>
      </c>
      <c r="G7" s="1">
        <v>2017</v>
      </c>
      <c r="H7" s="1">
        <v>2018</v>
      </c>
      <c r="I7" s="1">
        <v>2019</v>
      </c>
      <c r="J7" s="1">
        <v>2020</v>
      </c>
      <c r="K7" s="1">
        <v>2021</v>
      </c>
      <c r="L7" s="1">
        <v>2022</v>
      </c>
      <c r="M7" s="1">
        <v>2023</v>
      </c>
      <c r="N7" s="1">
        <v>2024</v>
      </c>
      <c r="O7" s="1">
        <v>2025</v>
      </c>
      <c r="P7" s="160"/>
      <c r="Q7" s="119" t="s">
        <v>19</v>
      </c>
      <c r="R7" s="119" t="s">
        <v>10</v>
      </c>
      <c r="S7" s="261" t="s">
        <v>11</v>
      </c>
      <c r="T7" s="119" t="s">
        <v>12</v>
      </c>
      <c r="U7" s="1">
        <v>2016</v>
      </c>
      <c r="V7" s="1">
        <v>2017</v>
      </c>
      <c r="W7" s="1">
        <v>2018</v>
      </c>
      <c r="X7" s="1">
        <v>2019</v>
      </c>
      <c r="Y7" s="1">
        <v>2020</v>
      </c>
      <c r="Z7" s="1">
        <v>2021</v>
      </c>
      <c r="AA7" s="1">
        <v>2022</v>
      </c>
      <c r="AB7" s="1">
        <v>2023</v>
      </c>
      <c r="AC7" s="1">
        <v>2024</v>
      </c>
      <c r="AD7" s="1">
        <v>2025</v>
      </c>
    </row>
    <row r="8" spans="2:30" x14ac:dyDescent="0.25">
      <c r="B8" s="357" t="s">
        <v>14</v>
      </c>
      <c r="C8" s="357" t="s">
        <v>210</v>
      </c>
      <c r="D8" s="357" t="s">
        <v>20</v>
      </c>
      <c r="E8" s="357" t="s">
        <v>20</v>
      </c>
      <c r="F8" s="707">
        <v>169680.78000000003</v>
      </c>
      <c r="G8" s="707">
        <v>102332.38</v>
      </c>
      <c r="H8" s="707"/>
      <c r="I8" s="707"/>
      <c r="J8" s="707"/>
      <c r="K8" s="707"/>
      <c r="L8" s="707"/>
      <c r="M8" s="707"/>
      <c r="N8" s="707"/>
      <c r="O8" s="707"/>
      <c r="P8" s="160"/>
      <c r="Q8" s="425" t="s">
        <v>14</v>
      </c>
      <c r="R8" s="425" t="s">
        <v>210</v>
      </c>
      <c r="S8" s="425" t="s">
        <v>20</v>
      </c>
      <c r="T8" s="425" t="s">
        <v>20</v>
      </c>
      <c r="U8" s="456">
        <f t="shared" ref="U8:U16" si="0">IF(F8=0,"",F8/F84)</f>
        <v>0.35999885432291551</v>
      </c>
      <c r="V8" s="456">
        <f t="shared" ref="V8:V16" si="1">IF(G8=0,"",G8/G84)</f>
        <v>0.37</v>
      </c>
      <c r="W8" s="456" t="str">
        <f t="shared" ref="W8:W16" si="2">IF(H8=0,"",H8/H84)</f>
        <v/>
      </c>
      <c r="X8" s="456" t="str">
        <f t="shared" ref="X8:X16" si="3">IF(I8=0,"",I8/I84)</f>
        <v/>
      </c>
      <c r="Y8" s="456" t="str">
        <f t="shared" ref="Y8:Y16" si="4">IF(J8=0,"",J8/J84)</f>
        <v/>
      </c>
      <c r="Z8" s="456" t="str">
        <f t="shared" ref="Z8:Z16" si="5">IF(K8=0,"",K8/K84)</f>
        <v/>
      </c>
      <c r="AA8" s="456" t="str">
        <f t="shared" ref="AA8:AA16" si="6">IF(L8=0,"",L8/L84)</f>
        <v/>
      </c>
      <c r="AB8" s="456" t="str">
        <f t="shared" ref="AB8:AD16" si="7">IF(M8=0,"",M8/M84)</f>
        <v/>
      </c>
      <c r="AC8" s="456" t="str">
        <f t="shared" si="7"/>
        <v/>
      </c>
      <c r="AD8" s="456" t="str">
        <f t="shared" si="7"/>
        <v/>
      </c>
    </row>
    <row r="9" spans="2:30" x14ac:dyDescent="0.25">
      <c r="B9" s="794" t="s">
        <v>27</v>
      </c>
      <c r="C9" s="303" t="s">
        <v>96</v>
      </c>
      <c r="D9" s="300" t="s">
        <v>20</v>
      </c>
      <c r="E9" s="45" t="s">
        <v>20</v>
      </c>
      <c r="F9" s="707">
        <v>28904.400000000005</v>
      </c>
      <c r="G9" s="707">
        <v>17663.360000000004</v>
      </c>
      <c r="H9" s="707"/>
      <c r="I9" s="707"/>
      <c r="J9" s="707"/>
      <c r="K9" s="707"/>
      <c r="L9" s="707"/>
      <c r="M9" s="707"/>
      <c r="N9" s="707"/>
      <c r="O9" s="707"/>
      <c r="P9" s="160"/>
      <c r="Q9" s="794" t="s">
        <v>27</v>
      </c>
      <c r="R9" s="424" t="s">
        <v>96</v>
      </c>
      <c r="S9" s="420" t="s">
        <v>20</v>
      </c>
      <c r="T9" s="424" t="s">
        <v>20</v>
      </c>
      <c r="U9" s="456">
        <f t="shared" si="0"/>
        <v>0.31000000000000005</v>
      </c>
      <c r="V9" s="456">
        <f t="shared" si="1"/>
        <v>0.32000000000000006</v>
      </c>
      <c r="W9" s="456" t="str">
        <f t="shared" si="2"/>
        <v/>
      </c>
      <c r="X9" s="456" t="str">
        <f t="shared" si="3"/>
        <v/>
      </c>
      <c r="Y9" s="456" t="str">
        <f t="shared" si="4"/>
        <v/>
      </c>
      <c r="Z9" s="456" t="str">
        <f t="shared" si="5"/>
        <v/>
      </c>
      <c r="AA9" s="456" t="str">
        <f t="shared" si="6"/>
        <v/>
      </c>
      <c r="AB9" s="456" t="str">
        <f t="shared" si="7"/>
        <v/>
      </c>
      <c r="AC9" s="456" t="str">
        <f t="shared" si="7"/>
        <v/>
      </c>
      <c r="AD9" s="456" t="str">
        <f t="shared" si="7"/>
        <v/>
      </c>
    </row>
    <row r="10" spans="2:30" ht="16" customHeight="1" x14ac:dyDescent="0.25">
      <c r="B10" s="795"/>
      <c r="C10" s="372" t="s">
        <v>68</v>
      </c>
      <c r="D10" s="357" t="s">
        <v>20</v>
      </c>
      <c r="E10" s="167" t="s">
        <v>20</v>
      </c>
      <c r="F10" s="707">
        <v>103550.25000000001</v>
      </c>
      <c r="G10" s="707">
        <v>126036.32000000004</v>
      </c>
      <c r="H10" s="707"/>
      <c r="I10" s="707"/>
      <c r="J10" s="707"/>
      <c r="K10" s="707"/>
      <c r="L10" s="707"/>
      <c r="M10" s="707"/>
      <c r="N10" s="707"/>
      <c r="O10" s="707"/>
      <c r="P10" s="160"/>
      <c r="Q10" s="795"/>
      <c r="R10" s="372" t="s">
        <v>68</v>
      </c>
      <c r="S10" s="425" t="s">
        <v>20</v>
      </c>
      <c r="T10" s="167" t="s">
        <v>20</v>
      </c>
      <c r="U10" s="456">
        <f t="shared" si="0"/>
        <v>0.27248273139925011</v>
      </c>
      <c r="V10" s="456">
        <f t="shared" si="1"/>
        <v>0.27959545766125909</v>
      </c>
      <c r="W10" s="456" t="str">
        <f t="shared" si="2"/>
        <v/>
      </c>
      <c r="X10" s="456" t="str">
        <f t="shared" si="3"/>
        <v/>
      </c>
      <c r="Y10" s="456" t="str">
        <f t="shared" si="4"/>
        <v/>
      </c>
      <c r="Z10" s="456" t="str">
        <f t="shared" si="5"/>
        <v/>
      </c>
      <c r="AA10" s="456" t="str">
        <f t="shared" si="6"/>
        <v/>
      </c>
      <c r="AB10" s="456" t="str">
        <f t="shared" si="7"/>
        <v/>
      </c>
      <c r="AC10" s="456" t="str">
        <f t="shared" si="7"/>
        <v/>
      </c>
      <c r="AD10" s="456" t="str">
        <f t="shared" si="7"/>
        <v/>
      </c>
    </row>
    <row r="11" spans="2:30" x14ac:dyDescent="0.25">
      <c r="B11" s="795"/>
      <c r="C11" s="303" t="s">
        <v>75</v>
      </c>
      <c r="D11" s="300" t="s">
        <v>20</v>
      </c>
      <c r="E11" s="314" t="s">
        <v>20</v>
      </c>
      <c r="F11" s="707">
        <v>767.52000000000021</v>
      </c>
      <c r="G11" s="707">
        <v>90.180000000000021</v>
      </c>
      <c r="H11" s="707"/>
      <c r="I11" s="707"/>
      <c r="J11" s="707"/>
      <c r="K11" s="707"/>
      <c r="L11" s="707"/>
      <c r="M11" s="707"/>
      <c r="N11" s="707"/>
      <c r="O11" s="707"/>
      <c r="P11" s="160"/>
      <c r="Q11" s="795"/>
      <c r="R11" s="424" t="s">
        <v>75</v>
      </c>
      <c r="S11" s="420" t="s">
        <v>20</v>
      </c>
      <c r="T11" s="420" t="s">
        <v>20</v>
      </c>
      <c r="U11" s="456">
        <f t="shared" si="0"/>
        <v>0.26000000000000006</v>
      </c>
      <c r="V11" s="456">
        <f t="shared" si="1"/>
        <v>0.27000000000000007</v>
      </c>
      <c r="W11" s="456" t="str">
        <f t="shared" si="2"/>
        <v/>
      </c>
      <c r="X11" s="456" t="str">
        <f t="shared" si="3"/>
        <v/>
      </c>
      <c r="Y11" s="456" t="str">
        <f t="shared" si="4"/>
        <v/>
      </c>
      <c r="Z11" s="456" t="str">
        <f t="shared" si="5"/>
        <v/>
      </c>
      <c r="AA11" s="456" t="str">
        <f t="shared" si="6"/>
        <v/>
      </c>
      <c r="AB11" s="456" t="str">
        <f t="shared" si="7"/>
        <v/>
      </c>
      <c r="AC11" s="456" t="str">
        <f t="shared" si="7"/>
        <v/>
      </c>
      <c r="AD11" s="456" t="str">
        <f t="shared" si="7"/>
        <v/>
      </c>
    </row>
    <row r="12" spans="2:30" s="160" customFormat="1" x14ac:dyDescent="0.25">
      <c r="B12" s="795"/>
      <c r="C12" s="498" t="s">
        <v>178</v>
      </c>
      <c r="D12" s="497" t="s">
        <v>20</v>
      </c>
      <c r="E12" s="497" t="s">
        <v>20</v>
      </c>
      <c r="F12" s="708">
        <v>15334.036429468611</v>
      </c>
      <c r="G12" s="708">
        <v>10361.260536868764</v>
      </c>
      <c r="H12" s="708"/>
      <c r="I12" s="708"/>
      <c r="J12" s="708"/>
      <c r="K12" s="708"/>
      <c r="L12" s="708"/>
      <c r="M12" s="708"/>
      <c r="N12" s="708"/>
      <c r="O12" s="708"/>
      <c r="Q12" s="795"/>
      <c r="R12" s="498" t="str">
        <f>C12</f>
        <v>100Gbps</v>
      </c>
      <c r="S12" s="497"/>
      <c r="T12" s="269"/>
      <c r="U12" s="456">
        <f t="shared" si="0"/>
        <v>0.217146771687275</v>
      </c>
      <c r="V12" s="456">
        <f t="shared" si="1"/>
        <v>0.10998397716590873</v>
      </c>
      <c r="W12" s="456" t="str">
        <f t="shared" si="2"/>
        <v/>
      </c>
      <c r="X12" s="456" t="str">
        <f t="shared" si="3"/>
        <v/>
      </c>
      <c r="Y12" s="456" t="str">
        <f t="shared" si="4"/>
        <v/>
      </c>
      <c r="Z12" s="456" t="str">
        <f t="shared" si="5"/>
        <v/>
      </c>
      <c r="AA12" s="456" t="str">
        <f t="shared" si="6"/>
        <v/>
      </c>
      <c r="AB12" s="456" t="str">
        <f t="shared" si="7"/>
        <v/>
      </c>
      <c r="AC12" s="456" t="str">
        <f t="shared" si="7"/>
        <v/>
      </c>
      <c r="AD12" s="456" t="str">
        <f t="shared" si="7"/>
        <v/>
      </c>
    </row>
    <row r="13" spans="2:30" s="160" customFormat="1" x14ac:dyDescent="0.25">
      <c r="B13" s="795"/>
      <c r="C13" s="498" t="s">
        <v>159</v>
      </c>
      <c r="D13" s="497" t="s">
        <v>20</v>
      </c>
      <c r="E13" s="497" t="s">
        <v>20</v>
      </c>
      <c r="F13" s="708">
        <v>0</v>
      </c>
      <c r="G13" s="708">
        <v>708.43956043956052</v>
      </c>
      <c r="H13" s="708"/>
      <c r="I13" s="708"/>
      <c r="J13" s="708"/>
      <c r="K13" s="708"/>
      <c r="L13" s="708"/>
      <c r="M13" s="708"/>
      <c r="N13" s="708"/>
      <c r="O13" s="708"/>
      <c r="Q13" s="795"/>
      <c r="R13" s="560" t="str">
        <f>C13</f>
        <v>200 Gbps</v>
      </c>
      <c r="S13" s="497"/>
      <c r="T13" s="269"/>
      <c r="U13" s="456" t="str">
        <f t="shared" si="0"/>
        <v/>
      </c>
      <c r="V13" s="456">
        <f t="shared" si="1"/>
        <v>4.3956043956043959E-2</v>
      </c>
      <c r="W13" s="456" t="str">
        <f t="shared" si="2"/>
        <v/>
      </c>
      <c r="X13" s="456" t="str">
        <f t="shared" si="3"/>
        <v/>
      </c>
      <c r="Y13" s="456" t="str">
        <f t="shared" si="4"/>
        <v/>
      </c>
      <c r="Z13" s="456" t="str">
        <f t="shared" si="5"/>
        <v/>
      </c>
      <c r="AA13" s="456" t="str">
        <f t="shared" si="6"/>
        <v/>
      </c>
      <c r="AB13" s="456" t="str">
        <f t="shared" si="7"/>
        <v/>
      </c>
      <c r="AC13" s="456" t="str">
        <f t="shared" si="7"/>
        <v/>
      </c>
      <c r="AD13" s="456" t="str">
        <f t="shared" si="7"/>
        <v/>
      </c>
    </row>
    <row r="14" spans="2:30" s="160" customFormat="1" ht="12.5" customHeight="1" x14ac:dyDescent="0.25">
      <c r="B14" s="795"/>
      <c r="C14" s="203" t="s">
        <v>179</v>
      </c>
      <c r="D14" s="264" t="s">
        <v>20</v>
      </c>
      <c r="E14" s="500" t="s">
        <v>20</v>
      </c>
      <c r="F14" s="708">
        <v>0</v>
      </c>
      <c r="G14" s="708">
        <v>0</v>
      </c>
      <c r="H14" s="708"/>
      <c r="I14" s="708"/>
      <c r="J14" s="708"/>
      <c r="K14" s="708"/>
      <c r="L14" s="708"/>
      <c r="M14" s="708"/>
      <c r="N14" s="708"/>
      <c r="O14" s="708"/>
      <c r="Q14" s="795"/>
      <c r="R14" s="560" t="str">
        <f>C14</f>
        <v>400 Gbps &amp; above</v>
      </c>
      <c r="S14" s="499"/>
      <c r="T14" s="269"/>
      <c r="U14" s="456" t="str">
        <f t="shared" si="0"/>
        <v/>
      </c>
      <c r="V14" s="456" t="str">
        <f t="shared" si="1"/>
        <v/>
      </c>
      <c r="W14" s="456" t="str">
        <f t="shared" si="2"/>
        <v/>
      </c>
      <c r="X14" s="456" t="str">
        <f t="shared" si="3"/>
        <v/>
      </c>
      <c r="Y14" s="456" t="str">
        <f t="shared" si="4"/>
        <v/>
      </c>
      <c r="Z14" s="456" t="str">
        <f t="shared" si="5"/>
        <v/>
      </c>
      <c r="AA14" s="456" t="str">
        <f t="shared" si="6"/>
        <v/>
      </c>
      <c r="AB14" s="456" t="str">
        <f t="shared" si="7"/>
        <v/>
      </c>
      <c r="AC14" s="456" t="str">
        <f t="shared" si="7"/>
        <v/>
      </c>
      <c r="AD14" s="456" t="str">
        <f t="shared" si="7"/>
        <v/>
      </c>
    </row>
    <row r="15" spans="2:30" s="160" customFormat="1" x14ac:dyDescent="0.25">
      <c r="B15" s="796"/>
      <c r="C15" s="223"/>
      <c r="D15" s="301"/>
      <c r="E15" s="302"/>
      <c r="F15" s="707"/>
      <c r="G15" s="707"/>
      <c r="H15" s="707"/>
      <c r="I15" s="707"/>
      <c r="J15" s="707"/>
      <c r="K15" s="707"/>
      <c r="L15" s="707"/>
      <c r="M15" s="707"/>
      <c r="N15" s="707"/>
      <c r="O15" s="707"/>
      <c r="Q15" s="796"/>
      <c r="R15" s="223" t="s">
        <v>160</v>
      </c>
      <c r="S15" s="421"/>
      <c r="T15" s="423" t="s">
        <v>20</v>
      </c>
      <c r="U15" s="456" t="str">
        <f t="shared" si="0"/>
        <v/>
      </c>
      <c r="V15" s="456" t="str">
        <f t="shared" si="1"/>
        <v/>
      </c>
      <c r="W15" s="456" t="str">
        <f t="shared" si="2"/>
        <v/>
      </c>
      <c r="X15" s="456" t="str">
        <f t="shared" si="3"/>
        <v/>
      </c>
      <c r="Y15" s="456" t="str">
        <f t="shared" si="4"/>
        <v/>
      </c>
      <c r="Z15" s="456" t="str">
        <f t="shared" si="5"/>
        <v/>
      </c>
      <c r="AA15" s="456" t="str">
        <f t="shared" si="6"/>
        <v/>
      </c>
      <c r="AB15" s="456" t="str">
        <f t="shared" si="7"/>
        <v/>
      </c>
      <c r="AC15" s="456" t="str">
        <f t="shared" si="7"/>
        <v/>
      </c>
      <c r="AD15" s="456" t="str">
        <f t="shared" si="7"/>
        <v/>
      </c>
    </row>
    <row r="16" spans="2:30" x14ac:dyDescent="0.25">
      <c r="B16" s="224" t="s">
        <v>28</v>
      </c>
      <c r="C16" s="166" t="s">
        <v>20</v>
      </c>
      <c r="D16" s="134" t="s">
        <v>20</v>
      </c>
      <c r="E16" s="166" t="s">
        <v>20</v>
      </c>
      <c r="F16" s="29">
        <f>SUM(F8:F15)</f>
        <v>318236.98642946867</v>
      </c>
      <c r="G16" s="29">
        <f t="shared" ref="G16:O16" si="8">SUM(G8:G15)</f>
        <v>257191.94009730837</v>
      </c>
      <c r="H16" s="29"/>
      <c r="I16" s="29"/>
      <c r="J16" s="29"/>
      <c r="K16" s="29"/>
      <c r="L16" s="29"/>
      <c r="M16" s="29"/>
      <c r="N16" s="29"/>
      <c r="O16" s="29"/>
      <c r="P16" s="160"/>
      <c r="Q16" s="224" t="s">
        <v>28</v>
      </c>
      <c r="R16" s="424" t="s">
        <v>20</v>
      </c>
      <c r="S16" s="425" t="s">
        <v>20</v>
      </c>
      <c r="T16" s="424" t="s">
        <v>20</v>
      </c>
      <c r="U16" s="456">
        <f t="shared" si="0"/>
        <v>0.30830703349467226</v>
      </c>
      <c r="V16" s="456">
        <f t="shared" si="1"/>
        <v>0.28395310000751678</v>
      </c>
      <c r="W16" s="456" t="str">
        <f t="shared" si="2"/>
        <v/>
      </c>
      <c r="X16" s="456" t="str">
        <f t="shared" si="3"/>
        <v/>
      </c>
      <c r="Y16" s="456" t="str">
        <f t="shared" si="4"/>
        <v/>
      </c>
      <c r="Z16" s="456" t="str">
        <f t="shared" si="5"/>
        <v/>
      </c>
      <c r="AA16" s="456" t="str">
        <f t="shared" si="6"/>
        <v/>
      </c>
      <c r="AB16" s="456" t="str">
        <f t="shared" si="7"/>
        <v/>
      </c>
      <c r="AC16" s="456" t="str">
        <f t="shared" si="7"/>
        <v/>
      </c>
      <c r="AD16" s="456" t="str">
        <f t="shared" si="7"/>
        <v/>
      </c>
    </row>
    <row r="17" spans="2:29" x14ac:dyDescent="0.25">
      <c r="B17" s="4"/>
      <c r="C17" s="4"/>
      <c r="D17" s="4"/>
      <c r="E17" s="4"/>
      <c r="F17" s="59"/>
      <c r="G17" s="59">
        <f>IF(F16=0,"",G16/F16-1)</f>
        <v>-0.19182260056277212</v>
      </c>
      <c r="H17" s="59"/>
      <c r="I17" s="59"/>
      <c r="J17" s="59"/>
      <c r="K17" s="59"/>
      <c r="L17" s="59"/>
      <c r="M17" s="59"/>
      <c r="N17" s="59"/>
      <c r="O17" s="59"/>
      <c r="P17" s="160"/>
      <c r="AC17" s="160"/>
    </row>
    <row r="18" spans="2:29" ht="13" x14ac:dyDescent="0.25">
      <c r="B18" s="220" t="s">
        <v>53</v>
      </c>
      <c r="C18" s="220" t="str">
        <f>C6</f>
        <v>WDM - China</v>
      </c>
      <c r="D18" s="4"/>
      <c r="E18" s="4"/>
      <c r="F18" s="4"/>
      <c r="G18" s="4"/>
      <c r="H18" s="4"/>
      <c r="I18" s="4"/>
      <c r="J18" s="4"/>
      <c r="M18" s="220" t="str">
        <f>B18</f>
        <v>ASP ($)</v>
      </c>
      <c r="O18" s="668" t="str">
        <f>C18</f>
        <v>WDM - China</v>
      </c>
      <c r="P18" s="160"/>
    </row>
    <row r="19" spans="2:29" x14ac:dyDescent="0.25">
      <c r="B19" s="5" t="s">
        <v>19</v>
      </c>
      <c r="C19" s="5" t="s">
        <v>10</v>
      </c>
      <c r="D19" s="5" t="s">
        <v>11</v>
      </c>
      <c r="E19" s="5" t="s">
        <v>12</v>
      </c>
      <c r="F19" s="1">
        <v>2016</v>
      </c>
      <c r="G19" s="1">
        <v>2017</v>
      </c>
      <c r="H19" s="1">
        <v>2018</v>
      </c>
      <c r="I19" s="1">
        <v>2019</v>
      </c>
      <c r="J19" s="1">
        <v>2020</v>
      </c>
      <c r="K19" s="1">
        <v>2021</v>
      </c>
      <c r="L19" s="1">
        <v>2022</v>
      </c>
      <c r="M19" s="1">
        <v>2023</v>
      </c>
      <c r="N19" s="1">
        <v>2024</v>
      </c>
      <c r="O19" s="1">
        <v>2025</v>
      </c>
      <c r="P19" s="160"/>
      <c r="Q19" s="160"/>
    </row>
    <row r="20" spans="2:29" x14ac:dyDescent="0.25">
      <c r="B20" s="357" t="str">
        <f>B8</f>
        <v>CWDM</v>
      </c>
      <c r="C20" s="357" t="str">
        <f>C8</f>
        <v xml:space="preserve">1-10 Gbps </v>
      </c>
      <c r="D20" s="357" t="str">
        <f>D8</f>
        <v>All</v>
      </c>
      <c r="E20" s="357" t="str">
        <f>E8</f>
        <v>All</v>
      </c>
      <c r="F20" s="142">
        <f t="shared" ref="F20:M20" si="9">IF(F8=0,,10^6*F31/F8)</f>
        <v>160.64458025949554</v>
      </c>
      <c r="G20" s="142">
        <f t="shared" si="9"/>
        <v>167.54868861595753</v>
      </c>
      <c r="H20" s="142"/>
      <c r="I20" s="142"/>
      <c r="J20" s="142"/>
      <c r="K20" s="142"/>
      <c r="L20" s="142"/>
      <c r="M20" s="142"/>
      <c r="N20" s="142"/>
      <c r="O20" s="142"/>
      <c r="P20" s="160"/>
      <c r="Q20" s="160"/>
    </row>
    <row r="21" spans="2:29" x14ac:dyDescent="0.25">
      <c r="B21" s="794" t="str">
        <f>B9</f>
        <v>DWDM</v>
      </c>
      <c r="C21" s="303" t="str">
        <f>C9</f>
        <v>2.5 Gbps</v>
      </c>
      <c r="D21" s="300" t="str">
        <f>D9</f>
        <v>All</v>
      </c>
      <c r="E21" s="303" t="s">
        <v>20</v>
      </c>
      <c r="F21" s="316">
        <f t="shared" ref="F21:M21" si="10">IF(F9=0,,10^6*F32/F9)</f>
        <v>268.71489725439727</v>
      </c>
      <c r="G21" s="316">
        <f t="shared" si="10"/>
        <v>262.99268089423526</v>
      </c>
      <c r="H21" s="316"/>
      <c r="I21" s="316"/>
      <c r="J21" s="316"/>
      <c r="K21" s="316"/>
      <c r="L21" s="316"/>
      <c r="M21" s="316"/>
      <c r="N21" s="316"/>
      <c r="O21" s="316"/>
      <c r="P21" s="160"/>
      <c r="Q21" s="160"/>
    </row>
    <row r="22" spans="2:29" x14ac:dyDescent="0.25">
      <c r="B22" s="795"/>
      <c r="C22" s="372" t="str">
        <f>C10</f>
        <v>10 Gbps</v>
      </c>
      <c r="D22" s="357" t="str">
        <f>D10</f>
        <v>All</v>
      </c>
      <c r="E22" s="167" t="str">
        <f>E10</f>
        <v>All</v>
      </c>
      <c r="F22" s="142">
        <f t="shared" ref="F22:M22" si="11">IF(F10=0,,10^6*F33/F10)</f>
        <v>583.05115030054333</v>
      </c>
      <c r="G22" s="142">
        <f t="shared" si="11"/>
        <v>514.26755322650411</v>
      </c>
      <c r="H22" s="142"/>
      <c r="I22" s="142"/>
      <c r="J22" s="142"/>
      <c r="K22" s="142"/>
      <c r="L22" s="142"/>
      <c r="M22" s="142"/>
      <c r="N22" s="142"/>
      <c r="O22" s="142"/>
      <c r="P22" s="160"/>
      <c r="Q22" s="160"/>
    </row>
    <row r="23" spans="2:29" x14ac:dyDescent="0.25">
      <c r="B23" s="795"/>
      <c r="C23" s="303" t="str">
        <f>C11</f>
        <v>40 Gbps</v>
      </c>
      <c r="D23" s="300" t="str">
        <f>D11</f>
        <v>All</v>
      </c>
      <c r="E23" s="303" t="s">
        <v>20</v>
      </c>
      <c r="F23" s="316">
        <f t="shared" ref="F23:M23" si="12">IF(F11=0,,10^6*F34/F11)</f>
        <v>9064.4821883468849</v>
      </c>
      <c r="G23" s="316">
        <f t="shared" si="12"/>
        <v>6724.5508982035926</v>
      </c>
      <c r="H23" s="316"/>
      <c r="I23" s="316"/>
      <c r="J23" s="316"/>
      <c r="K23" s="316"/>
      <c r="L23" s="316"/>
      <c r="M23" s="316"/>
      <c r="N23" s="316"/>
      <c r="O23" s="316"/>
      <c r="P23" s="160"/>
      <c r="Q23" s="160"/>
    </row>
    <row r="24" spans="2:29" s="160" customFormat="1" x14ac:dyDescent="0.25">
      <c r="B24" s="795"/>
      <c r="C24" s="498" t="s">
        <v>178</v>
      </c>
      <c r="D24" s="497" t="s">
        <v>20</v>
      </c>
      <c r="E24" s="497" t="s">
        <v>20</v>
      </c>
      <c r="F24" s="188">
        <f t="shared" ref="F24:M24" si="13">IF(F12=0,,10^6*F35/F12)</f>
        <v>9433.1597290982209</v>
      </c>
      <c r="G24" s="188">
        <f t="shared" si="13"/>
        <v>5971.1935418811754</v>
      </c>
      <c r="H24" s="188"/>
      <c r="I24" s="188"/>
      <c r="J24" s="188"/>
      <c r="K24" s="188"/>
      <c r="L24" s="188"/>
      <c r="M24" s="188"/>
      <c r="N24" s="188"/>
      <c r="O24" s="188"/>
    </row>
    <row r="25" spans="2:29" s="160" customFormat="1" x14ac:dyDescent="0.25">
      <c r="B25" s="795"/>
      <c r="C25" s="498" t="s">
        <v>159</v>
      </c>
      <c r="D25" s="497" t="s">
        <v>20</v>
      </c>
      <c r="E25" s="497" t="s">
        <v>20</v>
      </c>
      <c r="F25" s="188">
        <f t="shared" ref="F25:M25" si="14">IF(F13=0,,10^6*F36/F13)</f>
        <v>0</v>
      </c>
      <c r="G25" s="188">
        <f t="shared" si="14"/>
        <v>7372.2777191785081</v>
      </c>
      <c r="H25" s="188"/>
      <c r="I25" s="188"/>
      <c r="J25" s="188"/>
      <c r="K25" s="188"/>
      <c r="L25" s="188"/>
      <c r="M25" s="188"/>
      <c r="N25" s="188"/>
      <c r="O25" s="188"/>
    </row>
    <row r="26" spans="2:29" s="160" customFormat="1" ht="12.5" customHeight="1" x14ac:dyDescent="0.25">
      <c r="B26" s="795"/>
      <c r="C26" s="203" t="s">
        <v>179</v>
      </c>
      <c r="D26" s="264" t="s">
        <v>20</v>
      </c>
      <c r="E26" s="500" t="s">
        <v>20</v>
      </c>
      <c r="F26" s="188">
        <f t="shared" ref="F26:M26" si="15">IF(F14=0,,10^6*F37/F14)</f>
        <v>0</v>
      </c>
      <c r="G26" s="188">
        <f t="shared" si="15"/>
        <v>0</v>
      </c>
      <c r="H26" s="188"/>
      <c r="I26" s="188"/>
      <c r="J26" s="188"/>
      <c r="K26" s="188"/>
      <c r="L26" s="188"/>
      <c r="M26" s="188"/>
      <c r="N26" s="188"/>
      <c r="O26" s="188"/>
    </row>
    <row r="27" spans="2:29" s="160" customFormat="1" x14ac:dyDescent="0.25">
      <c r="B27" s="796"/>
      <c r="C27" s="223"/>
      <c r="D27" s="301"/>
      <c r="E27" s="302"/>
      <c r="F27" s="142"/>
      <c r="G27" s="142"/>
      <c r="H27" s="142"/>
      <c r="I27" s="142"/>
      <c r="J27" s="142"/>
      <c r="K27" s="142"/>
      <c r="L27" s="142"/>
      <c r="M27" s="142"/>
      <c r="N27" s="142"/>
      <c r="O27" s="142"/>
    </row>
    <row r="28" spans="2:29" x14ac:dyDescent="0.25">
      <c r="B28" s="160"/>
      <c r="C28" s="160"/>
      <c r="D28" s="160"/>
      <c r="E28" s="160"/>
    </row>
    <row r="29" spans="2:29" ht="13" x14ac:dyDescent="0.25">
      <c r="B29" s="220" t="s">
        <v>1</v>
      </c>
      <c r="C29" s="220" t="str">
        <f>C18</f>
        <v>WDM - China</v>
      </c>
      <c r="D29" s="4"/>
      <c r="E29" s="4"/>
      <c r="M29" s="220" t="str">
        <f>B29</f>
        <v>Sales ($M)</v>
      </c>
      <c r="O29" s="668" t="str">
        <f>C29</f>
        <v>WDM - China</v>
      </c>
    </row>
    <row r="30" spans="2:29" x14ac:dyDescent="0.25">
      <c r="B30" s="5" t="s">
        <v>19</v>
      </c>
      <c r="C30" s="5" t="s">
        <v>10</v>
      </c>
      <c r="D30" s="5" t="s">
        <v>11</v>
      </c>
      <c r="E30" s="5" t="s">
        <v>12</v>
      </c>
      <c r="F30" s="1">
        <v>2016</v>
      </c>
      <c r="G30" s="1">
        <v>2017</v>
      </c>
      <c r="H30" s="7">
        <v>2018</v>
      </c>
      <c r="I30" s="7">
        <v>2019</v>
      </c>
      <c r="J30" s="7">
        <v>2020</v>
      </c>
      <c r="K30" s="7">
        <v>2021</v>
      </c>
      <c r="L30" s="7">
        <v>2022</v>
      </c>
      <c r="M30" s="7">
        <v>2023</v>
      </c>
      <c r="N30" s="7">
        <v>2024</v>
      </c>
      <c r="O30" s="7">
        <v>2025</v>
      </c>
      <c r="P30" s="281"/>
      <c r="Q30" s="160"/>
    </row>
    <row r="31" spans="2:29" x14ac:dyDescent="0.25">
      <c r="B31" s="357" t="str">
        <f>B8</f>
        <v>CWDM</v>
      </c>
      <c r="C31" s="357" t="str">
        <f>C8</f>
        <v xml:space="preserve">1-10 Gbps </v>
      </c>
      <c r="D31" s="357" t="str">
        <f>D8</f>
        <v>All</v>
      </c>
      <c r="E31" s="357" t="str">
        <f>E8</f>
        <v>All</v>
      </c>
      <c r="F31" s="709">
        <v>27.258297681203807</v>
      </c>
      <c r="G31" s="709">
        <v>17.145656071949841</v>
      </c>
      <c r="H31" s="709"/>
      <c r="I31" s="709"/>
      <c r="J31" s="709"/>
      <c r="K31" s="709"/>
      <c r="L31" s="709"/>
      <c r="M31" s="709"/>
      <c r="N31" s="709"/>
      <c r="O31" s="709"/>
      <c r="P31" s="281"/>
      <c r="Q31" s="160"/>
    </row>
    <row r="32" spans="2:29" x14ac:dyDescent="0.25">
      <c r="B32" s="794" t="s">
        <v>27</v>
      </c>
      <c r="C32" s="303" t="s">
        <v>96</v>
      </c>
      <c r="D32" s="300" t="s">
        <v>20</v>
      </c>
      <c r="E32" s="303" t="s">
        <v>20</v>
      </c>
      <c r="F32" s="709">
        <v>7.7670428762000014</v>
      </c>
      <c r="G32" s="709">
        <v>4.6453344000000003</v>
      </c>
      <c r="H32" s="709"/>
      <c r="I32" s="709"/>
      <c r="J32" s="709"/>
      <c r="K32" s="709"/>
      <c r="L32" s="709"/>
      <c r="M32" s="709"/>
      <c r="N32" s="709"/>
      <c r="O32" s="709"/>
      <c r="P32" s="281"/>
      <c r="Q32" s="160"/>
    </row>
    <row r="33" spans="2:20" ht="12.5" customHeight="1" x14ac:dyDescent="0.25">
      <c r="B33" s="795"/>
      <c r="C33" s="372" t="str">
        <f>C10</f>
        <v>10 Gbps</v>
      </c>
      <c r="D33" s="357" t="str">
        <f>D10</f>
        <v>All</v>
      </c>
      <c r="E33" s="167" t="str">
        <f>E10</f>
        <v>All</v>
      </c>
      <c r="F33" s="709">
        <v>60.375092376408844</v>
      </c>
      <c r="G33" s="709">
        <v>64.816389904072722</v>
      </c>
      <c r="H33" s="709"/>
      <c r="I33" s="709"/>
      <c r="J33" s="709"/>
      <c r="K33" s="709"/>
      <c r="L33" s="709"/>
      <c r="M33" s="709"/>
      <c r="N33" s="709"/>
      <c r="O33" s="709"/>
      <c r="P33" s="281"/>
      <c r="Q33" s="160"/>
    </row>
    <row r="34" spans="2:20" x14ac:dyDescent="0.25">
      <c r="B34" s="795"/>
      <c r="C34" s="303" t="s">
        <v>75</v>
      </c>
      <c r="D34" s="300" t="s">
        <v>20</v>
      </c>
      <c r="E34" s="303" t="s">
        <v>20</v>
      </c>
      <c r="F34" s="709">
        <v>6.9571713692000037</v>
      </c>
      <c r="G34" s="709">
        <v>0.60642000000000007</v>
      </c>
      <c r="H34" s="709"/>
      <c r="I34" s="709"/>
      <c r="J34" s="709"/>
      <c r="K34" s="709"/>
      <c r="L34" s="709"/>
      <c r="M34" s="709"/>
      <c r="N34" s="709"/>
      <c r="O34" s="709"/>
      <c r="P34" s="281"/>
      <c r="Q34" s="160"/>
    </row>
    <row r="35" spans="2:20" s="160" customFormat="1" x14ac:dyDescent="0.25">
      <c r="B35" s="795"/>
      <c r="C35" s="498" t="s">
        <v>178</v>
      </c>
      <c r="D35" s="497" t="s">
        <v>20</v>
      </c>
      <c r="E35" s="497" t="s">
        <v>20</v>
      </c>
      <c r="F35" s="710">
        <v>144.64841493098837</v>
      </c>
      <c r="G35" s="710">
        <v>61.869092003499041</v>
      </c>
      <c r="H35" s="710"/>
      <c r="I35" s="710"/>
      <c r="J35" s="710"/>
      <c r="K35" s="710"/>
      <c r="L35" s="710"/>
      <c r="M35" s="710"/>
      <c r="N35" s="710"/>
      <c r="O35" s="710"/>
      <c r="P35" s="281"/>
    </row>
    <row r="36" spans="2:20" s="160" customFormat="1" x14ac:dyDescent="0.25">
      <c r="B36" s="795"/>
      <c r="C36" s="498" t="s">
        <v>159</v>
      </c>
      <c r="D36" s="497" t="s">
        <v>20</v>
      </c>
      <c r="E36" s="497" t="s">
        <v>20</v>
      </c>
      <c r="F36" s="710">
        <v>0</v>
      </c>
      <c r="G36" s="710">
        <v>5.2228131868131875</v>
      </c>
      <c r="H36" s="710"/>
      <c r="I36" s="710"/>
      <c r="J36" s="710"/>
      <c r="K36" s="710"/>
      <c r="L36" s="710"/>
      <c r="M36" s="710"/>
      <c r="N36" s="710"/>
      <c r="O36" s="710"/>
      <c r="P36" s="281"/>
    </row>
    <row r="37" spans="2:20" s="160" customFormat="1" ht="12.5" customHeight="1" x14ac:dyDescent="0.25">
      <c r="B37" s="795"/>
      <c r="C37" s="203" t="s">
        <v>179</v>
      </c>
      <c r="D37" s="264" t="s">
        <v>20</v>
      </c>
      <c r="E37" s="500" t="s">
        <v>20</v>
      </c>
      <c r="F37" s="710">
        <v>0</v>
      </c>
      <c r="G37" s="710">
        <v>0</v>
      </c>
      <c r="H37" s="710"/>
      <c r="I37" s="710"/>
      <c r="J37" s="710"/>
      <c r="K37" s="710"/>
      <c r="L37" s="710"/>
      <c r="M37" s="710"/>
      <c r="N37" s="710"/>
      <c r="O37" s="710"/>
      <c r="P37" s="281"/>
    </row>
    <row r="38" spans="2:20" s="160" customFormat="1" x14ac:dyDescent="0.25">
      <c r="B38" s="796"/>
      <c r="C38" s="315"/>
      <c r="D38" s="301"/>
      <c r="E38" s="302"/>
      <c r="F38" s="709"/>
      <c r="G38" s="709"/>
      <c r="H38" s="709"/>
      <c r="I38" s="709"/>
      <c r="J38" s="709"/>
      <c r="K38" s="709"/>
      <c r="L38" s="709"/>
      <c r="M38" s="709"/>
      <c r="N38" s="709"/>
      <c r="O38" s="709"/>
      <c r="P38" s="281"/>
    </row>
    <row r="39" spans="2:20" x14ac:dyDescent="0.25">
      <c r="B39" s="224" t="s">
        <v>28</v>
      </c>
      <c r="C39" s="303" t="s">
        <v>20</v>
      </c>
      <c r="D39" s="313" t="s">
        <v>20</v>
      </c>
      <c r="E39" s="303" t="s">
        <v>20</v>
      </c>
      <c r="F39" s="232">
        <f>SUM(F31:F38)</f>
        <v>247.00601923400103</v>
      </c>
      <c r="G39" s="232">
        <f t="shared" ref="G39:M39" si="16">SUM(G31:G38)</f>
        <v>154.30570556633481</v>
      </c>
      <c r="H39" s="232"/>
      <c r="I39" s="232"/>
      <c r="J39" s="232"/>
      <c r="K39" s="232"/>
      <c r="L39" s="232"/>
      <c r="M39" s="232"/>
      <c r="N39" s="232"/>
      <c r="O39" s="232"/>
      <c r="P39" s="281"/>
    </row>
    <row r="40" spans="2:20" x14ac:dyDescent="0.25">
      <c r="F40" s="59"/>
      <c r="G40" s="59">
        <f>IF(F39=0,"",G39/F39-1)</f>
        <v>-0.37529576791343955</v>
      </c>
      <c r="H40" s="59"/>
      <c r="I40" s="59"/>
      <c r="J40" s="59"/>
      <c r="K40" s="59"/>
      <c r="L40" s="59"/>
      <c r="M40" s="59"/>
      <c r="N40" s="59"/>
      <c r="O40" s="59"/>
      <c r="P40" s="160"/>
    </row>
    <row r="41" spans="2:20" x14ac:dyDescent="0.25">
      <c r="D41" s="160"/>
      <c r="E41" s="160"/>
      <c r="F41" s="160"/>
      <c r="G41" s="160"/>
      <c r="H41" s="160"/>
    </row>
    <row r="42" spans="2:20" x14ac:dyDescent="0.25">
      <c r="B42" s="445"/>
      <c r="C42" s="445"/>
      <c r="D42" s="445"/>
      <c r="E42" s="445"/>
      <c r="F42" s="445"/>
      <c r="G42" s="445"/>
      <c r="H42" s="445"/>
      <c r="I42" s="445"/>
      <c r="J42" s="445"/>
      <c r="K42" s="445"/>
      <c r="L42" s="445"/>
      <c r="M42" s="445"/>
      <c r="N42" s="445"/>
      <c r="O42" s="445"/>
      <c r="P42" s="160"/>
      <c r="Q42" s="160"/>
      <c r="R42" s="160"/>
      <c r="S42" s="160"/>
      <c r="T42" s="160"/>
    </row>
    <row r="43" spans="2:20" x14ac:dyDescent="0.25">
      <c r="F43" s="3"/>
      <c r="H43" s="3"/>
      <c r="I43" s="3"/>
      <c r="J43" s="3"/>
      <c r="K43" s="3"/>
      <c r="L43" s="3"/>
      <c r="M43" s="3"/>
      <c r="P43" s="160"/>
      <c r="Q43" s="160"/>
      <c r="R43" s="160"/>
      <c r="S43" s="160"/>
      <c r="T43" s="160"/>
    </row>
    <row r="44" spans="2:20" s="160" customFormat="1" ht="13" x14ac:dyDescent="0.25">
      <c r="B44" s="220" t="s">
        <v>0</v>
      </c>
      <c r="C44" s="221" t="s">
        <v>243</v>
      </c>
      <c r="D44" s="4"/>
      <c r="E44" s="4"/>
      <c r="M44" s="220" t="str">
        <f>B44</f>
        <v>Units</v>
      </c>
      <c r="O44" s="668" t="str">
        <f>C44</f>
        <v>WDM Rest of World</v>
      </c>
    </row>
    <row r="45" spans="2:20" s="160" customFormat="1" x14ac:dyDescent="0.25">
      <c r="B45" s="119" t="s">
        <v>19</v>
      </c>
      <c r="C45" s="119" t="s">
        <v>10</v>
      </c>
      <c r="D45" s="261" t="s">
        <v>11</v>
      </c>
      <c r="E45" s="119" t="s">
        <v>12</v>
      </c>
      <c r="F45" s="1">
        <v>2016</v>
      </c>
      <c r="G45" s="1">
        <v>2017</v>
      </c>
      <c r="H45" s="1">
        <v>2018</v>
      </c>
      <c r="I45" s="1">
        <v>2019</v>
      </c>
      <c r="J45" s="1">
        <v>2020</v>
      </c>
      <c r="K45" s="1">
        <v>2021</v>
      </c>
      <c r="L45" s="1">
        <v>2022</v>
      </c>
      <c r="M45" s="1">
        <v>2023</v>
      </c>
      <c r="N45" s="1">
        <v>2024</v>
      </c>
      <c r="O45" s="1">
        <v>2025</v>
      </c>
    </row>
    <row r="46" spans="2:20" s="160" customFormat="1" x14ac:dyDescent="0.25">
      <c r="B46" s="425" t="s">
        <v>14</v>
      </c>
      <c r="C46" s="425" t="s">
        <v>210</v>
      </c>
      <c r="D46" s="425" t="s">
        <v>20</v>
      </c>
      <c r="E46" s="425" t="s">
        <v>20</v>
      </c>
      <c r="F46" s="29">
        <f t="shared" ref="F46:M46" si="17">IF(F84=0,"",F84-F8)</f>
        <v>301656.21999999997</v>
      </c>
      <c r="G46" s="29">
        <f t="shared" si="17"/>
        <v>174241.62</v>
      </c>
      <c r="H46" s="29"/>
      <c r="I46" s="29"/>
      <c r="J46" s="29"/>
      <c r="K46" s="29"/>
      <c r="L46" s="29"/>
      <c r="M46" s="29"/>
      <c r="N46" s="29"/>
      <c r="O46" s="29"/>
      <c r="Q46" s="2"/>
    </row>
    <row r="47" spans="2:20" s="160" customFormat="1" x14ac:dyDescent="0.25">
      <c r="B47" s="794" t="s">
        <v>27</v>
      </c>
      <c r="C47" s="424" t="s">
        <v>96</v>
      </c>
      <c r="D47" s="420" t="s">
        <v>20</v>
      </c>
      <c r="E47" s="424" t="s">
        <v>20</v>
      </c>
      <c r="F47" s="29">
        <f t="shared" ref="F47:M47" si="18">IF(F85=0,"",F85-F9)</f>
        <v>64335.599999999991</v>
      </c>
      <c r="G47" s="29">
        <f t="shared" si="18"/>
        <v>37534.639999999999</v>
      </c>
      <c r="H47" s="29"/>
      <c r="I47" s="29"/>
      <c r="J47" s="29"/>
      <c r="K47" s="29"/>
      <c r="L47" s="29"/>
      <c r="M47" s="29"/>
      <c r="N47" s="29"/>
      <c r="O47" s="29"/>
      <c r="Q47" s="2"/>
    </row>
    <row r="48" spans="2:20" s="160" customFormat="1" ht="16" customHeight="1" x14ac:dyDescent="0.25">
      <c r="B48" s="795"/>
      <c r="C48" s="372" t="s">
        <v>68</v>
      </c>
      <c r="D48" s="425" t="s">
        <v>20</v>
      </c>
      <c r="E48" s="167" t="s">
        <v>20</v>
      </c>
      <c r="F48" s="29">
        <f t="shared" ref="F48:M48" si="19">IF(F86=0,"",F86-F10)</f>
        <v>276474.75</v>
      </c>
      <c r="G48" s="29">
        <f t="shared" si="19"/>
        <v>324744.67999999993</v>
      </c>
      <c r="H48" s="29"/>
      <c r="I48" s="29"/>
      <c r="J48" s="29"/>
      <c r="K48" s="29"/>
      <c r="L48" s="29"/>
      <c r="M48" s="29"/>
      <c r="N48" s="29"/>
      <c r="O48" s="29"/>
      <c r="Q48" s="2"/>
    </row>
    <row r="49" spans="2:17" s="160" customFormat="1" x14ac:dyDescent="0.25">
      <c r="B49" s="795"/>
      <c r="C49" s="424" t="s">
        <v>75</v>
      </c>
      <c r="D49" s="420" t="s">
        <v>20</v>
      </c>
      <c r="E49" s="420" t="s">
        <v>20</v>
      </c>
      <c r="F49" s="29">
        <f t="shared" ref="F49:M49" si="20">IF(F87=0,"",F87-F11)</f>
        <v>2184.4799999999996</v>
      </c>
      <c r="G49" s="29">
        <f t="shared" si="20"/>
        <v>243.82</v>
      </c>
      <c r="H49" s="29"/>
      <c r="I49" s="29"/>
      <c r="J49" s="29"/>
      <c r="K49" s="29"/>
      <c r="L49" s="29"/>
      <c r="M49" s="29"/>
      <c r="N49" s="29"/>
      <c r="O49" s="29"/>
      <c r="Q49" s="2"/>
    </row>
    <row r="50" spans="2:17" s="160" customFormat="1" x14ac:dyDescent="0.25">
      <c r="B50" s="795"/>
      <c r="C50" s="498" t="s">
        <v>178</v>
      </c>
      <c r="D50" s="497" t="s">
        <v>20</v>
      </c>
      <c r="E50" s="497" t="s">
        <v>20</v>
      </c>
      <c r="F50" s="138">
        <f t="shared" ref="F50:M50" si="21">IF(F88=0,"",F88-F12)</f>
        <v>55281.963570531385</v>
      </c>
      <c r="G50" s="138">
        <f t="shared" si="21"/>
        <v>83845.739463131235</v>
      </c>
      <c r="H50" s="138"/>
      <c r="I50" s="138"/>
      <c r="J50" s="138"/>
      <c r="K50" s="138"/>
      <c r="L50" s="138"/>
      <c r="M50" s="138"/>
      <c r="N50" s="138"/>
      <c r="O50" s="138"/>
      <c r="Q50" s="2"/>
    </row>
    <row r="51" spans="2:17" s="160" customFormat="1" x14ac:dyDescent="0.25">
      <c r="B51" s="795"/>
      <c r="C51" s="498" t="s">
        <v>159</v>
      </c>
      <c r="D51" s="497" t="s">
        <v>20</v>
      </c>
      <c r="E51" s="497" t="s">
        <v>20</v>
      </c>
      <c r="F51" s="138" t="str">
        <f t="shared" ref="F51:M51" si="22">IF(F89=0,"",F89-F13)</f>
        <v/>
      </c>
      <c r="G51" s="138">
        <f t="shared" si="22"/>
        <v>15408.560439560439</v>
      </c>
      <c r="H51" s="138"/>
      <c r="I51" s="138"/>
      <c r="J51" s="138"/>
      <c r="K51" s="138"/>
      <c r="L51" s="138"/>
      <c r="M51" s="138"/>
      <c r="N51" s="138"/>
      <c r="O51" s="138"/>
      <c r="Q51" s="2"/>
    </row>
    <row r="52" spans="2:17" s="160" customFormat="1" ht="12.5" customHeight="1" x14ac:dyDescent="0.25">
      <c r="B52" s="795"/>
      <c r="C52" s="203" t="s">
        <v>179</v>
      </c>
      <c r="D52" s="264" t="s">
        <v>20</v>
      </c>
      <c r="E52" s="500" t="s">
        <v>20</v>
      </c>
      <c r="F52" s="138" t="str">
        <f t="shared" ref="F52:M52" si="23">IF(F90=0,"",F90-F14)</f>
        <v/>
      </c>
      <c r="G52" s="138" t="str">
        <f t="shared" si="23"/>
        <v/>
      </c>
      <c r="H52" s="138"/>
      <c r="I52" s="138"/>
      <c r="J52" s="138"/>
      <c r="K52" s="138"/>
      <c r="L52" s="138"/>
      <c r="M52" s="138"/>
      <c r="N52" s="138"/>
      <c r="O52" s="138"/>
      <c r="Q52" s="2"/>
    </row>
    <row r="53" spans="2:17" s="160" customFormat="1" x14ac:dyDescent="0.25">
      <c r="B53" s="796"/>
      <c r="C53" s="223" t="s">
        <v>160</v>
      </c>
      <c r="D53" s="421"/>
      <c r="E53" s="423" t="s">
        <v>20</v>
      </c>
      <c r="F53" s="29">
        <f t="shared" ref="F53:M53" si="24">IF(F91=0,"",F91-F15)</f>
        <v>14038</v>
      </c>
      <c r="G53" s="29">
        <f t="shared" si="24"/>
        <v>12544</v>
      </c>
      <c r="H53" s="29"/>
      <c r="I53" s="29"/>
      <c r="J53" s="29"/>
      <c r="K53" s="29"/>
      <c r="L53" s="29"/>
      <c r="M53" s="29"/>
      <c r="N53" s="29"/>
      <c r="O53" s="29"/>
      <c r="Q53" s="2"/>
    </row>
    <row r="54" spans="2:17" s="160" customFormat="1" x14ac:dyDescent="0.25">
      <c r="B54" s="224" t="s">
        <v>28</v>
      </c>
      <c r="C54" s="424" t="s">
        <v>20</v>
      </c>
      <c r="D54" s="425" t="s">
        <v>20</v>
      </c>
      <c r="E54" s="424" t="s">
        <v>20</v>
      </c>
      <c r="F54" s="29">
        <f t="shared" ref="F54:M54" si="25">SUM(F46:F53)</f>
        <v>713971.01357053127</v>
      </c>
      <c r="G54" s="29">
        <f t="shared" si="25"/>
        <v>648563.05990269163</v>
      </c>
      <c r="H54" s="29">
        <f t="shared" si="25"/>
        <v>0</v>
      </c>
      <c r="I54" s="29">
        <f t="shared" si="25"/>
        <v>0</v>
      </c>
      <c r="J54" s="29">
        <f t="shared" si="25"/>
        <v>0</v>
      </c>
      <c r="K54" s="29">
        <f t="shared" si="25"/>
        <v>0</v>
      </c>
      <c r="L54" s="29">
        <f t="shared" si="25"/>
        <v>0</v>
      </c>
      <c r="M54" s="29">
        <f t="shared" si="25"/>
        <v>0</v>
      </c>
      <c r="N54" s="29">
        <f>SUM(N46:N53)</f>
        <v>0</v>
      </c>
      <c r="O54" s="29">
        <f>SUM(O46:O53)</f>
        <v>0</v>
      </c>
      <c r="Q54" s="2"/>
    </row>
    <row r="55" spans="2:17" s="160" customFormat="1" x14ac:dyDescent="0.25">
      <c r="B55" s="4"/>
      <c r="C55" s="4"/>
      <c r="D55" s="4"/>
      <c r="E55" s="4"/>
      <c r="F55" s="59"/>
      <c r="G55" s="59">
        <f>IF(F54=0,"",G54/F54-1)</f>
        <v>-9.1611497420235444E-2</v>
      </c>
      <c r="H55" s="59">
        <f>IF(G54=0,"",H54/G54-1)</f>
        <v>-1</v>
      </c>
      <c r="I55" s="59" t="str">
        <f>IF(H54=0,"",I54/H54-1)</f>
        <v/>
      </c>
      <c r="J55" s="59" t="str">
        <f>IF(I54=0,"",J54/I54-1)</f>
        <v/>
      </c>
      <c r="K55" s="59" t="str">
        <f>IF(J54=0,"",K54/J54-1)</f>
        <v/>
      </c>
      <c r="L55" s="59" t="str">
        <f>IF(J54=0,"",L54/J54-1)</f>
        <v/>
      </c>
      <c r="M55" s="59" t="str">
        <f>IF(K54=0,"",M54/K54-1)</f>
        <v/>
      </c>
      <c r="N55" s="59" t="str">
        <f>IF(L54=0,"",N54/L54-1)</f>
        <v/>
      </c>
      <c r="O55" s="59" t="str">
        <f>IF(M54=0,"",O54/M54-1)</f>
        <v/>
      </c>
    </row>
    <row r="56" spans="2:17" s="160" customFormat="1" ht="13" x14ac:dyDescent="0.3">
      <c r="B56" s="220" t="s">
        <v>53</v>
      </c>
      <c r="C56" s="221" t="str">
        <f>C44</f>
        <v>WDM Rest of World</v>
      </c>
      <c r="D56" s="4"/>
      <c r="E56" s="4"/>
      <c r="F56" s="4"/>
      <c r="G56" s="4"/>
      <c r="H56" s="4"/>
      <c r="I56" s="4"/>
      <c r="J56" s="4"/>
      <c r="K56" s="273"/>
      <c r="L56" s="273"/>
      <c r="M56" s="220" t="str">
        <f>B56</f>
        <v>ASP ($)</v>
      </c>
      <c r="O56" s="668" t="str">
        <f>C56</f>
        <v>WDM Rest of World</v>
      </c>
    </row>
    <row r="57" spans="2:17" s="160" customFormat="1" x14ac:dyDescent="0.25">
      <c r="B57" s="119" t="s">
        <v>19</v>
      </c>
      <c r="C57" s="119" t="s">
        <v>10</v>
      </c>
      <c r="D57" s="119" t="s">
        <v>11</v>
      </c>
      <c r="E57" s="119" t="s">
        <v>12</v>
      </c>
      <c r="F57" s="1">
        <v>2016</v>
      </c>
      <c r="G57" s="1">
        <v>2017</v>
      </c>
      <c r="H57" s="1">
        <v>2018</v>
      </c>
      <c r="I57" s="1">
        <v>2019</v>
      </c>
      <c r="J57" s="1">
        <v>2020</v>
      </c>
      <c r="K57" s="1">
        <v>2021</v>
      </c>
      <c r="L57" s="1">
        <v>2022</v>
      </c>
      <c r="M57" s="1">
        <v>2023</v>
      </c>
      <c r="N57" s="1">
        <v>2024</v>
      </c>
      <c r="O57" s="1">
        <v>2025</v>
      </c>
    </row>
    <row r="58" spans="2:17" s="160" customFormat="1" x14ac:dyDescent="0.25">
      <c r="B58" s="425" t="str">
        <f>B46</f>
        <v>CWDM</v>
      </c>
      <c r="C58" s="425" t="str">
        <f>C46</f>
        <v xml:space="preserve">1-10 Gbps </v>
      </c>
      <c r="D58" s="425" t="str">
        <f>D46</f>
        <v>All</v>
      </c>
      <c r="E58" s="425" t="str">
        <f>E46</f>
        <v>All</v>
      </c>
      <c r="F58" s="142">
        <f t="shared" ref="F58:M58" si="26">10^6*F69/F46</f>
        <v>160.64458025949551</v>
      </c>
      <c r="G58" s="142">
        <f t="shared" si="26"/>
        <v>167.54868861595747</v>
      </c>
      <c r="H58" s="142"/>
      <c r="I58" s="142"/>
      <c r="J58" s="142"/>
      <c r="K58" s="142"/>
      <c r="L58" s="142"/>
      <c r="M58" s="142"/>
      <c r="N58" s="142"/>
      <c r="O58" s="142"/>
    </row>
    <row r="59" spans="2:17" s="160" customFormat="1" x14ac:dyDescent="0.25">
      <c r="B59" s="794" t="str">
        <f>B47</f>
        <v>DWDM</v>
      </c>
      <c r="C59" s="424" t="str">
        <f>C47</f>
        <v>2.5 Gbps</v>
      </c>
      <c r="D59" s="420" t="str">
        <f>D47</f>
        <v>All</v>
      </c>
      <c r="E59" s="424" t="s">
        <v>20</v>
      </c>
      <c r="F59" s="316">
        <f t="shared" ref="F59:M59" si="27">10^6*F70/F47</f>
        <v>268.71489725439733</v>
      </c>
      <c r="G59" s="316">
        <f t="shared" si="27"/>
        <v>262.99268089423526</v>
      </c>
      <c r="H59" s="316"/>
      <c r="I59" s="316"/>
      <c r="J59" s="316"/>
      <c r="K59" s="316"/>
      <c r="L59" s="316"/>
      <c r="M59" s="316"/>
      <c r="N59" s="316"/>
      <c r="O59" s="316"/>
    </row>
    <row r="60" spans="2:17" s="160" customFormat="1" x14ac:dyDescent="0.25">
      <c r="B60" s="795"/>
      <c r="C60" s="372" t="str">
        <f>C48</f>
        <v>10 Gbps</v>
      </c>
      <c r="D60" s="425" t="str">
        <f>D48</f>
        <v>All</v>
      </c>
      <c r="E60" s="167" t="str">
        <f>E48</f>
        <v>All</v>
      </c>
      <c r="F60" s="142">
        <f t="shared" ref="F60:M60" si="28">10^6*F71/F48</f>
        <v>583.05115030054333</v>
      </c>
      <c r="G60" s="142">
        <f t="shared" si="28"/>
        <v>514.26755322650422</v>
      </c>
      <c r="H60" s="142"/>
      <c r="I60" s="142"/>
      <c r="J60" s="142"/>
      <c r="K60" s="142"/>
      <c r="L60" s="142"/>
      <c r="M60" s="142"/>
      <c r="N60" s="142"/>
      <c r="O60" s="142"/>
    </row>
    <row r="61" spans="2:17" s="160" customFormat="1" x14ac:dyDescent="0.25">
      <c r="B61" s="795"/>
      <c r="C61" s="424" t="str">
        <f>C49</f>
        <v>40 Gbps</v>
      </c>
      <c r="D61" s="420" t="str">
        <f>D49</f>
        <v>All</v>
      </c>
      <c r="E61" s="424" t="s">
        <v>20</v>
      </c>
      <c r="F61" s="316">
        <f>10^6*F72/F49</f>
        <v>9064.4821883468849</v>
      </c>
      <c r="G61" s="316">
        <f>10^6*G72/G49</f>
        <v>6724.5508982035926</v>
      </c>
      <c r="H61" s="316"/>
      <c r="I61" s="316"/>
      <c r="J61" s="316"/>
      <c r="K61" s="316"/>
      <c r="L61" s="316"/>
      <c r="M61" s="316"/>
      <c r="N61" s="316"/>
      <c r="O61" s="316"/>
    </row>
    <row r="62" spans="2:17" s="160" customFormat="1" x14ac:dyDescent="0.25">
      <c r="B62" s="795"/>
      <c r="C62" s="498" t="s">
        <v>178</v>
      </c>
      <c r="D62" s="497" t="s">
        <v>20</v>
      </c>
      <c r="E62" s="497" t="s">
        <v>20</v>
      </c>
      <c r="F62" s="188">
        <f t="shared" ref="F62:M62" si="29">10^6*F73/F50</f>
        <v>9433.1597290982209</v>
      </c>
      <c r="G62" s="188">
        <f t="shared" si="29"/>
        <v>5971.1935418811754</v>
      </c>
      <c r="H62" s="188"/>
      <c r="I62" s="188"/>
      <c r="J62" s="188"/>
      <c r="K62" s="188"/>
      <c r="L62" s="188"/>
      <c r="M62" s="188"/>
      <c r="N62" s="188"/>
      <c r="O62" s="188"/>
    </row>
    <row r="63" spans="2:17" s="160" customFormat="1" x14ac:dyDescent="0.25">
      <c r="B63" s="795"/>
      <c r="C63" s="498" t="s">
        <v>159</v>
      </c>
      <c r="D63" s="497" t="s">
        <v>20</v>
      </c>
      <c r="E63" s="497" t="s">
        <v>20</v>
      </c>
      <c r="F63" s="188"/>
      <c r="G63" s="188">
        <f t="shared" ref="G63:M63" si="30">10^6*G74/G51</f>
        <v>7372.2777191785081</v>
      </c>
      <c r="H63" s="188"/>
      <c r="I63" s="188"/>
      <c r="J63" s="188"/>
      <c r="K63" s="188"/>
      <c r="L63" s="188"/>
      <c r="M63" s="188"/>
      <c r="N63" s="188"/>
      <c r="O63" s="188"/>
    </row>
    <row r="64" spans="2:17" s="160" customFormat="1" ht="12.5" customHeight="1" x14ac:dyDescent="0.25">
      <c r="B64" s="795"/>
      <c r="C64" s="203" t="s">
        <v>179</v>
      </c>
      <c r="D64" s="264" t="s">
        <v>20</v>
      </c>
      <c r="E64" s="500" t="s">
        <v>20</v>
      </c>
      <c r="F64" s="188"/>
      <c r="G64" s="188"/>
      <c r="H64" s="188"/>
      <c r="I64" s="188"/>
      <c r="J64" s="188"/>
      <c r="K64" s="188"/>
      <c r="L64" s="188"/>
      <c r="M64" s="188"/>
      <c r="N64" s="188"/>
      <c r="O64" s="188"/>
    </row>
    <row r="65" spans="2:20" s="160" customFormat="1" x14ac:dyDescent="0.25">
      <c r="B65" s="796"/>
      <c r="C65" s="223" t="str">
        <f>C53</f>
        <v>1-10Gbps discontinued products</v>
      </c>
      <c r="D65" s="421"/>
      <c r="E65" s="423" t="s">
        <v>20</v>
      </c>
      <c r="F65" s="329">
        <f>10^6*F76/F53</f>
        <v>187.90436009077925</v>
      </c>
      <c r="G65" s="329">
        <f>10^6*G76/G53</f>
        <v>213.89333545918367</v>
      </c>
      <c r="H65" s="329" t="e">
        <f>10^6*H76/H53</f>
        <v>#DIV/0!</v>
      </c>
      <c r="I65" s="329"/>
      <c r="J65" s="142"/>
      <c r="K65" s="142"/>
      <c r="L65" s="142"/>
      <c r="M65" s="142"/>
      <c r="N65" s="142"/>
      <c r="O65" s="142"/>
    </row>
    <row r="66" spans="2:20" s="160" customFormat="1" x14ac:dyDescent="0.25">
      <c r="F66" s="67">
        <f t="shared" ref="F66:M66" si="31">SUM(F58:F65)-SUM(F96:F103)</f>
        <v>0</v>
      </c>
      <c r="G66" s="67">
        <f t="shared" si="31"/>
        <v>0</v>
      </c>
      <c r="H66" s="67" t="e">
        <f t="shared" si="31"/>
        <v>#DIV/0!</v>
      </c>
      <c r="I66" s="67">
        <f>SUM(I58:I65)-SUM(I96:I103)</f>
        <v>0</v>
      </c>
      <c r="J66" s="67">
        <f t="shared" si="31"/>
        <v>0</v>
      </c>
      <c r="K66" s="67">
        <f t="shared" si="31"/>
        <v>0</v>
      </c>
      <c r="L66" s="67">
        <f t="shared" si="31"/>
        <v>0</v>
      </c>
      <c r="M66" s="67">
        <f t="shared" si="31"/>
        <v>0</v>
      </c>
      <c r="N66" s="67">
        <f>SUM(N58:N65)-SUM(N96:N103)</f>
        <v>0</v>
      </c>
      <c r="O66" s="67">
        <f>SUM(O58:O65)-SUM(O96:O103)</f>
        <v>0</v>
      </c>
    </row>
    <row r="67" spans="2:20" s="160" customFormat="1" ht="13" x14ac:dyDescent="0.25">
      <c r="B67" s="220" t="s">
        <v>1</v>
      </c>
      <c r="C67" s="221" t="str">
        <f>C56</f>
        <v>WDM Rest of World</v>
      </c>
      <c r="D67" s="4"/>
      <c r="E67" s="4"/>
      <c r="M67" s="220" t="str">
        <f>B67</f>
        <v>Sales ($M)</v>
      </c>
      <c r="O67" s="668" t="str">
        <f>C67</f>
        <v>WDM Rest of World</v>
      </c>
    </row>
    <row r="68" spans="2:20" s="160" customFormat="1" x14ac:dyDescent="0.25">
      <c r="B68" s="119" t="s">
        <v>19</v>
      </c>
      <c r="C68" s="119" t="s">
        <v>10</v>
      </c>
      <c r="D68" s="119" t="s">
        <v>11</v>
      </c>
      <c r="E68" s="119" t="s">
        <v>12</v>
      </c>
      <c r="F68" s="1">
        <v>2016</v>
      </c>
      <c r="G68" s="1">
        <v>2017</v>
      </c>
      <c r="H68" s="7">
        <v>2018</v>
      </c>
      <c r="I68" s="7">
        <v>2019</v>
      </c>
      <c r="J68" s="7">
        <v>2020</v>
      </c>
      <c r="K68" s="7">
        <v>2021</v>
      </c>
      <c r="L68" s="7">
        <v>2022</v>
      </c>
      <c r="M68" s="7">
        <v>2023</v>
      </c>
      <c r="N68" s="7">
        <v>2024</v>
      </c>
      <c r="O68" s="7">
        <v>2025</v>
      </c>
    </row>
    <row r="69" spans="2:20" s="160" customFormat="1" x14ac:dyDescent="0.25">
      <c r="B69" s="425" t="str">
        <f>B46</f>
        <v>CWDM</v>
      </c>
      <c r="C69" s="425" t="str">
        <f>C46</f>
        <v xml:space="preserve">1-10 Gbps </v>
      </c>
      <c r="D69" s="425" t="str">
        <f>D46</f>
        <v>All</v>
      </c>
      <c r="E69" s="425" t="str">
        <f>E46</f>
        <v>All</v>
      </c>
      <c r="F69" s="142">
        <f t="shared" ref="F69:M69" si="32">IF(F107=0,"",F107-F31)</f>
        <v>48.459436844566035</v>
      </c>
      <c r="G69" s="142">
        <f t="shared" si="32"/>
        <v>29.19395493331999</v>
      </c>
      <c r="H69" s="142"/>
      <c r="I69" s="142"/>
      <c r="J69" s="142"/>
      <c r="K69" s="142"/>
      <c r="L69" s="142"/>
      <c r="M69" s="142"/>
      <c r="N69" s="142"/>
      <c r="O69" s="142"/>
    </row>
    <row r="70" spans="2:20" s="160" customFormat="1" x14ac:dyDescent="0.25">
      <c r="B70" s="794" t="s">
        <v>27</v>
      </c>
      <c r="C70" s="424" t="s">
        <v>96</v>
      </c>
      <c r="D70" s="420" t="s">
        <v>20</v>
      </c>
      <c r="E70" s="424" t="s">
        <v>20</v>
      </c>
      <c r="F70" s="23">
        <f t="shared" ref="F70:M70" si="33">IF(F108=0,"",F108-F32)</f>
        <v>17.287934143800001</v>
      </c>
      <c r="G70" s="23">
        <f t="shared" si="33"/>
        <v>9.8713355999999983</v>
      </c>
      <c r="H70" s="23"/>
      <c r="I70" s="23"/>
      <c r="J70" s="23"/>
      <c r="K70" s="23"/>
      <c r="L70" s="23"/>
      <c r="M70" s="23"/>
      <c r="N70" s="23"/>
      <c r="O70" s="23"/>
    </row>
    <row r="71" spans="2:20" s="160" customFormat="1" ht="12.5" customHeight="1" x14ac:dyDescent="0.25">
      <c r="B71" s="795"/>
      <c r="C71" s="372" t="str">
        <f>C48</f>
        <v>10 Gbps</v>
      </c>
      <c r="D71" s="425" t="str">
        <f>D48</f>
        <v>All</v>
      </c>
      <c r="E71" s="167" t="str">
        <f>E48</f>
        <v>All</v>
      </c>
      <c r="F71" s="23">
        <f t="shared" ref="F71:M71" si="34">IF(F109=0,"",F109-F33)</f>
        <v>161.19892101655512</v>
      </c>
      <c r="G71" s="23">
        <f t="shared" si="34"/>
        <v>167.00565200692404</v>
      </c>
      <c r="H71" s="23"/>
      <c r="I71" s="23"/>
      <c r="J71" s="23"/>
      <c r="K71" s="23"/>
      <c r="L71" s="23"/>
      <c r="M71" s="23"/>
      <c r="N71" s="23"/>
      <c r="O71" s="23"/>
    </row>
    <row r="72" spans="2:20" s="160" customFormat="1" x14ac:dyDescent="0.25">
      <c r="B72" s="795"/>
      <c r="C72" s="424" t="s">
        <v>75</v>
      </c>
      <c r="D72" s="420" t="s">
        <v>20</v>
      </c>
      <c r="E72" s="424" t="s">
        <v>20</v>
      </c>
      <c r="F72" s="23">
        <f t="shared" ref="F72:M72" si="35">IF(F110=0,"",F110-F34)</f>
        <v>19.801180050799999</v>
      </c>
      <c r="G72" s="23">
        <f t="shared" si="35"/>
        <v>1.63958</v>
      </c>
      <c r="H72" s="23"/>
      <c r="I72" s="23"/>
      <c r="J72" s="23"/>
      <c r="K72" s="23"/>
      <c r="L72" s="23"/>
      <c r="M72" s="23"/>
      <c r="N72" s="23"/>
      <c r="O72" s="23"/>
    </row>
    <row r="73" spans="2:20" s="160" customFormat="1" x14ac:dyDescent="0.25">
      <c r="B73" s="795"/>
      <c r="C73" s="498" t="s">
        <v>178</v>
      </c>
      <c r="D73" s="497" t="s">
        <v>20</v>
      </c>
      <c r="E73" s="497" t="s">
        <v>20</v>
      </c>
      <c r="F73" s="188">
        <f t="shared" ref="F73:M73" si="36">IF(F111=0,"",F111-F35)</f>
        <v>521.48359249901159</v>
      </c>
      <c r="G73" s="188">
        <f t="shared" si="36"/>
        <v>500.65913799650087</v>
      </c>
      <c r="H73" s="188"/>
      <c r="I73" s="188"/>
      <c r="J73" s="188"/>
      <c r="K73" s="188"/>
      <c r="L73" s="188"/>
      <c r="M73" s="188"/>
      <c r="N73" s="188"/>
      <c r="O73" s="188"/>
    </row>
    <row r="74" spans="2:20" s="160" customFormat="1" x14ac:dyDescent="0.25">
      <c r="B74" s="795"/>
      <c r="C74" s="498" t="s">
        <v>159</v>
      </c>
      <c r="D74" s="497" t="s">
        <v>20</v>
      </c>
      <c r="E74" s="497" t="s">
        <v>20</v>
      </c>
      <c r="F74" s="188" t="str">
        <f t="shared" ref="F74:M74" si="37">IF(F112=0,"",F112-F36)</f>
        <v/>
      </c>
      <c r="G74" s="188">
        <f t="shared" si="37"/>
        <v>113.59618681318682</v>
      </c>
      <c r="H74" s="188"/>
      <c r="I74" s="188"/>
      <c r="J74" s="188"/>
      <c r="K74" s="188"/>
      <c r="L74" s="188"/>
      <c r="M74" s="188"/>
      <c r="N74" s="188"/>
      <c r="O74" s="188"/>
    </row>
    <row r="75" spans="2:20" s="160" customFormat="1" ht="12.5" customHeight="1" x14ac:dyDescent="0.25">
      <c r="B75" s="795"/>
      <c r="C75" s="203" t="s">
        <v>179</v>
      </c>
      <c r="D75" s="264" t="s">
        <v>20</v>
      </c>
      <c r="E75" s="500" t="s">
        <v>20</v>
      </c>
      <c r="F75" s="188" t="str">
        <f t="shared" ref="F75:M75" si="38">IF(F113=0,"",F113-F37)</f>
        <v/>
      </c>
      <c r="G75" s="188" t="str">
        <f t="shared" si="38"/>
        <v/>
      </c>
      <c r="H75" s="188"/>
      <c r="I75" s="188"/>
      <c r="J75" s="188"/>
      <c r="K75" s="188"/>
      <c r="L75" s="188"/>
      <c r="M75" s="188"/>
      <c r="N75" s="188"/>
      <c r="O75" s="188"/>
    </row>
    <row r="76" spans="2:20" s="160" customFormat="1" x14ac:dyDescent="0.25">
      <c r="B76" s="796"/>
      <c r="C76" s="315" t="str">
        <f>C53</f>
        <v>1-10Gbps discontinued products</v>
      </c>
      <c r="D76" s="421"/>
      <c r="E76" s="423" t="s">
        <v>20</v>
      </c>
      <c r="F76" s="23">
        <f t="shared" ref="F76:M76" si="39">IF(F114=0,"",F114-F38)</f>
        <v>2.6378014069543592</v>
      </c>
      <c r="G76" s="23">
        <f t="shared" si="39"/>
        <v>2.6830780000000001</v>
      </c>
      <c r="H76" s="23"/>
      <c r="I76" s="23"/>
      <c r="J76" s="23"/>
      <c r="K76" s="23"/>
      <c r="L76" s="23"/>
      <c r="M76" s="23"/>
      <c r="N76" s="23"/>
      <c r="O76" s="23"/>
    </row>
    <row r="77" spans="2:20" s="160" customFormat="1" x14ac:dyDescent="0.25">
      <c r="B77" s="224" t="s">
        <v>28</v>
      </c>
      <c r="C77" s="424" t="s">
        <v>20</v>
      </c>
      <c r="D77" s="425" t="s">
        <v>20</v>
      </c>
      <c r="E77" s="424" t="s">
        <v>20</v>
      </c>
      <c r="F77" s="232">
        <f t="shared" ref="F77:M77" si="40">SUM(F69:F76)</f>
        <v>770.86886596168711</v>
      </c>
      <c r="G77" s="232">
        <f t="shared" si="40"/>
        <v>824.6489253499318</v>
      </c>
      <c r="H77" s="232"/>
      <c r="I77" s="232"/>
      <c r="J77" s="232"/>
      <c r="K77" s="232"/>
      <c r="L77" s="232"/>
      <c r="M77" s="232"/>
      <c r="N77" s="232"/>
      <c r="O77" s="232"/>
    </row>
    <row r="78" spans="2:20" s="160" customFormat="1" x14ac:dyDescent="0.25">
      <c r="F78" s="59"/>
      <c r="G78" s="59">
        <f>IF(F77=0,"",G77/F77-1)</f>
        <v>6.9765509755219002E-2</v>
      </c>
      <c r="H78" s="59">
        <f>IF(G77=0,"",H77/G77-1)</f>
        <v>-1</v>
      </c>
      <c r="I78" s="59" t="str">
        <f>IF(H77=0,"",I77/H77-1)</f>
        <v/>
      </c>
      <c r="J78" s="59" t="str">
        <f>IF(I77=0,"",J77/I77-1)</f>
        <v/>
      </c>
      <c r="K78" s="59" t="str">
        <f>IF(J77=0,"",K77/J77-1)</f>
        <v/>
      </c>
      <c r="L78" s="59" t="str">
        <f>IF(J77=0,"",L77/J77-1)</f>
        <v/>
      </c>
      <c r="M78" s="59" t="str">
        <f>IF(K77=0,"",M77/K77-1)</f>
        <v/>
      </c>
      <c r="N78" s="59" t="str">
        <f>IF(L77=0,"",N77/L77-1)</f>
        <v/>
      </c>
      <c r="O78" s="59" t="str">
        <f>IF(M77=0,"",O77/M77-1)</f>
        <v/>
      </c>
    </row>
    <row r="79" spans="2:20" x14ac:dyDescent="0.25">
      <c r="F79" s="160"/>
      <c r="G79" s="160"/>
      <c r="H79" s="160"/>
      <c r="P79" s="160"/>
      <c r="Q79" s="160"/>
      <c r="R79" s="160"/>
      <c r="S79" s="160"/>
      <c r="T79" s="160"/>
    </row>
    <row r="80" spans="2:20" x14ac:dyDescent="0.25">
      <c r="B80" s="445"/>
      <c r="C80" s="445"/>
      <c r="D80" s="445"/>
      <c r="E80" s="445"/>
      <c r="F80" s="445"/>
      <c r="G80" s="445"/>
      <c r="H80" s="445"/>
      <c r="I80" s="445"/>
      <c r="J80" s="445"/>
      <c r="K80" s="445"/>
      <c r="L80" s="445"/>
      <c r="M80" s="445"/>
      <c r="N80" s="445"/>
      <c r="O80" s="445"/>
      <c r="P80" s="160"/>
      <c r="Q80" s="160"/>
      <c r="R80" s="160"/>
      <c r="S80" s="160"/>
      <c r="T80" s="160"/>
    </row>
    <row r="81" spans="2:20" s="160" customFormat="1" x14ac:dyDescent="0.25"/>
    <row r="82" spans="2:20" ht="13" x14ac:dyDescent="0.25">
      <c r="B82" s="220" t="s">
        <v>0</v>
      </c>
      <c r="C82" s="220" t="s">
        <v>242</v>
      </c>
      <c r="D82" s="4"/>
      <c r="E82" s="4"/>
      <c r="F82" s="160"/>
      <c r="G82" s="160"/>
      <c r="H82" s="160"/>
      <c r="N82" s="220" t="str">
        <f>B82</f>
        <v>Units</v>
      </c>
      <c r="O82" s="436" t="str">
        <f>C82</f>
        <v>WDM Global</v>
      </c>
      <c r="P82" s="160"/>
      <c r="Q82" s="160"/>
      <c r="R82" s="160"/>
      <c r="S82" s="160"/>
      <c r="T82" s="160"/>
    </row>
    <row r="83" spans="2:20" x14ac:dyDescent="0.25">
      <c r="B83" s="119" t="s">
        <v>19</v>
      </c>
      <c r="C83" s="119" t="s">
        <v>10</v>
      </c>
      <c r="D83" s="261" t="s">
        <v>11</v>
      </c>
      <c r="E83" s="119" t="s">
        <v>12</v>
      </c>
      <c r="F83" s="1">
        <v>2016</v>
      </c>
      <c r="G83" s="1">
        <v>2017</v>
      </c>
      <c r="H83" s="1">
        <v>2018</v>
      </c>
      <c r="I83" s="1">
        <v>2019</v>
      </c>
      <c r="J83" s="1">
        <v>2020</v>
      </c>
      <c r="K83" s="1">
        <v>2021</v>
      </c>
      <c r="L83" s="1">
        <v>2022</v>
      </c>
      <c r="M83" s="1">
        <v>2023</v>
      </c>
      <c r="N83" s="1">
        <v>2024</v>
      </c>
      <c r="O83" s="1">
        <v>2025</v>
      </c>
      <c r="P83" s="160"/>
      <c r="Q83" s="160"/>
      <c r="R83" s="160"/>
      <c r="S83" s="160"/>
      <c r="T83" s="160"/>
    </row>
    <row r="84" spans="2:20" x14ac:dyDescent="0.25">
      <c r="B84" s="425" t="s">
        <v>14</v>
      </c>
      <c r="C84" s="425" t="s">
        <v>210</v>
      </c>
      <c r="D84" s="425" t="s">
        <v>20</v>
      </c>
      <c r="E84" s="425" t="s">
        <v>20</v>
      </c>
      <c r="F84" s="711">
        <v>471337</v>
      </c>
      <c r="G84" s="711">
        <v>276574</v>
      </c>
      <c r="H84" s="711"/>
      <c r="I84" s="711"/>
      <c r="J84" s="711"/>
      <c r="K84" s="711"/>
      <c r="L84" s="711"/>
      <c r="M84" s="711"/>
      <c r="N84" s="711"/>
      <c r="O84" s="711"/>
      <c r="P84" s="160"/>
      <c r="Q84" s="2"/>
      <c r="R84" s="160"/>
      <c r="S84" s="160"/>
      <c r="T84" s="160"/>
    </row>
    <row r="85" spans="2:20" x14ac:dyDescent="0.25">
      <c r="B85" s="794" t="s">
        <v>27</v>
      </c>
      <c r="C85" s="424" t="s">
        <v>96</v>
      </c>
      <c r="D85" s="420" t="s">
        <v>20</v>
      </c>
      <c r="E85" s="424" t="s">
        <v>20</v>
      </c>
      <c r="F85" s="711">
        <v>93240</v>
      </c>
      <c r="G85" s="711">
        <v>55198</v>
      </c>
      <c r="H85" s="711"/>
      <c r="I85" s="711"/>
      <c r="J85" s="711"/>
      <c r="K85" s="711"/>
      <c r="L85" s="711"/>
      <c r="M85" s="711"/>
      <c r="N85" s="711"/>
      <c r="O85" s="711"/>
      <c r="P85" s="160"/>
      <c r="Q85" s="160"/>
      <c r="R85" s="160"/>
      <c r="S85" s="160"/>
      <c r="T85" s="160"/>
    </row>
    <row r="86" spans="2:20" x14ac:dyDescent="0.25">
      <c r="B86" s="795"/>
      <c r="C86" s="372" t="s">
        <v>68</v>
      </c>
      <c r="D86" s="425" t="s">
        <v>20</v>
      </c>
      <c r="E86" s="167" t="s">
        <v>20</v>
      </c>
      <c r="F86" s="711">
        <v>380025</v>
      </c>
      <c r="G86" s="711">
        <v>450781</v>
      </c>
      <c r="H86" s="711"/>
      <c r="I86" s="711"/>
      <c r="J86" s="711"/>
      <c r="K86" s="711"/>
      <c r="L86" s="711"/>
      <c r="M86" s="711"/>
      <c r="N86" s="711"/>
      <c r="O86" s="711"/>
      <c r="P86" s="160"/>
      <c r="Q86" s="160"/>
      <c r="R86" s="160"/>
      <c r="S86" s="160"/>
      <c r="T86" s="160"/>
    </row>
    <row r="87" spans="2:20" x14ac:dyDescent="0.25">
      <c r="B87" s="795"/>
      <c r="C87" s="424" t="s">
        <v>75</v>
      </c>
      <c r="D87" s="420" t="s">
        <v>20</v>
      </c>
      <c r="E87" s="420" t="s">
        <v>20</v>
      </c>
      <c r="F87" s="711">
        <v>2952</v>
      </c>
      <c r="G87" s="711">
        <v>334</v>
      </c>
      <c r="H87" s="711"/>
      <c r="I87" s="711"/>
      <c r="J87" s="711"/>
      <c r="K87" s="711"/>
      <c r="L87" s="711"/>
      <c r="M87" s="711"/>
      <c r="N87" s="711"/>
      <c r="O87" s="711"/>
      <c r="P87" s="160"/>
      <c r="Q87" s="160"/>
      <c r="R87" s="160"/>
      <c r="S87" s="160"/>
      <c r="T87" s="160"/>
    </row>
    <row r="88" spans="2:20" x14ac:dyDescent="0.25">
      <c r="B88" s="795"/>
      <c r="C88" s="498" t="s">
        <v>178</v>
      </c>
      <c r="D88" s="497" t="s">
        <v>20</v>
      </c>
      <c r="E88" s="497" t="s">
        <v>20</v>
      </c>
      <c r="F88" s="711">
        <v>70616</v>
      </c>
      <c r="G88" s="711">
        <v>94207</v>
      </c>
      <c r="H88" s="711"/>
      <c r="I88" s="711"/>
      <c r="J88" s="711"/>
      <c r="K88" s="711"/>
      <c r="L88" s="711"/>
      <c r="M88" s="711"/>
      <c r="N88" s="711"/>
      <c r="O88" s="711"/>
      <c r="P88" s="160"/>
      <c r="Q88" s="160"/>
      <c r="R88" s="160"/>
      <c r="S88" s="160"/>
      <c r="T88" s="160"/>
    </row>
    <row r="89" spans="2:20" x14ac:dyDescent="0.25">
      <c r="B89" s="795"/>
      <c r="C89" s="498" t="s">
        <v>159</v>
      </c>
      <c r="D89" s="497" t="s">
        <v>20</v>
      </c>
      <c r="E89" s="497" t="s">
        <v>20</v>
      </c>
      <c r="F89" s="711">
        <v>0</v>
      </c>
      <c r="G89" s="711">
        <v>16117</v>
      </c>
      <c r="H89" s="711"/>
      <c r="I89" s="711"/>
      <c r="J89" s="711"/>
      <c r="K89" s="711"/>
      <c r="L89" s="711"/>
      <c r="M89" s="711"/>
      <c r="N89" s="711"/>
      <c r="O89" s="711"/>
      <c r="P89" s="160"/>
    </row>
    <row r="90" spans="2:20" ht="12.5" customHeight="1" x14ac:dyDescent="0.25">
      <c r="B90" s="795"/>
      <c r="C90" s="203" t="s">
        <v>179</v>
      </c>
      <c r="D90" s="264" t="s">
        <v>20</v>
      </c>
      <c r="E90" s="500" t="s">
        <v>20</v>
      </c>
      <c r="F90" s="711">
        <v>0</v>
      </c>
      <c r="G90" s="711">
        <v>0</v>
      </c>
      <c r="H90" s="711"/>
      <c r="I90" s="711"/>
      <c r="J90" s="711"/>
      <c r="K90" s="711"/>
      <c r="L90" s="711"/>
      <c r="M90" s="711"/>
      <c r="N90" s="711"/>
      <c r="O90" s="711"/>
      <c r="P90" s="160"/>
    </row>
    <row r="91" spans="2:20" x14ac:dyDescent="0.25">
      <c r="B91" s="796"/>
      <c r="C91" s="223" t="s">
        <v>160</v>
      </c>
      <c r="D91" s="421"/>
      <c r="E91" s="423" t="s">
        <v>20</v>
      </c>
      <c r="F91" s="711">
        <v>14038</v>
      </c>
      <c r="G91" s="711">
        <v>12544</v>
      </c>
      <c r="H91" s="711"/>
      <c r="I91" s="711"/>
      <c r="J91" s="711"/>
      <c r="K91" s="711"/>
      <c r="L91" s="711"/>
      <c r="M91" s="711"/>
      <c r="N91" s="711"/>
      <c r="O91" s="711"/>
      <c r="P91" s="160"/>
    </row>
    <row r="92" spans="2:20" x14ac:dyDescent="0.25">
      <c r="B92" s="224" t="s">
        <v>28</v>
      </c>
      <c r="C92" s="424" t="s">
        <v>20</v>
      </c>
      <c r="D92" s="425" t="s">
        <v>20</v>
      </c>
      <c r="E92" s="424" t="s">
        <v>20</v>
      </c>
      <c r="F92" s="712">
        <f>SUM(F84:F91)</f>
        <v>1032208</v>
      </c>
      <c r="G92" s="712">
        <f t="shared" ref="G92:O92" si="41">SUM(G84:G91)</f>
        <v>905755</v>
      </c>
      <c r="H92" s="712"/>
      <c r="I92" s="712"/>
      <c r="J92" s="712"/>
      <c r="K92" s="712"/>
      <c r="L92" s="712"/>
      <c r="M92" s="712"/>
      <c r="N92" s="712"/>
      <c r="O92" s="712"/>
      <c r="P92" s="160"/>
    </row>
    <row r="93" spans="2:20" x14ac:dyDescent="0.25">
      <c r="B93" s="4"/>
      <c r="C93" s="4"/>
      <c r="D93" s="4"/>
      <c r="E93" s="160"/>
      <c r="F93" s="160"/>
      <c r="G93" s="160"/>
      <c r="H93" s="160"/>
      <c r="P93" s="160"/>
    </row>
    <row r="94" spans="2:20" ht="13" x14ac:dyDescent="0.25">
      <c r="B94" s="220" t="s">
        <v>53</v>
      </c>
      <c r="C94" s="220" t="str">
        <f>$C$82</f>
        <v>WDM Global</v>
      </c>
      <c r="D94" s="4"/>
      <c r="E94" s="4"/>
      <c r="F94" s="4"/>
      <c r="G94" s="4"/>
      <c r="H94" s="4"/>
      <c r="I94" s="4"/>
      <c r="J94" s="4"/>
      <c r="N94" s="220" t="str">
        <f>B94</f>
        <v>ASP ($)</v>
      </c>
      <c r="O94" s="436" t="str">
        <f>C94</f>
        <v>WDM Global</v>
      </c>
      <c r="P94" s="160"/>
    </row>
    <row r="95" spans="2:20" x14ac:dyDescent="0.25">
      <c r="B95" s="119" t="s">
        <v>19</v>
      </c>
      <c r="C95" s="119" t="s">
        <v>10</v>
      </c>
      <c r="D95" s="119" t="s">
        <v>11</v>
      </c>
      <c r="E95" s="119" t="s">
        <v>12</v>
      </c>
      <c r="F95" s="1">
        <v>2016</v>
      </c>
      <c r="G95" s="1">
        <v>2017</v>
      </c>
      <c r="H95" s="1">
        <v>2018</v>
      </c>
      <c r="I95" s="1">
        <v>2019</v>
      </c>
      <c r="J95" s="1">
        <v>2020</v>
      </c>
      <c r="K95" s="1">
        <v>2021</v>
      </c>
      <c r="L95" s="1">
        <v>2022</v>
      </c>
      <c r="M95" s="1">
        <v>2023</v>
      </c>
      <c r="N95" s="1">
        <v>2024</v>
      </c>
      <c r="O95" s="1">
        <v>2025</v>
      </c>
      <c r="P95" s="160"/>
    </row>
    <row r="96" spans="2:20" x14ac:dyDescent="0.25">
      <c r="B96" s="425" t="str">
        <f>B84</f>
        <v>CWDM</v>
      </c>
      <c r="C96" s="425" t="str">
        <f>C84</f>
        <v xml:space="preserve">1-10 Gbps </v>
      </c>
      <c r="D96" s="425" t="str">
        <f>D84</f>
        <v>All</v>
      </c>
      <c r="E96" s="425" t="str">
        <f>E84</f>
        <v>All</v>
      </c>
      <c r="F96" s="142">
        <f t="shared" ref="F96:M96" si="42">10^6*F107/F84</f>
        <v>160.64458025949554</v>
      </c>
      <c r="G96" s="142">
        <f t="shared" si="42"/>
        <v>167.5486886159575</v>
      </c>
      <c r="H96" s="142"/>
      <c r="I96" s="142"/>
      <c r="J96" s="142"/>
      <c r="K96" s="142"/>
      <c r="L96" s="142"/>
      <c r="M96" s="142"/>
      <c r="N96" s="142"/>
      <c r="O96" s="142"/>
      <c r="P96" s="160"/>
    </row>
    <row r="97" spans="2:16" x14ac:dyDescent="0.25">
      <c r="B97" s="794" t="str">
        <f>B85</f>
        <v>DWDM</v>
      </c>
      <c r="C97" s="424" t="str">
        <f>C85</f>
        <v>2.5 Gbps</v>
      </c>
      <c r="D97" s="420" t="str">
        <f>D85</f>
        <v>All</v>
      </c>
      <c r="E97" s="424" t="s">
        <v>20</v>
      </c>
      <c r="F97" s="316">
        <f t="shared" ref="F97:M97" si="43">10^6*F108/F85</f>
        <v>268.71489725439727</v>
      </c>
      <c r="G97" s="316">
        <f t="shared" si="43"/>
        <v>262.99268089423526</v>
      </c>
      <c r="H97" s="316"/>
      <c r="I97" s="316"/>
      <c r="J97" s="316"/>
      <c r="K97" s="316"/>
      <c r="L97" s="316"/>
      <c r="M97" s="316"/>
      <c r="N97" s="316"/>
      <c r="O97" s="316"/>
      <c r="P97" s="160"/>
    </row>
    <row r="98" spans="2:16" x14ac:dyDescent="0.25">
      <c r="B98" s="795"/>
      <c r="C98" s="372" t="str">
        <f>C86</f>
        <v>10 Gbps</v>
      </c>
      <c r="D98" s="425" t="str">
        <f>D86</f>
        <v>All</v>
      </c>
      <c r="E98" s="167" t="str">
        <f>E86</f>
        <v>All</v>
      </c>
      <c r="F98" s="142">
        <f t="shared" ref="F98:M98" si="44">10^6*F109/F86</f>
        <v>583.05115030054333</v>
      </c>
      <c r="G98" s="142">
        <f>10^6*G109/G86</f>
        <v>514.26755322650411</v>
      </c>
      <c r="H98" s="142"/>
      <c r="I98" s="142"/>
      <c r="J98" s="142"/>
      <c r="K98" s="142"/>
      <c r="L98" s="142"/>
      <c r="M98" s="142"/>
      <c r="N98" s="142"/>
      <c r="O98" s="142"/>
      <c r="P98" s="160"/>
    </row>
    <row r="99" spans="2:16" x14ac:dyDescent="0.25">
      <c r="B99" s="795"/>
      <c r="C99" s="424" t="str">
        <f>C87</f>
        <v>40 Gbps</v>
      </c>
      <c r="D99" s="420" t="str">
        <f>D87</f>
        <v>All</v>
      </c>
      <c r="E99" s="424" t="s">
        <v>20</v>
      </c>
      <c r="F99" s="316">
        <f>10^6*F110/F87</f>
        <v>9064.4821883468849</v>
      </c>
      <c r="G99" s="316">
        <f>10^6*G110/G87</f>
        <v>6724.5508982035926</v>
      </c>
      <c r="H99" s="316"/>
      <c r="I99" s="316"/>
      <c r="J99" s="316"/>
      <c r="K99" s="316"/>
      <c r="L99" s="316"/>
      <c r="M99" s="316"/>
      <c r="N99" s="316"/>
      <c r="O99" s="316"/>
      <c r="P99" s="160"/>
    </row>
    <row r="100" spans="2:16" x14ac:dyDescent="0.25">
      <c r="B100" s="795"/>
      <c r="C100" s="498" t="s">
        <v>178</v>
      </c>
      <c r="D100" s="497" t="s">
        <v>20</v>
      </c>
      <c r="E100" s="497" t="s">
        <v>20</v>
      </c>
      <c r="F100" s="188">
        <f t="shared" ref="F100:M100" si="45">10^6*F111/F88</f>
        <v>9433.1597290982209</v>
      </c>
      <c r="G100" s="188">
        <f>10^6*G111/G88</f>
        <v>5971.1935418811754</v>
      </c>
      <c r="H100" s="188"/>
      <c r="I100" s="188"/>
      <c r="J100" s="188"/>
      <c r="K100" s="188"/>
      <c r="L100" s="188"/>
      <c r="M100" s="188"/>
      <c r="N100" s="188"/>
      <c r="O100" s="188"/>
      <c r="P100" s="160"/>
    </row>
    <row r="101" spans="2:16" x14ac:dyDescent="0.25">
      <c r="B101" s="795"/>
      <c r="C101" s="498" t="s">
        <v>159</v>
      </c>
      <c r="D101" s="497" t="s">
        <v>20</v>
      </c>
      <c r="E101" s="497" t="s">
        <v>20</v>
      </c>
      <c r="F101" s="188"/>
      <c r="G101" s="188">
        <f t="shared" ref="G101:M101" si="46">10^6*G112/G89</f>
        <v>7372.2777191785071</v>
      </c>
      <c r="H101" s="188"/>
      <c r="I101" s="188"/>
      <c r="J101" s="188"/>
      <c r="K101" s="188"/>
      <c r="L101" s="188"/>
      <c r="M101" s="188"/>
      <c r="N101" s="188"/>
      <c r="O101" s="188"/>
      <c r="P101" s="160"/>
    </row>
    <row r="102" spans="2:16" ht="12.5" customHeight="1" x14ac:dyDescent="0.25">
      <c r="B102" s="795"/>
      <c r="C102" s="203" t="s">
        <v>179</v>
      </c>
      <c r="D102" s="264" t="s">
        <v>20</v>
      </c>
      <c r="E102" s="500" t="s">
        <v>20</v>
      </c>
      <c r="F102" s="188"/>
      <c r="G102" s="188"/>
      <c r="H102" s="188"/>
      <c r="I102" s="188"/>
      <c r="J102" s="188"/>
      <c r="K102" s="188"/>
      <c r="L102" s="188"/>
      <c r="M102" s="188"/>
      <c r="N102" s="188"/>
      <c r="O102" s="188"/>
      <c r="P102" s="160"/>
    </row>
    <row r="103" spans="2:16" x14ac:dyDescent="0.25">
      <c r="B103" s="796"/>
      <c r="C103" s="223" t="str">
        <f>C91</f>
        <v>1-10Gbps discontinued products</v>
      </c>
      <c r="D103" s="421"/>
      <c r="E103" s="423" t="s">
        <v>20</v>
      </c>
      <c r="F103" s="142">
        <f t="shared" ref="F102:M103" si="47">10^6*F114/F91</f>
        <v>187.90436009077925</v>
      </c>
      <c r="G103" s="142">
        <f t="shared" si="47"/>
        <v>213.89333545918367</v>
      </c>
      <c r="H103" s="142"/>
      <c r="I103" s="142"/>
      <c r="J103" s="142"/>
      <c r="K103" s="142"/>
      <c r="L103" s="142"/>
      <c r="M103" s="142"/>
      <c r="N103" s="142"/>
      <c r="O103" s="142"/>
      <c r="P103" s="160"/>
    </row>
    <row r="104" spans="2:16" x14ac:dyDescent="0.25">
      <c r="B104" s="160"/>
      <c r="C104" s="160"/>
      <c r="D104" s="160"/>
      <c r="E104" s="160"/>
      <c r="F104" s="160"/>
      <c r="G104" s="160"/>
      <c r="H104" s="160"/>
      <c r="P104" s="160"/>
    </row>
    <row r="105" spans="2:16" ht="13" x14ac:dyDescent="0.25">
      <c r="B105" s="220" t="s">
        <v>1</v>
      </c>
      <c r="C105" s="436" t="str">
        <f>C94</f>
        <v>WDM Global</v>
      </c>
      <c r="D105" s="4"/>
      <c r="E105" s="4"/>
      <c r="F105" s="160"/>
      <c r="G105" s="160"/>
      <c r="H105" s="160"/>
      <c r="N105" s="220" t="str">
        <f>B105</f>
        <v>Sales ($M)</v>
      </c>
      <c r="O105" s="436" t="str">
        <f>C105</f>
        <v>WDM Global</v>
      </c>
      <c r="P105" s="160"/>
    </row>
    <row r="106" spans="2:16" x14ac:dyDescent="0.25">
      <c r="B106" s="119" t="s">
        <v>19</v>
      </c>
      <c r="C106" s="119" t="s">
        <v>10</v>
      </c>
      <c r="D106" s="119" t="s">
        <v>11</v>
      </c>
      <c r="E106" s="119" t="s">
        <v>12</v>
      </c>
      <c r="F106" s="1">
        <v>2016</v>
      </c>
      <c r="G106" s="1">
        <v>2017</v>
      </c>
      <c r="H106" s="7">
        <v>2018</v>
      </c>
      <c r="I106" s="7">
        <v>2019</v>
      </c>
      <c r="J106" s="7">
        <v>2020</v>
      </c>
      <c r="K106" s="7">
        <v>2021</v>
      </c>
      <c r="L106" s="7">
        <v>2022</v>
      </c>
      <c r="M106" s="7">
        <v>2023</v>
      </c>
      <c r="N106" s="7">
        <v>2024</v>
      </c>
      <c r="O106" s="7">
        <v>2025</v>
      </c>
      <c r="P106" s="160"/>
    </row>
    <row r="107" spans="2:16" x14ac:dyDescent="0.25">
      <c r="B107" s="425" t="str">
        <f>B84</f>
        <v>CWDM</v>
      </c>
      <c r="C107" s="425" t="str">
        <f>C84</f>
        <v xml:space="preserve">1-10 Gbps </v>
      </c>
      <c r="D107" s="425" t="str">
        <f>D84</f>
        <v>All</v>
      </c>
      <c r="E107" s="425" t="str">
        <f>E84</f>
        <v>All</v>
      </c>
      <c r="F107" s="543">
        <v>75.717734525769842</v>
      </c>
      <c r="G107" s="543">
        <v>46.33961100526983</v>
      </c>
      <c r="H107" s="543"/>
      <c r="I107" s="543"/>
      <c r="J107" s="543"/>
      <c r="K107" s="543"/>
      <c r="L107" s="543"/>
      <c r="M107" s="543"/>
      <c r="N107" s="543"/>
      <c r="O107" s="543"/>
      <c r="P107" s="160"/>
    </row>
    <row r="108" spans="2:16" x14ac:dyDescent="0.25">
      <c r="B108" s="794" t="s">
        <v>27</v>
      </c>
      <c r="C108" s="424" t="s">
        <v>96</v>
      </c>
      <c r="D108" s="420" t="s">
        <v>20</v>
      </c>
      <c r="E108" s="424" t="s">
        <v>20</v>
      </c>
      <c r="F108" s="713">
        <v>25.054977020000003</v>
      </c>
      <c r="G108" s="713">
        <v>14.516669999999998</v>
      </c>
      <c r="H108" s="713"/>
      <c r="I108" s="713"/>
      <c r="J108" s="713"/>
      <c r="K108" s="713"/>
      <c r="L108" s="713"/>
      <c r="M108" s="713"/>
      <c r="N108" s="713"/>
      <c r="O108" s="713"/>
      <c r="P108" s="160"/>
    </row>
    <row r="109" spans="2:16" x14ac:dyDescent="0.25">
      <c r="B109" s="795"/>
      <c r="C109" s="372" t="str">
        <f>C86</f>
        <v>10 Gbps</v>
      </c>
      <c r="D109" s="425" t="str">
        <f>D86</f>
        <v>All</v>
      </c>
      <c r="E109" s="167" t="str">
        <f>E86</f>
        <v>All</v>
      </c>
      <c r="F109" s="713">
        <v>221.57401339296396</v>
      </c>
      <c r="G109" s="713">
        <v>231.82204191099677</v>
      </c>
      <c r="H109" s="713"/>
      <c r="I109" s="713"/>
      <c r="J109" s="713"/>
      <c r="K109" s="713"/>
      <c r="L109" s="713"/>
      <c r="M109" s="713"/>
      <c r="N109" s="713"/>
      <c r="O109" s="713"/>
      <c r="P109" s="160"/>
    </row>
    <row r="110" spans="2:16" x14ac:dyDescent="0.25">
      <c r="B110" s="795"/>
      <c r="C110" s="424" t="s">
        <v>75</v>
      </c>
      <c r="D110" s="420" t="s">
        <v>20</v>
      </c>
      <c r="E110" s="424" t="s">
        <v>20</v>
      </c>
      <c r="F110" s="713">
        <v>26.758351420000004</v>
      </c>
      <c r="G110" s="713">
        <v>2.246</v>
      </c>
      <c r="H110" s="713"/>
      <c r="I110" s="713"/>
      <c r="J110" s="713"/>
      <c r="K110" s="713"/>
      <c r="L110" s="713"/>
      <c r="M110" s="713"/>
      <c r="N110" s="713"/>
      <c r="O110" s="713"/>
      <c r="P110" s="160"/>
    </row>
    <row r="111" spans="2:16" x14ac:dyDescent="0.25">
      <c r="B111" s="795"/>
      <c r="C111" s="498" t="s">
        <v>178</v>
      </c>
      <c r="D111" s="497" t="s">
        <v>20</v>
      </c>
      <c r="E111" s="497" t="s">
        <v>20</v>
      </c>
      <c r="F111" s="713">
        <v>666.13200742999993</v>
      </c>
      <c r="G111" s="713">
        <v>562.52822999999989</v>
      </c>
      <c r="H111" s="713"/>
      <c r="I111" s="713"/>
      <c r="J111" s="713"/>
      <c r="K111" s="713"/>
      <c r="L111" s="713"/>
      <c r="M111" s="713"/>
      <c r="N111" s="713"/>
      <c r="O111" s="713"/>
      <c r="P111" s="160"/>
    </row>
    <row r="112" spans="2:16" x14ac:dyDescent="0.25">
      <c r="B112" s="795"/>
      <c r="C112" s="498" t="s">
        <v>159</v>
      </c>
      <c r="D112" s="497" t="s">
        <v>20</v>
      </c>
      <c r="E112" s="497" t="s">
        <v>20</v>
      </c>
      <c r="F112" s="713">
        <v>0</v>
      </c>
      <c r="G112" s="713">
        <v>118.819</v>
      </c>
      <c r="H112" s="713"/>
      <c r="I112" s="713"/>
      <c r="J112" s="713"/>
      <c r="K112" s="713"/>
      <c r="L112" s="713"/>
      <c r="M112" s="713"/>
      <c r="N112" s="713"/>
      <c r="O112" s="713"/>
      <c r="P112" s="160"/>
    </row>
    <row r="113" spans="2:16" ht="12.5" customHeight="1" x14ac:dyDescent="0.25">
      <c r="B113" s="795"/>
      <c r="C113" s="203" t="s">
        <v>179</v>
      </c>
      <c r="D113" s="264" t="s">
        <v>20</v>
      </c>
      <c r="E113" s="500" t="s">
        <v>20</v>
      </c>
      <c r="F113" s="713">
        <v>0</v>
      </c>
      <c r="G113" s="713">
        <v>0</v>
      </c>
      <c r="H113" s="713"/>
      <c r="I113" s="713"/>
      <c r="J113" s="713"/>
      <c r="K113" s="713"/>
      <c r="L113" s="713"/>
      <c r="M113" s="713"/>
      <c r="N113" s="713"/>
      <c r="O113" s="713"/>
      <c r="P113" s="160"/>
    </row>
    <row r="114" spans="2:16" x14ac:dyDescent="0.25">
      <c r="B114" s="796"/>
      <c r="C114" s="315" t="str">
        <f>C91</f>
        <v>1-10Gbps discontinued products</v>
      </c>
      <c r="D114" s="421"/>
      <c r="E114" s="423" t="s">
        <v>20</v>
      </c>
      <c r="F114" s="713">
        <v>2.6378014069543592</v>
      </c>
      <c r="G114" s="713">
        <v>2.6830780000000001</v>
      </c>
      <c r="H114" s="713"/>
      <c r="I114" s="713"/>
      <c r="J114" s="713"/>
      <c r="K114" s="713"/>
      <c r="L114" s="713"/>
      <c r="M114" s="713"/>
      <c r="N114" s="713"/>
      <c r="O114" s="713"/>
      <c r="P114" s="160"/>
    </row>
    <row r="115" spans="2:16" x14ac:dyDescent="0.25">
      <c r="B115" s="224" t="s">
        <v>28</v>
      </c>
      <c r="C115" s="424" t="s">
        <v>20</v>
      </c>
      <c r="D115" s="425" t="s">
        <v>20</v>
      </c>
      <c r="E115" s="424" t="s">
        <v>20</v>
      </c>
      <c r="F115" s="272">
        <f>SUM(F107:F114)</f>
        <v>1017.8748851956882</v>
      </c>
      <c r="G115" s="272">
        <f t="shared" ref="G115:O115" si="48">SUM(G107:G114)</f>
        <v>978.95463091626652</v>
      </c>
      <c r="H115" s="272"/>
      <c r="I115" s="272"/>
      <c r="J115" s="272"/>
      <c r="K115" s="272"/>
      <c r="L115" s="272"/>
      <c r="M115" s="272"/>
      <c r="N115" s="272"/>
      <c r="O115" s="272"/>
      <c r="P115" s="160"/>
    </row>
    <row r="116" spans="2:16" x14ac:dyDescent="0.25">
      <c r="B116" s="160"/>
      <c r="C116" s="160"/>
      <c r="D116" s="160"/>
      <c r="E116" s="160"/>
      <c r="F116" s="160"/>
      <c r="G116" s="160"/>
      <c r="H116" s="160"/>
      <c r="P116" s="160"/>
    </row>
  </sheetData>
  <mergeCells count="10">
    <mergeCell ref="Q9:Q15"/>
    <mergeCell ref="B108:B114"/>
    <mergeCell ref="B97:B103"/>
    <mergeCell ref="B85:B91"/>
    <mergeCell ref="B47:B53"/>
    <mergeCell ref="B59:B65"/>
    <mergeCell ref="B70:B76"/>
    <mergeCell ref="B9:B15"/>
    <mergeCell ref="B21:B27"/>
    <mergeCell ref="B32:B3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Z73"/>
  <sheetViews>
    <sheetView showGridLines="0" zoomScale="70" zoomScaleNormal="70" zoomScalePageLayoutView="70" workbookViewId="0">
      <selection activeCell="F71" sqref="F71:M73"/>
    </sheetView>
  </sheetViews>
  <sheetFormatPr defaultColWidth="9.1796875" defaultRowHeight="12.5" x14ac:dyDescent="0.25"/>
  <cols>
    <col min="1" max="1" width="4.453125" style="160" customWidth="1"/>
    <col min="2" max="3" width="12.1796875" style="160" customWidth="1"/>
    <col min="4" max="13" width="12.6328125" style="160" customWidth="1"/>
    <col min="14" max="14" width="14.6328125" style="160" customWidth="1"/>
    <col min="15" max="15" width="10.81640625" style="160" customWidth="1"/>
    <col min="16" max="16" width="14.81640625" style="160" customWidth="1"/>
    <col min="17" max="16384" width="9.1796875" style="160"/>
  </cols>
  <sheetData>
    <row r="2" spans="2:26" ht="18" x14ac:dyDescent="0.4">
      <c r="B2" s="76" t="str">
        <f>Introduction!B2</f>
        <v>LightCounting Optical Components Market Forecast for China</v>
      </c>
    </row>
    <row r="3" spans="2:26" ht="15.5" x14ac:dyDescent="0.35">
      <c r="B3" s="215" t="str">
        <f>Introduction!B3</f>
        <v>January 25, 2021 - sample only - for illustrative purposes</v>
      </c>
    </row>
    <row r="4" spans="2:26" ht="15.5" x14ac:dyDescent="0.25">
      <c r="B4" s="218" t="s">
        <v>287</v>
      </c>
    </row>
    <row r="5" spans="2:26" ht="13" x14ac:dyDescent="0.25">
      <c r="L5" s="220"/>
      <c r="M5" s="220"/>
    </row>
    <row r="6" spans="2:26" ht="15.5" x14ac:dyDescent="0.35">
      <c r="B6" s="220" t="s">
        <v>0</v>
      </c>
      <c r="C6" s="221" t="s">
        <v>294</v>
      </c>
      <c r="E6" s="370"/>
      <c r="L6" s="571"/>
      <c r="M6" s="571" t="str">
        <f>C6</f>
        <v>WDM ports - China</v>
      </c>
      <c r="O6" s="273" t="s">
        <v>246</v>
      </c>
      <c r="P6" s="4"/>
      <c r="Q6" s="370"/>
    </row>
    <row r="7" spans="2:26" x14ac:dyDescent="0.25">
      <c r="B7" s="122" t="s">
        <v>19</v>
      </c>
      <c r="C7" s="122" t="s">
        <v>10</v>
      </c>
      <c r="D7" s="1">
        <v>2016</v>
      </c>
      <c r="E7" s="1">
        <v>2017</v>
      </c>
      <c r="F7" s="1">
        <v>2018</v>
      </c>
      <c r="G7" s="1">
        <v>2019</v>
      </c>
      <c r="H7" s="1">
        <v>2020</v>
      </c>
      <c r="I7" s="1">
        <v>2021</v>
      </c>
      <c r="J7" s="1">
        <v>2022</v>
      </c>
      <c r="K7" s="1">
        <v>2023</v>
      </c>
      <c r="L7" s="1">
        <v>2024</v>
      </c>
      <c r="M7" s="1">
        <v>2025</v>
      </c>
      <c r="O7" s="119" t="s">
        <v>19</v>
      </c>
      <c r="P7" s="119" t="s">
        <v>10</v>
      </c>
      <c r="Q7" s="1">
        <v>2016</v>
      </c>
      <c r="R7" s="1">
        <v>2017</v>
      </c>
      <c r="S7" s="1">
        <v>2018</v>
      </c>
      <c r="T7" s="1">
        <v>2019</v>
      </c>
      <c r="U7" s="1">
        <v>2020</v>
      </c>
      <c r="V7" s="1">
        <v>2021</v>
      </c>
      <c r="W7" s="1">
        <v>2022</v>
      </c>
      <c r="X7" s="1">
        <v>2023</v>
      </c>
      <c r="Y7" s="1">
        <v>2024</v>
      </c>
      <c r="Z7" s="1">
        <v>2025</v>
      </c>
    </row>
    <row r="8" spans="2:26" x14ac:dyDescent="0.25">
      <c r="B8" s="462" t="s">
        <v>14</v>
      </c>
      <c r="C8" s="462" t="s">
        <v>59</v>
      </c>
      <c r="D8" s="707">
        <v>169680.78000000003</v>
      </c>
      <c r="E8" s="707">
        <v>102332.38000000002</v>
      </c>
      <c r="F8" s="707"/>
      <c r="G8" s="707"/>
      <c r="H8" s="707"/>
      <c r="I8" s="707"/>
      <c r="J8" s="707"/>
      <c r="K8" s="707"/>
      <c r="L8" s="707"/>
      <c r="M8" s="707"/>
      <c r="O8" s="459" t="s">
        <v>14</v>
      </c>
      <c r="P8" s="459" t="s">
        <v>59</v>
      </c>
      <c r="Q8" s="456">
        <f t="shared" ref="Q8:Z14" si="0">IF(D8=0,"",D8/D30)</f>
        <v>0.36000000000000004</v>
      </c>
      <c r="R8" s="456">
        <f t="shared" si="0"/>
        <v>0.37000000000000005</v>
      </c>
      <c r="S8" s="456" t="str">
        <f t="shared" si="0"/>
        <v/>
      </c>
      <c r="T8" s="456" t="str">
        <f t="shared" si="0"/>
        <v/>
      </c>
      <c r="U8" s="456" t="str">
        <f t="shared" si="0"/>
        <v/>
      </c>
      <c r="V8" s="456" t="str">
        <f t="shared" si="0"/>
        <v/>
      </c>
      <c r="W8" s="456" t="str">
        <f t="shared" si="0"/>
        <v/>
      </c>
      <c r="X8" s="456" t="str">
        <f t="shared" si="0"/>
        <v/>
      </c>
      <c r="Y8" s="456" t="str">
        <f t="shared" si="0"/>
        <v/>
      </c>
      <c r="Z8" s="456" t="str">
        <f t="shared" si="0"/>
        <v/>
      </c>
    </row>
    <row r="9" spans="2:26" x14ac:dyDescent="0.25">
      <c r="B9" s="264" t="s">
        <v>27</v>
      </c>
      <c r="C9" s="464" t="s">
        <v>291</v>
      </c>
      <c r="D9" s="707">
        <v>32476.853932584272</v>
      </c>
      <c r="E9" s="707">
        <v>19846.471910112363</v>
      </c>
      <c r="F9" s="707"/>
      <c r="G9" s="707"/>
      <c r="H9" s="707"/>
      <c r="I9" s="707"/>
      <c r="J9" s="707"/>
      <c r="K9" s="707"/>
      <c r="L9" s="707"/>
      <c r="M9" s="707"/>
      <c r="O9" s="460" t="s">
        <v>27</v>
      </c>
      <c r="P9" s="461" t="s">
        <v>291</v>
      </c>
      <c r="Q9" s="456">
        <f t="shared" si="0"/>
        <v>0.31000000000000005</v>
      </c>
      <c r="R9" s="456">
        <f t="shared" si="0"/>
        <v>0.32000000000000006</v>
      </c>
      <c r="S9" s="456" t="str">
        <f t="shared" si="0"/>
        <v/>
      </c>
      <c r="T9" s="456" t="str">
        <f t="shared" si="0"/>
        <v/>
      </c>
      <c r="U9" s="456" t="str">
        <f t="shared" si="0"/>
        <v/>
      </c>
      <c r="V9" s="456" t="str">
        <f t="shared" si="0"/>
        <v/>
      </c>
      <c r="W9" s="456" t="str">
        <f t="shared" si="0"/>
        <v/>
      </c>
      <c r="X9" s="456" t="str">
        <f t="shared" si="0"/>
        <v/>
      </c>
      <c r="Y9" s="456" t="str">
        <f t="shared" si="0"/>
        <v/>
      </c>
      <c r="Z9" s="456" t="str">
        <f t="shared" si="0"/>
        <v/>
      </c>
    </row>
    <row r="10" spans="2:26" ht="16" customHeight="1" x14ac:dyDescent="0.25">
      <c r="B10" s="264" t="s">
        <v>27</v>
      </c>
      <c r="C10" s="465" t="s">
        <v>292</v>
      </c>
      <c r="D10" s="707">
        <v>154385.15625000003</v>
      </c>
      <c r="E10" s="707">
        <v>165593.02040816331</v>
      </c>
      <c r="F10" s="707"/>
      <c r="G10" s="707"/>
      <c r="H10" s="707"/>
      <c r="I10" s="707"/>
      <c r="J10" s="707"/>
      <c r="K10" s="707"/>
      <c r="L10" s="707"/>
      <c r="M10" s="707"/>
      <c r="O10" s="460" t="s">
        <v>27</v>
      </c>
      <c r="P10" s="372" t="s">
        <v>292</v>
      </c>
      <c r="Q10" s="456">
        <f t="shared" si="0"/>
        <v>0.26000000000000006</v>
      </c>
      <c r="R10" s="456">
        <f t="shared" si="0"/>
        <v>0.27000000000000007</v>
      </c>
      <c r="S10" s="456" t="str">
        <f t="shared" si="0"/>
        <v/>
      </c>
      <c r="T10" s="456" t="str">
        <f t="shared" si="0"/>
        <v/>
      </c>
      <c r="U10" s="456" t="str">
        <f t="shared" si="0"/>
        <v/>
      </c>
      <c r="V10" s="456" t="str">
        <f t="shared" si="0"/>
        <v/>
      </c>
      <c r="W10" s="456" t="str">
        <f t="shared" si="0"/>
        <v/>
      </c>
      <c r="X10" s="456" t="str">
        <f t="shared" si="0"/>
        <v/>
      </c>
      <c r="Y10" s="456" t="str">
        <f t="shared" si="0"/>
        <v/>
      </c>
      <c r="Z10" s="456" t="str">
        <f t="shared" si="0"/>
        <v/>
      </c>
    </row>
    <row r="11" spans="2:26" x14ac:dyDescent="0.25">
      <c r="B11" s="264" t="s">
        <v>27</v>
      </c>
      <c r="C11" s="464" t="s">
        <v>293</v>
      </c>
      <c r="D11" s="707">
        <v>4264</v>
      </c>
      <c r="E11" s="707">
        <v>501</v>
      </c>
      <c r="F11" s="707"/>
      <c r="G11" s="707"/>
      <c r="H11" s="707"/>
      <c r="I11" s="707"/>
      <c r="J11" s="707"/>
      <c r="K11" s="707"/>
      <c r="L11" s="707"/>
      <c r="M11" s="707"/>
      <c r="O11" s="460" t="s">
        <v>27</v>
      </c>
      <c r="P11" s="461" t="s">
        <v>293</v>
      </c>
      <c r="Q11" s="456">
        <f t="shared" si="0"/>
        <v>0.26000000000000006</v>
      </c>
      <c r="R11" s="456">
        <f t="shared" si="0"/>
        <v>0.27000000000000007</v>
      </c>
      <c r="S11" s="456" t="str">
        <f t="shared" si="0"/>
        <v/>
      </c>
      <c r="T11" s="456" t="str">
        <f t="shared" si="0"/>
        <v/>
      </c>
      <c r="U11" s="456" t="str">
        <f t="shared" si="0"/>
        <v/>
      </c>
      <c r="V11" s="456" t="str">
        <f t="shared" si="0"/>
        <v/>
      </c>
      <c r="W11" s="456" t="str">
        <f t="shared" si="0"/>
        <v/>
      </c>
      <c r="X11" s="456" t="str">
        <f t="shared" si="0"/>
        <v/>
      </c>
      <c r="Y11" s="456" t="str">
        <f t="shared" si="0"/>
        <v/>
      </c>
      <c r="Z11" s="456" t="str">
        <f t="shared" si="0"/>
        <v/>
      </c>
    </row>
    <row r="12" spans="2:26" x14ac:dyDescent="0.25">
      <c r="B12" s="264" t="s">
        <v>27</v>
      </c>
      <c r="C12" s="465" t="s">
        <v>26</v>
      </c>
      <c r="D12" s="714">
        <v>86832</v>
      </c>
      <c r="E12" s="714">
        <v>110000</v>
      </c>
      <c r="F12" s="714"/>
      <c r="G12" s="714"/>
      <c r="H12" s="714"/>
      <c r="I12" s="714"/>
      <c r="J12" s="714"/>
      <c r="K12" s="714"/>
      <c r="L12" s="714"/>
      <c r="M12" s="714"/>
      <c r="O12" s="460" t="s">
        <v>27</v>
      </c>
      <c r="P12" s="203" t="s">
        <v>26</v>
      </c>
      <c r="Q12" s="456">
        <f t="shared" si="0"/>
        <v>0.27822921740022044</v>
      </c>
      <c r="R12" s="456">
        <f t="shared" si="0"/>
        <v>0.31621098746942095</v>
      </c>
      <c r="S12" s="456" t="str">
        <f t="shared" si="0"/>
        <v/>
      </c>
      <c r="T12" s="456" t="str">
        <f t="shared" si="0"/>
        <v/>
      </c>
      <c r="U12" s="456" t="str">
        <f t="shared" si="0"/>
        <v/>
      </c>
      <c r="V12" s="456" t="str">
        <f t="shared" si="0"/>
        <v/>
      </c>
      <c r="W12" s="456" t="str">
        <f t="shared" si="0"/>
        <v/>
      </c>
      <c r="X12" s="456" t="str">
        <f t="shared" si="0"/>
        <v/>
      </c>
      <c r="Y12" s="456" t="str">
        <f t="shared" si="0"/>
        <v/>
      </c>
      <c r="Z12" s="456" t="str">
        <f t="shared" si="0"/>
        <v/>
      </c>
    </row>
    <row r="13" spans="2:26" x14ac:dyDescent="0.25">
      <c r="B13" s="264" t="s">
        <v>27</v>
      </c>
      <c r="C13" s="465" t="s">
        <v>159</v>
      </c>
      <c r="D13" s="714">
        <v>0</v>
      </c>
      <c r="E13" s="714">
        <v>2000</v>
      </c>
      <c r="F13" s="714"/>
      <c r="G13" s="714"/>
      <c r="H13" s="714"/>
      <c r="I13" s="714"/>
      <c r="J13" s="714"/>
      <c r="K13" s="714"/>
      <c r="L13" s="714"/>
      <c r="M13" s="714"/>
      <c r="O13" s="460" t="s">
        <v>27</v>
      </c>
      <c r="P13" s="203" t="s">
        <v>159</v>
      </c>
      <c r="Q13" s="456" t="str">
        <f t="shared" si="0"/>
        <v/>
      </c>
      <c r="R13" s="456">
        <f t="shared" si="0"/>
        <v>4.3956043956043959E-2</v>
      </c>
      <c r="S13" s="456" t="str">
        <f t="shared" si="0"/>
        <v/>
      </c>
      <c r="T13" s="456" t="str">
        <f t="shared" si="0"/>
        <v/>
      </c>
      <c r="U13" s="456" t="str">
        <f t="shared" si="0"/>
        <v/>
      </c>
      <c r="V13" s="456" t="str">
        <f t="shared" si="0"/>
        <v/>
      </c>
      <c r="W13" s="456" t="str">
        <f t="shared" si="0"/>
        <v/>
      </c>
      <c r="X13" s="456" t="str">
        <f t="shared" si="0"/>
        <v/>
      </c>
      <c r="Y13" s="456" t="str">
        <f t="shared" si="0"/>
        <v/>
      </c>
      <c r="Z13" s="456" t="str">
        <f t="shared" si="0"/>
        <v/>
      </c>
    </row>
    <row r="14" spans="2:26" x14ac:dyDescent="0.25">
      <c r="B14" s="264" t="s">
        <v>27</v>
      </c>
      <c r="C14" s="255" t="s">
        <v>95</v>
      </c>
      <c r="D14" s="714">
        <v>0</v>
      </c>
      <c r="E14" s="714">
        <v>0</v>
      </c>
      <c r="F14" s="714"/>
      <c r="G14" s="714"/>
      <c r="H14" s="714"/>
      <c r="I14" s="714"/>
      <c r="J14" s="714"/>
      <c r="K14" s="714"/>
      <c r="L14" s="714"/>
      <c r="M14" s="714"/>
      <c r="O14" s="462" t="s">
        <v>27</v>
      </c>
      <c r="P14" s="203" t="s">
        <v>95</v>
      </c>
      <c r="Q14" s="456" t="str">
        <f t="shared" si="0"/>
        <v/>
      </c>
      <c r="R14" s="456" t="str">
        <f t="shared" si="0"/>
        <v/>
      </c>
      <c r="S14" s="456" t="str">
        <f t="shared" si="0"/>
        <v/>
      </c>
      <c r="T14" s="456" t="str">
        <f t="shared" si="0"/>
        <v/>
      </c>
      <c r="U14" s="456" t="str">
        <f t="shared" si="0"/>
        <v/>
      </c>
      <c r="V14" s="456" t="str">
        <f t="shared" si="0"/>
        <v/>
      </c>
      <c r="W14" s="456" t="str">
        <f t="shared" si="0"/>
        <v/>
      </c>
      <c r="X14" s="456" t="str">
        <f t="shared" si="0"/>
        <v/>
      </c>
      <c r="Y14" s="456" t="str">
        <f t="shared" si="0"/>
        <v/>
      </c>
      <c r="Z14" s="456" t="str">
        <f t="shared" si="0"/>
        <v/>
      </c>
    </row>
    <row r="15" spans="2:26" customFormat="1" x14ac:dyDescent="0.25">
      <c r="B15" s="264" t="s">
        <v>27</v>
      </c>
      <c r="C15" s="255" t="s">
        <v>155</v>
      </c>
      <c r="D15" s="386">
        <f t="shared" ref="D15" si="1">SUM(D8:D14)</f>
        <v>447638.79018258431</v>
      </c>
      <c r="E15" s="386">
        <f t="shared" ref="E15:M15" si="2">SUM(E8:E14)</f>
        <v>400272.87231827568</v>
      </c>
      <c r="F15" s="386"/>
      <c r="G15" s="386"/>
      <c r="H15" s="386"/>
      <c r="I15" s="386"/>
      <c r="J15" s="386"/>
      <c r="K15" s="386"/>
      <c r="L15" s="386"/>
      <c r="M15" s="386"/>
      <c r="N15" s="160"/>
      <c r="O15" s="264" t="s">
        <v>79</v>
      </c>
      <c r="P15" s="203" t="s">
        <v>20</v>
      </c>
      <c r="Q15" s="455">
        <f t="shared" ref="Q15:Z15" si="3">D15/D37</f>
        <v>0.29874918492370284</v>
      </c>
      <c r="R15" s="455">
        <f t="shared" si="3"/>
        <v>0.29625127066227686</v>
      </c>
      <c r="S15" s="455" t="e">
        <f t="shared" si="3"/>
        <v>#DIV/0!</v>
      </c>
      <c r="T15" s="455" t="e">
        <f t="shared" si="3"/>
        <v>#DIV/0!</v>
      </c>
      <c r="U15" s="455" t="e">
        <f t="shared" si="3"/>
        <v>#DIV/0!</v>
      </c>
      <c r="V15" s="455" t="e">
        <f t="shared" si="3"/>
        <v>#DIV/0!</v>
      </c>
      <c r="W15" s="455" t="e">
        <f t="shared" si="3"/>
        <v>#DIV/0!</v>
      </c>
      <c r="X15" s="455" t="e">
        <f t="shared" si="3"/>
        <v>#DIV/0!</v>
      </c>
      <c r="Y15" s="455" t="e">
        <f t="shared" si="3"/>
        <v>#DIV/0!</v>
      </c>
      <c r="Z15" s="455" t="e">
        <f t="shared" si="3"/>
        <v>#DIV/0!</v>
      </c>
    </row>
    <row r="16" spans="2:26" customFormat="1" x14ac:dyDescent="0.25">
      <c r="L16" s="160"/>
      <c r="M16" s="160"/>
      <c r="N16" s="160"/>
      <c r="Z16" s="160"/>
    </row>
    <row r="17" spans="2:26" customFormat="1" ht="14.5" x14ac:dyDescent="0.35">
      <c r="B17" s="220" t="s">
        <v>0</v>
      </c>
      <c r="C17" s="221" t="s">
        <v>295</v>
      </c>
      <c r="D17" s="160"/>
      <c r="E17" s="572"/>
      <c r="F17" s="160"/>
      <c r="G17" s="160"/>
      <c r="H17" s="160"/>
      <c r="I17" s="160"/>
      <c r="J17" s="160"/>
      <c r="K17" s="160"/>
      <c r="L17" s="571"/>
      <c r="M17" s="571" t="str">
        <f>C17</f>
        <v>WDM ports - Rest of World</v>
      </c>
      <c r="N17" s="160"/>
      <c r="Z17" s="160"/>
    </row>
    <row r="18" spans="2:26" customFormat="1" x14ac:dyDescent="0.25">
      <c r="B18" s="122" t="s">
        <v>19</v>
      </c>
      <c r="C18" s="122" t="s">
        <v>10</v>
      </c>
      <c r="D18" s="1">
        <v>2016</v>
      </c>
      <c r="E18" s="1">
        <v>2017</v>
      </c>
      <c r="F18" s="1">
        <v>2018</v>
      </c>
      <c r="G18" s="1">
        <v>2019</v>
      </c>
      <c r="H18" s="1">
        <v>2020</v>
      </c>
      <c r="I18" s="1">
        <v>2021</v>
      </c>
      <c r="J18" s="1">
        <v>2022</v>
      </c>
      <c r="K18" s="1">
        <v>2023</v>
      </c>
      <c r="L18" s="1">
        <v>2024</v>
      </c>
      <c r="M18" s="1">
        <v>2025</v>
      </c>
      <c r="N18" s="160"/>
      <c r="Z18" s="160"/>
    </row>
    <row r="19" spans="2:26" customFormat="1" x14ac:dyDescent="0.25">
      <c r="B19" s="462" t="s">
        <v>14</v>
      </c>
      <c r="C19" s="462" t="s">
        <v>59</v>
      </c>
      <c r="D19" s="29">
        <f t="shared" ref="D19:L19" si="4">D30-D8</f>
        <v>301654.71999999997</v>
      </c>
      <c r="E19" s="29">
        <f t="shared" si="4"/>
        <v>174241.62</v>
      </c>
      <c r="F19" s="29"/>
      <c r="G19" s="29"/>
      <c r="H19" s="29"/>
      <c r="I19" s="29"/>
      <c r="J19" s="29"/>
      <c r="K19" s="29"/>
      <c r="L19" s="29"/>
      <c r="M19" s="29"/>
      <c r="N19" s="160"/>
      <c r="Z19" s="160"/>
    </row>
    <row r="20" spans="2:26" customFormat="1" x14ac:dyDescent="0.25">
      <c r="B20" s="264" t="s">
        <v>27</v>
      </c>
      <c r="C20" s="464" t="s">
        <v>291</v>
      </c>
      <c r="D20" s="29">
        <f t="shared" ref="D20:L20" si="5">D31-D9</f>
        <v>72287.191011235947</v>
      </c>
      <c r="E20" s="29">
        <f t="shared" si="5"/>
        <v>42173.752808988756</v>
      </c>
      <c r="F20" s="29"/>
      <c r="G20" s="29"/>
      <c r="H20" s="29"/>
      <c r="I20" s="29"/>
      <c r="J20" s="29"/>
      <c r="K20" s="29"/>
      <c r="L20" s="29"/>
      <c r="M20" s="29"/>
      <c r="N20" s="160"/>
      <c r="Z20" s="160"/>
    </row>
    <row r="21" spans="2:26" customFormat="1" x14ac:dyDescent="0.25">
      <c r="B21" s="264" t="s">
        <v>27</v>
      </c>
      <c r="C21" s="465" t="s">
        <v>292</v>
      </c>
      <c r="D21" s="29">
        <f t="shared" ref="D21:L21" si="6">D32-D10</f>
        <v>439403.90625</v>
      </c>
      <c r="E21" s="29">
        <f t="shared" si="6"/>
        <v>447714.46258503397</v>
      </c>
      <c r="F21" s="29"/>
      <c r="G21" s="29"/>
      <c r="H21" s="29"/>
      <c r="I21" s="29"/>
      <c r="J21" s="29"/>
      <c r="K21" s="29"/>
      <c r="L21" s="29"/>
      <c r="M21" s="29"/>
      <c r="N21" s="160"/>
      <c r="Z21" s="160"/>
    </row>
    <row r="22" spans="2:26" customFormat="1" x14ac:dyDescent="0.25">
      <c r="B22" s="264" t="s">
        <v>27</v>
      </c>
      <c r="C22" s="464" t="s">
        <v>293</v>
      </c>
      <c r="D22" s="29">
        <f t="shared" ref="D22:L22" si="7">D33-D11</f>
        <v>12135.999999999996</v>
      </c>
      <c r="E22" s="29">
        <f t="shared" si="7"/>
        <v>1354.555555555555</v>
      </c>
      <c r="F22" s="29"/>
      <c r="G22" s="29"/>
      <c r="H22" s="29"/>
      <c r="I22" s="29"/>
      <c r="J22" s="29"/>
      <c r="K22" s="29"/>
      <c r="L22" s="29"/>
      <c r="M22" s="29"/>
      <c r="N22" s="160"/>
      <c r="Z22" s="160"/>
    </row>
    <row r="23" spans="2:26" customFormat="1" x14ac:dyDescent="0.25">
      <c r="B23" s="264" t="s">
        <v>27</v>
      </c>
      <c r="C23" s="465" t="s">
        <v>26</v>
      </c>
      <c r="D23" s="29">
        <f t="shared" ref="D23:L23" si="8">D34-D12</f>
        <v>225256</v>
      </c>
      <c r="E23" s="29">
        <f t="shared" si="8"/>
        <v>237869</v>
      </c>
      <c r="F23" s="29"/>
      <c r="G23" s="29"/>
      <c r="H23" s="29"/>
      <c r="I23" s="29"/>
      <c r="J23" s="29"/>
      <c r="K23" s="29"/>
      <c r="L23" s="29"/>
      <c r="M23" s="29"/>
      <c r="N23" s="160"/>
      <c r="Z23" s="160"/>
    </row>
    <row r="24" spans="2:26" x14ac:dyDescent="0.25">
      <c r="B24" s="264" t="s">
        <v>27</v>
      </c>
      <c r="C24" s="465" t="s">
        <v>159</v>
      </c>
      <c r="D24" s="29">
        <f t="shared" ref="D24:L24" si="9">D35-D13</f>
        <v>0</v>
      </c>
      <c r="E24" s="29">
        <f t="shared" si="9"/>
        <v>43500</v>
      </c>
      <c r="F24" s="29"/>
      <c r="G24" s="29"/>
      <c r="H24" s="29"/>
      <c r="I24" s="29"/>
      <c r="J24" s="29"/>
      <c r="K24" s="29"/>
      <c r="L24" s="29"/>
      <c r="M24" s="29"/>
    </row>
    <row r="25" spans="2:26" x14ac:dyDescent="0.25">
      <c r="B25" s="264" t="s">
        <v>27</v>
      </c>
      <c r="C25" s="255" t="s">
        <v>95</v>
      </c>
      <c r="D25" s="29">
        <f t="shared" ref="D25:L25" si="10">D36-D14</f>
        <v>0</v>
      </c>
      <c r="E25" s="29">
        <f t="shared" si="10"/>
        <v>4000</v>
      </c>
      <c r="F25" s="29"/>
      <c r="G25" s="29"/>
      <c r="H25" s="29"/>
      <c r="I25" s="29"/>
      <c r="J25" s="29"/>
      <c r="K25" s="29"/>
      <c r="L25" s="29"/>
      <c r="M25" s="29"/>
    </row>
    <row r="26" spans="2:26" x14ac:dyDescent="0.25">
      <c r="B26" s="264" t="s">
        <v>27</v>
      </c>
      <c r="C26" s="255" t="s">
        <v>155</v>
      </c>
      <c r="D26" s="131">
        <f t="shared" ref="D26:M26" si="11">SUM(D19:D25)</f>
        <v>1050737.8172612358</v>
      </c>
      <c r="E26" s="131">
        <f t="shared" si="11"/>
        <v>950853.39094957826</v>
      </c>
      <c r="F26" s="131"/>
      <c r="G26" s="131"/>
      <c r="H26" s="131"/>
      <c r="I26" s="131"/>
      <c r="J26" s="131"/>
      <c r="K26" s="131"/>
      <c r="L26" s="131"/>
      <c r="M26" s="131"/>
    </row>
    <row r="28" spans="2:26" ht="15.5" x14ac:dyDescent="0.35">
      <c r="B28" s="220" t="s">
        <v>0</v>
      </c>
      <c r="C28" s="221" t="s">
        <v>296</v>
      </c>
      <c r="E28" s="370"/>
      <c r="L28" s="571"/>
      <c r="M28" s="571" t="str">
        <f>C28</f>
        <v>WDM ports - Global</v>
      </c>
    </row>
    <row r="29" spans="2:26" x14ac:dyDescent="0.25">
      <c r="B29" s="122" t="s">
        <v>19</v>
      </c>
      <c r="C29" s="122" t="s">
        <v>10</v>
      </c>
      <c r="D29" s="1">
        <v>2016</v>
      </c>
      <c r="E29" s="1">
        <v>2017</v>
      </c>
      <c r="F29" s="1">
        <v>2018</v>
      </c>
      <c r="G29" s="1">
        <v>2019</v>
      </c>
      <c r="H29" s="1">
        <v>2020</v>
      </c>
      <c r="I29" s="1">
        <v>2021</v>
      </c>
      <c r="J29" s="1">
        <v>2022</v>
      </c>
      <c r="K29" s="1">
        <v>2023</v>
      </c>
      <c r="L29" s="1">
        <v>2024</v>
      </c>
      <c r="M29" s="1">
        <v>2025</v>
      </c>
    </row>
    <row r="30" spans="2:26" x14ac:dyDescent="0.25">
      <c r="B30" s="462" t="s">
        <v>14</v>
      </c>
      <c r="C30" s="462" t="s">
        <v>59</v>
      </c>
      <c r="D30" s="707">
        <v>471335.5</v>
      </c>
      <c r="E30" s="707">
        <v>276574</v>
      </c>
      <c r="F30" s="707"/>
      <c r="G30" s="707"/>
      <c r="H30" s="707"/>
      <c r="I30" s="707"/>
      <c r="J30" s="707"/>
      <c r="K30" s="707"/>
      <c r="L30" s="707"/>
      <c r="M30" s="707"/>
    </row>
    <row r="31" spans="2:26" x14ac:dyDescent="0.25">
      <c r="B31" s="264" t="s">
        <v>27</v>
      </c>
      <c r="C31" s="464" t="s">
        <v>291</v>
      </c>
      <c r="D31" s="707">
        <v>104764.04494382022</v>
      </c>
      <c r="E31" s="707">
        <v>62020.224719101119</v>
      </c>
      <c r="F31" s="707"/>
      <c r="G31" s="707"/>
      <c r="H31" s="707"/>
      <c r="I31" s="707"/>
      <c r="J31" s="707"/>
      <c r="K31" s="707"/>
      <c r="L31" s="707"/>
      <c r="M31" s="707"/>
    </row>
    <row r="32" spans="2:26" x14ac:dyDescent="0.25">
      <c r="B32" s="264" t="s">
        <v>27</v>
      </c>
      <c r="C32" s="465" t="s">
        <v>292</v>
      </c>
      <c r="D32" s="707">
        <v>593789.0625</v>
      </c>
      <c r="E32" s="707">
        <v>613307.48299319728</v>
      </c>
      <c r="F32" s="707"/>
      <c r="G32" s="707"/>
      <c r="H32" s="707"/>
      <c r="I32" s="707"/>
      <c r="J32" s="707"/>
      <c r="K32" s="707"/>
      <c r="L32" s="707"/>
      <c r="M32" s="707"/>
    </row>
    <row r="33" spans="2:13" x14ac:dyDescent="0.25">
      <c r="B33" s="264" t="s">
        <v>27</v>
      </c>
      <c r="C33" s="464" t="s">
        <v>293</v>
      </c>
      <c r="D33" s="707">
        <v>16399.999999999996</v>
      </c>
      <c r="E33" s="707">
        <v>1855.555555555555</v>
      </c>
      <c r="F33" s="707"/>
      <c r="G33" s="707"/>
      <c r="H33" s="707"/>
      <c r="I33" s="707"/>
      <c r="J33" s="707"/>
      <c r="K33" s="707"/>
      <c r="L33" s="707"/>
      <c r="M33" s="707"/>
    </row>
    <row r="34" spans="2:13" x14ac:dyDescent="0.25">
      <c r="B34" s="264" t="s">
        <v>27</v>
      </c>
      <c r="C34" s="465" t="s">
        <v>26</v>
      </c>
      <c r="D34" s="714">
        <v>312088</v>
      </c>
      <c r="E34" s="714">
        <v>347869</v>
      </c>
      <c r="F34" s="714"/>
      <c r="G34" s="714"/>
      <c r="H34" s="714"/>
      <c r="I34" s="714"/>
      <c r="J34" s="714"/>
      <c r="K34" s="714"/>
      <c r="L34" s="714"/>
      <c r="M34" s="714"/>
    </row>
    <row r="35" spans="2:13" x14ac:dyDescent="0.25">
      <c r="B35" s="264" t="s">
        <v>27</v>
      </c>
      <c r="C35" s="465" t="s">
        <v>159</v>
      </c>
      <c r="D35" s="714">
        <v>0</v>
      </c>
      <c r="E35" s="714">
        <v>45500</v>
      </c>
      <c r="F35" s="714"/>
      <c r="G35" s="714"/>
      <c r="H35" s="714"/>
      <c r="I35" s="714"/>
      <c r="J35" s="714"/>
      <c r="K35" s="714"/>
      <c r="L35" s="714"/>
      <c r="M35" s="714"/>
    </row>
    <row r="36" spans="2:13" x14ac:dyDescent="0.25">
      <c r="B36" s="264" t="s">
        <v>27</v>
      </c>
      <c r="C36" s="255" t="s">
        <v>95</v>
      </c>
      <c r="D36" s="714">
        <v>0</v>
      </c>
      <c r="E36" s="714">
        <v>4000</v>
      </c>
      <c r="F36" s="714"/>
      <c r="G36" s="714"/>
      <c r="H36" s="714"/>
      <c r="I36" s="714"/>
      <c r="J36" s="714"/>
      <c r="K36" s="714"/>
      <c r="L36" s="714"/>
      <c r="M36" s="714"/>
    </row>
    <row r="37" spans="2:13" x14ac:dyDescent="0.25">
      <c r="B37" s="264" t="s">
        <v>27</v>
      </c>
      <c r="C37" s="255" t="s">
        <v>155</v>
      </c>
      <c r="D37" s="131">
        <f>SUM(D30:D36)</f>
        <v>1498376.6074438202</v>
      </c>
      <c r="E37" s="131">
        <f t="shared" ref="E37:L37" si="12">SUM(E30:E36)</f>
        <v>1351126.2632678538</v>
      </c>
      <c r="F37" s="131"/>
      <c r="G37" s="131"/>
      <c r="H37" s="131"/>
      <c r="I37" s="131"/>
      <c r="J37" s="131"/>
      <c r="K37" s="131"/>
      <c r="L37" s="131"/>
      <c r="M37" s="131"/>
    </row>
    <row r="40" spans="2:13" ht="13" x14ac:dyDescent="0.3">
      <c r="B40" s="651" t="s">
        <v>448</v>
      </c>
      <c r="C40" s="652"/>
      <c r="D40" s="652"/>
      <c r="E40" s="652"/>
      <c r="F40" s="652"/>
      <c r="G40" s="652"/>
      <c r="H40" s="652"/>
      <c r="I40" s="652"/>
      <c r="J40" s="652"/>
      <c r="K40" s="652"/>
      <c r="L40" s="652"/>
      <c r="M40" s="652"/>
    </row>
    <row r="43" spans="2:13" ht="13" x14ac:dyDescent="0.3">
      <c r="B43" s="219" t="s">
        <v>443</v>
      </c>
      <c r="D43" s="1">
        <v>2016</v>
      </c>
      <c r="E43" s="1">
        <v>2017</v>
      </c>
      <c r="F43" s="1">
        <v>2018</v>
      </c>
      <c r="G43" s="1">
        <v>2019</v>
      </c>
      <c r="H43" s="1">
        <v>2020</v>
      </c>
      <c r="I43" s="1">
        <v>2021</v>
      </c>
      <c r="J43" s="1">
        <v>2022</v>
      </c>
      <c r="K43" s="1">
        <v>2023</v>
      </c>
      <c r="L43" s="1">
        <v>2024</v>
      </c>
      <c r="M43" s="1">
        <v>2025</v>
      </c>
    </row>
    <row r="44" spans="2:13" x14ac:dyDescent="0.25">
      <c r="B44" s="645" t="str">
        <f t="shared" ref="B44:L44" si="13">B12</f>
        <v>DWDM</v>
      </c>
      <c r="C44" s="465" t="str">
        <f t="shared" si="13"/>
        <v>100 Gbps</v>
      </c>
      <c r="D44" s="146">
        <f t="shared" si="13"/>
        <v>86832</v>
      </c>
      <c r="E44" s="146">
        <f t="shared" si="13"/>
        <v>110000</v>
      </c>
      <c r="F44" s="146"/>
      <c r="G44" s="146"/>
      <c r="H44" s="146"/>
      <c r="I44" s="146"/>
      <c r="J44" s="146"/>
      <c r="K44" s="146"/>
      <c r="L44" s="146"/>
      <c r="M44" s="146"/>
    </row>
    <row r="45" spans="2:13" x14ac:dyDescent="0.25">
      <c r="B45" s="645" t="str">
        <f t="shared" ref="B45:L45" si="14">B13</f>
        <v>DWDM</v>
      </c>
      <c r="C45" s="465" t="str">
        <f t="shared" si="14"/>
        <v>200 Gbps</v>
      </c>
      <c r="D45" s="146">
        <f t="shared" si="14"/>
        <v>0</v>
      </c>
      <c r="E45" s="146">
        <f t="shared" si="14"/>
        <v>2000</v>
      </c>
      <c r="F45" s="146"/>
      <c r="G45" s="146"/>
      <c r="H45" s="146"/>
      <c r="I45" s="146"/>
      <c r="J45" s="146"/>
      <c r="K45" s="146"/>
      <c r="L45" s="146"/>
      <c r="M45" s="146"/>
    </row>
    <row r="46" spans="2:13" x14ac:dyDescent="0.25">
      <c r="B46" s="645" t="str">
        <f t="shared" ref="B46:L46" si="15">B14</f>
        <v>DWDM</v>
      </c>
      <c r="C46" s="465" t="str">
        <f t="shared" si="15"/>
        <v>400 Gbps</v>
      </c>
      <c r="D46" s="146">
        <f t="shared" si="15"/>
        <v>0</v>
      </c>
      <c r="E46" s="146">
        <f t="shared" si="15"/>
        <v>0</v>
      </c>
      <c r="F46" s="146"/>
      <c r="G46" s="146"/>
      <c r="H46" s="146"/>
      <c r="I46" s="146"/>
      <c r="J46" s="146"/>
      <c r="K46" s="146"/>
      <c r="L46" s="146"/>
      <c r="M46" s="146"/>
    </row>
    <row r="47" spans="2:13" x14ac:dyDescent="0.25">
      <c r="B47" s="645" t="s">
        <v>441</v>
      </c>
      <c r="C47" s="465"/>
      <c r="D47" s="146">
        <f>SUM(D44:D46)</f>
        <v>86832</v>
      </c>
      <c r="E47" s="146">
        <f t="shared" ref="E47:L47" si="16">SUM(E44:E46)</f>
        <v>112000</v>
      </c>
      <c r="F47" s="146"/>
      <c r="G47" s="146"/>
      <c r="H47" s="146"/>
      <c r="I47" s="146"/>
      <c r="J47" s="146"/>
      <c r="K47" s="146"/>
      <c r="L47" s="146"/>
      <c r="M47" s="146"/>
    </row>
    <row r="49" spans="2:14" ht="13" x14ac:dyDescent="0.3">
      <c r="B49" s="273" t="s">
        <v>449</v>
      </c>
      <c r="L49" s="184"/>
    </row>
    <row r="50" spans="2:14" x14ac:dyDescent="0.25">
      <c r="B50" s="645" t="s">
        <v>447</v>
      </c>
      <c r="C50" s="465" t="str">
        <f>C44</f>
        <v>100 Gbps</v>
      </c>
      <c r="D50" s="715">
        <v>1</v>
      </c>
      <c r="E50" s="715">
        <f>D50-0.1</f>
        <v>0.9</v>
      </c>
      <c r="F50" s="715"/>
      <c r="G50" s="715"/>
      <c r="H50" s="715"/>
      <c r="I50" s="715"/>
      <c r="J50" s="715"/>
      <c r="K50" s="715"/>
      <c r="L50" s="715"/>
      <c r="M50" s="715"/>
    </row>
    <row r="51" spans="2:14" x14ac:dyDescent="0.25">
      <c r="B51" s="645" t="s">
        <v>447</v>
      </c>
      <c r="C51" s="465" t="str">
        <f>C45</f>
        <v>200 Gbps</v>
      </c>
      <c r="D51" s="715">
        <f>D50</f>
        <v>1</v>
      </c>
      <c r="E51" s="715">
        <f t="shared" ref="E51:L51" si="17">E50</f>
        <v>0.9</v>
      </c>
      <c r="F51" s="715"/>
      <c r="G51" s="715"/>
      <c r="H51" s="715"/>
      <c r="I51" s="715"/>
      <c r="J51" s="715"/>
      <c r="K51" s="715"/>
      <c r="L51" s="715"/>
      <c r="M51" s="715"/>
    </row>
    <row r="52" spans="2:14" x14ac:dyDescent="0.25">
      <c r="B52" s="645" t="s">
        <v>447</v>
      </c>
      <c r="C52" s="465" t="str">
        <f>C46</f>
        <v>400 Gbps</v>
      </c>
      <c r="D52" s="715">
        <v>0</v>
      </c>
      <c r="E52" s="715">
        <v>0</v>
      </c>
      <c r="F52" s="715"/>
      <c r="G52" s="715"/>
      <c r="H52" s="715"/>
      <c r="I52" s="715"/>
      <c r="J52" s="715"/>
      <c r="K52" s="715"/>
      <c r="L52" s="715"/>
      <c r="M52" s="715"/>
    </row>
    <row r="53" spans="2:14" x14ac:dyDescent="0.25">
      <c r="B53" s="648" t="s">
        <v>110</v>
      </c>
      <c r="C53" s="465"/>
      <c r="D53" s="715">
        <v>1.5</v>
      </c>
      <c r="E53" s="715">
        <f>D53-0.15</f>
        <v>1.35</v>
      </c>
      <c r="F53" s="715"/>
      <c r="G53" s="715"/>
      <c r="H53" s="715"/>
      <c r="I53" s="715"/>
      <c r="J53" s="715"/>
      <c r="K53" s="715"/>
      <c r="L53" s="715"/>
      <c r="M53" s="715"/>
      <c r="N53" s="360"/>
    </row>
    <row r="55" spans="2:14" ht="13" x14ac:dyDescent="0.3">
      <c r="H55" s="589"/>
      <c r="L55" s="571"/>
      <c r="M55" s="262" t="str">
        <f>B56</f>
        <v>Unit shipments</v>
      </c>
    </row>
    <row r="56" spans="2:14" ht="13" x14ac:dyDescent="0.3">
      <c r="B56" s="273" t="s">
        <v>450</v>
      </c>
      <c r="D56" s="1">
        <v>2016</v>
      </c>
      <c r="E56" s="1">
        <v>2017</v>
      </c>
      <c r="F56" s="1">
        <v>2018</v>
      </c>
      <c r="G56" s="1">
        <v>2019</v>
      </c>
      <c r="H56" s="1">
        <v>2020</v>
      </c>
      <c r="I56" s="1">
        <v>2021</v>
      </c>
      <c r="J56" s="1">
        <v>2022</v>
      </c>
      <c r="K56" s="1">
        <v>2023</v>
      </c>
      <c r="L56" s="1">
        <v>2024</v>
      </c>
      <c r="M56" s="1">
        <v>2025</v>
      </c>
    </row>
    <row r="57" spans="2:14" x14ac:dyDescent="0.25">
      <c r="B57" s="645" t="str">
        <f t="shared" ref="B57:C59" si="18">B50</f>
        <v>Mod/Rx</v>
      </c>
      <c r="C57" s="465" t="str">
        <f t="shared" si="18"/>
        <v>100 Gbps</v>
      </c>
      <c r="D57" s="146">
        <f>D50*D44</f>
        <v>86832</v>
      </c>
      <c r="E57" s="146">
        <f t="shared" ref="E57:L57" si="19">E50*E44</f>
        <v>99000</v>
      </c>
      <c r="F57" s="146"/>
      <c r="G57" s="146"/>
      <c r="H57" s="146"/>
      <c r="I57" s="146"/>
      <c r="J57" s="146"/>
      <c r="K57" s="146"/>
      <c r="L57" s="146"/>
      <c r="M57" s="146"/>
    </row>
    <row r="58" spans="2:14" x14ac:dyDescent="0.25">
      <c r="B58" s="645" t="str">
        <f t="shared" si="18"/>
        <v>Mod/Rx</v>
      </c>
      <c r="C58" s="465" t="str">
        <f t="shared" si="18"/>
        <v>200 Gbps</v>
      </c>
      <c r="D58" s="146">
        <f t="shared" ref="D58:L58" si="20">D51*D45</f>
        <v>0</v>
      </c>
      <c r="E58" s="146">
        <f t="shared" si="20"/>
        <v>1800</v>
      </c>
      <c r="F58" s="146"/>
      <c r="G58" s="146"/>
      <c r="H58" s="146"/>
      <c r="I58" s="146"/>
      <c r="J58" s="146"/>
      <c r="K58" s="146"/>
      <c r="L58" s="146"/>
      <c r="M58" s="146"/>
    </row>
    <row r="59" spans="2:14" x14ac:dyDescent="0.25">
      <c r="B59" s="645" t="str">
        <f t="shared" si="18"/>
        <v>Mod/Rx</v>
      </c>
      <c r="C59" s="465" t="str">
        <f t="shared" si="18"/>
        <v>400 Gbps</v>
      </c>
      <c r="D59" s="146">
        <f t="shared" ref="D59:L59" si="21">D52*D46</f>
        <v>0</v>
      </c>
      <c r="E59" s="146">
        <f t="shared" si="21"/>
        <v>0</v>
      </c>
      <c r="F59" s="146"/>
      <c r="G59" s="146"/>
      <c r="H59" s="146"/>
      <c r="I59" s="146"/>
      <c r="J59" s="146"/>
      <c r="K59" s="146"/>
      <c r="L59" s="146"/>
      <c r="M59" s="146"/>
    </row>
    <row r="60" spans="2:14" x14ac:dyDescent="0.25">
      <c r="B60" s="260" t="s">
        <v>442</v>
      </c>
      <c r="C60" s="260"/>
      <c r="D60" s="131">
        <f t="shared" ref="D60:L60" si="22">SUM(D57:D59)</f>
        <v>86832</v>
      </c>
      <c r="E60" s="131">
        <f t="shared" si="22"/>
        <v>100800</v>
      </c>
      <c r="F60" s="131"/>
      <c r="G60" s="131"/>
      <c r="H60" s="131"/>
      <c r="I60" s="131"/>
      <c r="J60" s="131"/>
      <c r="K60" s="131"/>
      <c r="L60" s="131"/>
      <c r="M60" s="131"/>
    </row>
    <row r="61" spans="2:14" x14ac:dyDescent="0.25">
      <c r="B61" s="646" t="s">
        <v>110</v>
      </c>
      <c r="C61" s="647"/>
      <c r="D61" s="131">
        <f>D53*D47</f>
        <v>130248</v>
      </c>
      <c r="E61" s="131">
        <f t="shared" ref="E61:L61" si="23">E53*E47</f>
        <v>151200</v>
      </c>
      <c r="F61" s="131"/>
      <c r="G61" s="131"/>
      <c r="H61" s="131"/>
      <c r="I61" s="131"/>
      <c r="J61" s="131"/>
      <c r="K61" s="131"/>
      <c r="L61" s="131"/>
      <c r="M61" s="131"/>
    </row>
    <row r="63" spans="2:14" ht="13" x14ac:dyDescent="0.3">
      <c r="H63" s="589"/>
      <c r="J63" s="502"/>
      <c r="M63" s="262" t="str">
        <f>B64</f>
        <v>ASPs</v>
      </c>
    </row>
    <row r="64" spans="2:14" ht="13" x14ac:dyDescent="0.3">
      <c r="B64" s="273" t="s">
        <v>440</v>
      </c>
      <c r="D64" s="1">
        <v>2016</v>
      </c>
      <c r="E64" s="1">
        <v>2017</v>
      </c>
      <c r="F64" s="1">
        <v>2018</v>
      </c>
      <c r="G64" s="1">
        <v>2019</v>
      </c>
      <c r="H64" s="1">
        <v>2020</v>
      </c>
      <c r="I64" s="1">
        <v>2021</v>
      </c>
      <c r="J64" s="1">
        <v>2022</v>
      </c>
      <c r="K64" s="1">
        <v>2023</v>
      </c>
      <c r="L64" s="1">
        <v>2024</v>
      </c>
      <c r="M64" s="1">
        <v>2025</v>
      </c>
    </row>
    <row r="65" spans="2:13" ht="13" x14ac:dyDescent="0.3">
      <c r="B65" s="657" t="s">
        <v>453</v>
      </c>
      <c r="C65" s="647"/>
      <c r="D65" s="543">
        <v>1249.7176840046259</v>
      </c>
      <c r="E65" s="543">
        <v>1129.4344819696025</v>
      </c>
      <c r="F65" s="543"/>
      <c r="G65" s="543"/>
      <c r="H65" s="543"/>
      <c r="I65" s="543"/>
      <c r="J65" s="543"/>
      <c r="K65" s="543"/>
      <c r="L65" s="543"/>
      <c r="M65" s="543"/>
    </row>
    <row r="66" spans="2:13" x14ac:dyDescent="0.25">
      <c r="B66" s="646" t="s">
        <v>454</v>
      </c>
      <c r="C66" s="647"/>
      <c r="D66" s="543">
        <v>968.57239362071186</v>
      </c>
      <c r="E66" s="543">
        <v>897.40165471290629</v>
      </c>
      <c r="F66" s="543"/>
      <c r="G66" s="543"/>
      <c r="H66" s="543"/>
      <c r="I66" s="543"/>
      <c r="J66" s="543"/>
      <c r="K66" s="543"/>
      <c r="L66" s="543"/>
      <c r="M66" s="543"/>
    </row>
    <row r="67" spans="2:13" x14ac:dyDescent="0.25">
      <c r="B67" s="646" t="s">
        <v>110</v>
      </c>
      <c r="C67" s="647"/>
      <c r="D67" s="543">
        <v>524.15079926469491</v>
      </c>
      <c r="E67" s="543">
        <v>499.42275943354099</v>
      </c>
      <c r="F67" s="543"/>
      <c r="G67" s="543"/>
      <c r="H67" s="543"/>
      <c r="I67" s="543"/>
      <c r="J67" s="543"/>
      <c r="K67" s="543"/>
      <c r="L67" s="543"/>
      <c r="M67" s="543"/>
    </row>
    <row r="69" spans="2:13" ht="13" x14ac:dyDescent="0.3">
      <c r="H69" s="589" t="s">
        <v>455</v>
      </c>
      <c r="J69" s="502"/>
      <c r="M69" s="262" t="str">
        <f>B70</f>
        <v>Revenues ($ mn)</v>
      </c>
    </row>
    <row r="70" spans="2:13" ht="13" x14ac:dyDescent="0.3">
      <c r="B70" s="273" t="s">
        <v>308</v>
      </c>
      <c r="D70" s="1">
        <v>2016</v>
      </c>
      <c r="E70" s="1">
        <v>2017</v>
      </c>
      <c r="F70" s="1">
        <v>2018</v>
      </c>
      <c r="G70" s="1">
        <v>2019</v>
      </c>
      <c r="H70" s="1">
        <v>2020</v>
      </c>
      <c r="I70" s="1">
        <v>2021</v>
      </c>
      <c r="J70" s="1">
        <v>2022</v>
      </c>
      <c r="K70" s="1">
        <v>2023</v>
      </c>
      <c r="L70" s="1">
        <v>2024</v>
      </c>
      <c r="M70" s="1">
        <v>2025</v>
      </c>
    </row>
    <row r="71" spans="2:13" x14ac:dyDescent="0.25">
      <c r="B71" s="646" t="str">
        <f>B65</f>
        <v>Modulators, ≥100G</v>
      </c>
      <c r="C71" s="647"/>
      <c r="D71" s="655">
        <f>D65*D60/10^6</f>
        <v>108.51548593748967</v>
      </c>
      <c r="E71" s="655">
        <f t="shared" ref="E71:L71" si="24">E65*E60/10^6</f>
        <v>113.84699578253594</v>
      </c>
      <c r="F71" s="655"/>
      <c r="G71" s="655"/>
      <c r="H71" s="655"/>
      <c r="I71" s="655"/>
      <c r="J71" s="655"/>
      <c r="K71" s="655"/>
      <c r="L71" s="655"/>
      <c r="M71" s="655"/>
    </row>
    <row r="72" spans="2:13" x14ac:dyDescent="0.25">
      <c r="B72" s="653" t="str">
        <f>B66</f>
        <v>Coherent receivers, ≥100G</v>
      </c>
      <c r="C72" s="654"/>
      <c r="D72" s="655">
        <f>D66*D60/10^6</f>
        <v>84.103078082873651</v>
      </c>
      <c r="E72" s="655">
        <f t="shared" ref="E72:L72" si="25">E66*E60/10^6</f>
        <v>90.45808679506095</v>
      </c>
      <c r="F72" s="655"/>
      <c r="G72" s="655"/>
      <c r="H72" s="655"/>
      <c r="I72" s="655"/>
      <c r="J72" s="655"/>
      <c r="K72" s="655"/>
      <c r="L72" s="655"/>
      <c r="M72" s="655"/>
    </row>
    <row r="73" spans="2:13" x14ac:dyDescent="0.25">
      <c r="B73" s="646" t="str">
        <f>B67</f>
        <v>Tunable lasers</v>
      </c>
      <c r="C73" s="647"/>
      <c r="D73" s="655">
        <f>D67*D61/10^6</f>
        <v>68.269593302627982</v>
      </c>
      <c r="E73" s="655">
        <f t="shared" ref="E73:L73" si="26">E67*E61/10^6</f>
        <v>75.512721226351388</v>
      </c>
      <c r="F73" s="655"/>
      <c r="G73" s="655"/>
      <c r="H73" s="655"/>
      <c r="I73" s="655"/>
      <c r="J73" s="655"/>
      <c r="K73" s="655"/>
      <c r="L73" s="655"/>
      <c r="M73" s="655"/>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B2:X229"/>
  <sheetViews>
    <sheetView showGridLines="0" topLeftCell="A3" zoomScale="70" zoomScaleNormal="70" zoomScalePageLayoutView="70" workbookViewId="0">
      <selection activeCell="G208" sqref="G208:N227"/>
    </sheetView>
  </sheetViews>
  <sheetFormatPr defaultColWidth="9.1796875" defaultRowHeight="12.5" x14ac:dyDescent="0.25"/>
  <cols>
    <col min="1" max="1" width="4.453125" style="160" customWidth="1"/>
    <col min="2" max="2" width="13.453125" style="397" customWidth="1"/>
    <col min="3" max="3" width="12.26953125" style="397" customWidth="1"/>
    <col min="4" max="4" width="18.1796875" style="397" customWidth="1"/>
    <col min="5" max="13" width="12.453125" style="160" customWidth="1"/>
    <col min="14" max="14" width="13.453125" style="160" customWidth="1"/>
    <col min="15" max="15" width="14.453125" style="160" customWidth="1"/>
    <col min="16" max="16" width="13.453125" style="160" customWidth="1"/>
    <col min="17" max="17" width="12.81640625" style="160" bestFit="1" customWidth="1"/>
    <col min="18" max="23" width="11.6328125" style="160" customWidth="1"/>
    <col min="24" max="25" width="9.1796875" style="160" customWidth="1"/>
    <col min="26" max="16384" width="9.1796875" style="160"/>
  </cols>
  <sheetData>
    <row r="2" spans="2:15" ht="18" x14ac:dyDescent="0.4">
      <c r="B2" s="76" t="str">
        <f>Introduction!B2</f>
        <v>LightCounting Optical Components Market Forecast for China</v>
      </c>
    </row>
    <row r="3" spans="2:15" ht="15.5" x14ac:dyDescent="0.35">
      <c r="B3" s="215" t="str">
        <f>Introduction!B3</f>
        <v>January 25, 2021 - sample only - for illustrative purposes</v>
      </c>
    </row>
    <row r="4" spans="2:15" ht="15.5" x14ac:dyDescent="0.35">
      <c r="B4" s="217" t="s">
        <v>123</v>
      </c>
      <c r="D4" s="278" t="s">
        <v>138</v>
      </c>
    </row>
    <row r="5" spans="2:15" ht="15.5" x14ac:dyDescent="0.35">
      <c r="B5" s="217"/>
      <c r="C5" s="628"/>
      <c r="D5" s="278"/>
    </row>
    <row r="6" spans="2:15" ht="15.5" x14ac:dyDescent="0.35">
      <c r="B6" s="273" t="s">
        <v>263</v>
      </c>
      <c r="C6" s="273"/>
      <c r="D6" s="198"/>
      <c r="E6" s="276"/>
      <c r="K6" s="221"/>
      <c r="M6" s="361"/>
      <c r="N6" s="361"/>
    </row>
    <row r="7" spans="2:15" x14ac:dyDescent="0.25">
      <c r="B7" s="225" t="s">
        <v>10</v>
      </c>
      <c r="C7" s="7" t="s">
        <v>11</v>
      </c>
      <c r="D7" s="226" t="s">
        <v>12</v>
      </c>
      <c r="E7" s="39">
        <v>2016</v>
      </c>
      <c r="F7" s="7">
        <v>2017</v>
      </c>
      <c r="G7" s="7">
        <v>2018</v>
      </c>
      <c r="H7" s="7">
        <v>2019</v>
      </c>
      <c r="I7" s="7">
        <v>2020</v>
      </c>
      <c r="J7" s="7">
        <v>2021</v>
      </c>
      <c r="K7" s="7">
        <v>2022</v>
      </c>
      <c r="L7" s="7">
        <v>2023</v>
      </c>
      <c r="M7" s="7">
        <v>2024</v>
      </c>
      <c r="N7" s="123">
        <v>2025</v>
      </c>
      <c r="O7" s="440"/>
    </row>
    <row r="8" spans="2:15" x14ac:dyDescent="0.25">
      <c r="B8" s="427" t="s">
        <v>469</v>
      </c>
      <c r="C8" s="433" t="s">
        <v>20</v>
      </c>
      <c r="D8" s="203" t="s">
        <v>20</v>
      </c>
      <c r="E8" s="457">
        <f t="shared" ref="E8:M8" si="0">IF(E30=0,"",E30/E165)</f>
        <v>0.2110552902362218</v>
      </c>
      <c r="F8" s="457">
        <f t="shared" si="0"/>
        <v>0.21122239493252928</v>
      </c>
      <c r="G8" s="457"/>
      <c r="H8" s="457"/>
      <c r="I8" s="457"/>
      <c r="J8" s="457"/>
      <c r="K8" s="457"/>
      <c r="L8" s="457"/>
      <c r="M8" s="576"/>
      <c r="N8" s="578"/>
      <c r="O8" s="277"/>
    </row>
    <row r="9" spans="2:15" x14ac:dyDescent="0.25">
      <c r="B9" s="427" t="s">
        <v>470</v>
      </c>
      <c r="C9" s="433" t="s">
        <v>20</v>
      </c>
      <c r="D9" s="203" t="s">
        <v>20</v>
      </c>
      <c r="E9" s="457">
        <f t="shared" ref="E9:M9" si="1">IF(E31=0,"",E31/E166)</f>
        <v>0.19984105428812143</v>
      </c>
      <c r="F9" s="457">
        <f t="shared" si="1"/>
        <v>0.2183306748035436</v>
      </c>
      <c r="G9" s="457"/>
      <c r="H9" s="457"/>
      <c r="I9" s="457"/>
      <c r="J9" s="457"/>
      <c r="K9" s="457"/>
      <c r="L9" s="457"/>
      <c r="M9" s="576"/>
      <c r="N9" s="578"/>
      <c r="O9" s="277"/>
    </row>
    <row r="10" spans="2:15" ht="13" x14ac:dyDescent="0.3">
      <c r="B10" s="427" t="s">
        <v>471</v>
      </c>
      <c r="C10" s="433" t="s">
        <v>20</v>
      </c>
      <c r="D10" s="282" t="s">
        <v>154</v>
      </c>
      <c r="E10" s="457">
        <f t="shared" ref="E10:M10" si="2">IF(E32=0,"",E32/E167)</f>
        <v>0.05</v>
      </c>
      <c r="F10" s="457">
        <f t="shared" si="2"/>
        <v>7.0000000000000007E-2</v>
      </c>
      <c r="G10" s="457"/>
      <c r="H10" s="457"/>
      <c r="I10" s="457"/>
      <c r="J10" s="457"/>
      <c r="K10" s="457"/>
      <c r="L10" s="457"/>
      <c r="M10" s="576"/>
      <c r="N10" s="578"/>
      <c r="O10" s="184"/>
    </row>
    <row r="11" spans="2:15" x14ac:dyDescent="0.25">
      <c r="B11" s="199" t="s">
        <v>472</v>
      </c>
      <c r="C11" s="321" t="s">
        <v>161</v>
      </c>
      <c r="D11" s="199" t="s">
        <v>137</v>
      </c>
      <c r="E11" s="457">
        <f t="shared" ref="E11:M11" si="3">IF(E33=0,"",E33/E168)</f>
        <v>0.24723494244516828</v>
      </c>
      <c r="F11" s="457">
        <f t="shared" si="3"/>
        <v>0.27122307528199291</v>
      </c>
      <c r="G11" s="457"/>
      <c r="H11" s="457"/>
      <c r="I11" s="457"/>
      <c r="J11" s="457"/>
      <c r="K11" s="457"/>
      <c r="L11" s="457"/>
      <c r="M11" s="576"/>
      <c r="N11" s="578"/>
      <c r="O11" s="281"/>
    </row>
    <row r="12" spans="2:15" x14ac:dyDescent="0.25">
      <c r="B12" s="203" t="s">
        <v>473</v>
      </c>
      <c r="C12" s="429" t="s">
        <v>22</v>
      </c>
      <c r="D12" s="203" t="s">
        <v>137</v>
      </c>
      <c r="E12" s="457">
        <f t="shared" ref="E12:M12" si="4">IF(E34=0,"",E34/E169)</f>
        <v>6.0000000000000005E-2</v>
      </c>
      <c r="F12" s="457">
        <f t="shared" si="4"/>
        <v>0.08</v>
      </c>
      <c r="G12" s="457"/>
      <c r="H12" s="457"/>
      <c r="I12" s="457"/>
      <c r="J12" s="457"/>
      <c r="K12" s="457"/>
      <c r="L12" s="457"/>
      <c r="M12" s="576"/>
      <c r="N12" s="578"/>
      <c r="O12" s="281"/>
    </row>
    <row r="13" spans="2:15" x14ac:dyDescent="0.25">
      <c r="B13" s="797" t="s">
        <v>474</v>
      </c>
      <c r="C13" s="800" t="s">
        <v>23</v>
      </c>
      <c r="D13" s="298" t="s">
        <v>146</v>
      </c>
      <c r="E13" s="457" t="str">
        <f t="shared" ref="E13:M13" si="5">IF(E35=0,"",E35/E170)</f>
        <v/>
      </c>
      <c r="F13" s="457" t="str">
        <f t="shared" si="5"/>
        <v/>
      </c>
      <c r="G13" s="457"/>
      <c r="H13" s="457"/>
      <c r="I13" s="457"/>
      <c r="J13" s="457"/>
      <c r="K13" s="457"/>
      <c r="L13" s="457"/>
      <c r="M13" s="576"/>
      <c r="N13" s="578"/>
      <c r="O13" s="184"/>
    </row>
    <row r="14" spans="2:15" ht="25" x14ac:dyDescent="0.25">
      <c r="B14" s="798"/>
      <c r="C14" s="801"/>
      <c r="D14" s="299" t="s">
        <v>147</v>
      </c>
      <c r="E14" s="457">
        <f t="shared" ref="E14:M14" si="6">IF(E36=0,"",E36/E171)</f>
        <v>0.11</v>
      </c>
      <c r="F14" s="457">
        <f t="shared" si="6"/>
        <v>0.16</v>
      </c>
      <c r="G14" s="457"/>
      <c r="H14" s="457"/>
      <c r="I14" s="457"/>
      <c r="J14" s="457"/>
      <c r="K14" s="457"/>
      <c r="L14" s="457"/>
      <c r="M14" s="576"/>
      <c r="N14" s="578"/>
      <c r="O14" s="266"/>
    </row>
    <row r="15" spans="2:15" x14ac:dyDescent="0.25">
      <c r="B15" s="798"/>
      <c r="C15" s="429" t="s">
        <v>24</v>
      </c>
      <c r="D15" s="202" t="s">
        <v>20</v>
      </c>
      <c r="E15" s="457">
        <f t="shared" ref="E15:M15" si="7">IF(E37=0,"",E37/E172)</f>
        <v>8.2405443774222348E-2</v>
      </c>
      <c r="F15" s="457">
        <f t="shared" si="7"/>
        <v>0.12321722408966207</v>
      </c>
      <c r="G15" s="457"/>
      <c r="H15" s="457"/>
      <c r="I15" s="457"/>
      <c r="J15" s="457"/>
      <c r="K15" s="457"/>
      <c r="L15" s="457"/>
      <c r="M15" s="576"/>
      <c r="N15" s="578"/>
      <c r="O15" s="266"/>
    </row>
    <row r="16" spans="2:15" x14ac:dyDescent="0.25">
      <c r="B16" s="799"/>
      <c r="C16" s="171" t="s">
        <v>25</v>
      </c>
      <c r="D16" s="202" t="s">
        <v>20</v>
      </c>
      <c r="E16" s="457">
        <f t="shared" ref="E16:M16" si="8">IF(E38=0,"",E38/E173)</f>
        <v>8.500000000000002E-2</v>
      </c>
      <c r="F16" s="457">
        <f t="shared" si="8"/>
        <v>9.7000000000000003E-2</v>
      </c>
      <c r="G16" s="457"/>
      <c r="H16" s="457"/>
      <c r="I16" s="457"/>
      <c r="J16" s="457"/>
      <c r="K16" s="457"/>
      <c r="L16" s="457"/>
      <c r="M16" s="576"/>
      <c r="N16" s="578"/>
      <c r="O16" s="266"/>
    </row>
    <row r="17" spans="2:15" x14ac:dyDescent="0.25">
      <c r="B17" s="431" t="s">
        <v>475</v>
      </c>
      <c r="C17" s="429" t="s">
        <v>60</v>
      </c>
      <c r="D17" s="202" t="s">
        <v>20</v>
      </c>
      <c r="E17" s="457" t="str">
        <f t="shared" ref="E17:M17" si="9">IF(E39=0,"",E39/E174)</f>
        <v/>
      </c>
      <c r="F17" s="457" t="str">
        <f t="shared" si="9"/>
        <v/>
      </c>
      <c r="G17" s="457"/>
      <c r="H17" s="457"/>
      <c r="I17" s="457"/>
      <c r="J17" s="457"/>
      <c r="K17" s="457"/>
      <c r="L17" s="457"/>
      <c r="M17" s="576"/>
      <c r="N17" s="578"/>
      <c r="O17" s="266"/>
    </row>
    <row r="18" spans="2:15" x14ac:dyDescent="0.25">
      <c r="B18" s="802" t="s">
        <v>476</v>
      </c>
      <c r="C18" s="429" t="s">
        <v>161</v>
      </c>
      <c r="D18" s="202" t="s">
        <v>20</v>
      </c>
      <c r="E18" s="457">
        <f t="shared" ref="E18:M18" si="10">IF(E40=0,"",E40/E175)</f>
        <v>9.647419638351698E-2</v>
      </c>
      <c r="F18" s="457">
        <f t="shared" si="10"/>
        <v>0.19782063819081167</v>
      </c>
      <c r="G18" s="457"/>
      <c r="H18" s="457"/>
      <c r="I18" s="457"/>
      <c r="J18" s="457"/>
      <c r="K18" s="457"/>
      <c r="L18" s="457"/>
      <c r="M18" s="576"/>
      <c r="N18" s="578"/>
      <c r="O18" s="266"/>
    </row>
    <row r="19" spans="2:15" x14ac:dyDescent="0.25">
      <c r="B19" s="803"/>
      <c r="C19" s="433" t="s">
        <v>22</v>
      </c>
      <c r="D19" s="203" t="s">
        <v>162</v>
      </c>
      <c r="E19" s="457" t="str">
        <f t="shared" ref="E19:M19" si="11">IF(E41=0,"",E41/E176)</f>
        <v/>
      </c>
      <c r="F19" s="457">
        <f t="shared" si="11"/>
        <v>0.02</v>
      </c>
      <c r="G19" s="457"/>
      <c r="H19" s="457"/>
      <c r="I19" s="457"/>
      <c r="J19" s="457"/>
      <c r="K19" s="457"/>
      <c r="L19" s="457"/>
      <c r="M19" s="576"/>
      <c r="N19" s="578"/>
    </row>
    <row r="20" spans="2:15" x14ac:dyDescent="0.25">
      <c r="B20" s="803"/>
      <c r="C20" s="429" t="s">
        <v>23</v>
      </c>
      <c r="D20" s="432" t="s">
        <v>162</v>
      </c>
      <c r="E20" s="457" t="str">
        <f t="shared" ref="E20:M20" si="12">IF(E42=0,"",E42/E177)</f>
        <v/>
      </c>
      <c r="F20" s="457">
        <f t="shared" si="12"/>
        <v>0.02</v>
      </c>
      <c r="G20" s="457"/>
      <c r="H20" s="457"/>
      <c r="I20" s="457"/>
      <c r="J20" s="457"/>
      <c r="K20" s="457"/>
      <c r="L20" s="457"/>
      <c r="M20" s="576"/>
      <c r="N20" s="578"/>
    </row>
    <row r="21" spans="2:15" x14ac:dyDescent="0.25">
      <c r="B21" s="803"/>
      <c r="C21" s="429" t="s">
        <v>163</v>
      </c>
      <c r="D21" s="202" t="s">
        <v>20</v>
      </c>
      <c r="E21" s="457">
        <f t="shared" ref="E21:M21" si="13">IF(E43=0,"",E43/E178)</f>
        <v>0.30109506462261898</v>
      </c>
      <c r="F21" s="457">
        <f t="shared" si="13"/>
        <v>0.17159020298316338</v>
      </c>
      <c r="G21" s="457"/>
      <c r="H21" s="457"/>
      <c r="I21" s="457"/>
      <c r="J21" s="457"/>
      <c r="K21" s="457"/>
      <c r="L21" s="457"/>
      <c r="M21" s="576"/>
      <c r="N21" s="578"/>
    </row>
    <row r="22" spans="2:15" x14ac:dyDescent="0.25">
      <c r="B22" s="804"/>
      <c r="C22" s="171" t="s">
        <v>25</v>
      </c>
      <c r="D22" s="199" t="s">
        <v>20</v>
      </c>
      <c r="E22" s="457">
        <f t="shared" ref="E22:M22" si="14">IF(E44=0,"",E44/E179)</f>
        <v>0.22</v>
      </c>
      <c r="F22" s="457">
        <f t="shared" si="14"/>
        <v>0.23999999999999996</v>
      </c>
      <c r="G22" s="457"/>
      <c r="H22" s="457"/>
      <c r="I22" s="457"/>
      <c r="J22" s="457"/>
      <c r="K22" s="457"/>
      <c r="L22" s="457"/>
      <c r="M22" s="576"/>
      <c r="N22" s="578"/>
    </row>
    <row r="23" spans="2:15" x14ac:dyDescent="0.25">
      <c r="B23" s="428" t="s">
        <v>477</v>
      </c>
      <c r="C23" s="203" t="s">
        <v>20</v>
      </c>
      <c r="D23" s="203" t="s">
        <v>20</v>
      </c>
      <c r="E23" s="457" t="str">
        <f t="shared" ref="E23:M23" si="15">IF(E45=0,"",E45/E180)</f>
        <v/>
      </c>
      <c r="F23" s="457" t="str">
        <f t="shared" si="15"/>
        <v/>
      </c>
      <c r="G23" s="457"/>
      <c r="H23" s="457"/>
      <c r="I23" s="457"/>
      <c r="J23" s="457"/>
      <c r="K23" s="457"/>
      <c r="L23" s="457"/>
      <c r="M23" s="576"/>
      <c r="N23" s="578"/>
    </row>
    <row r="24" spans="2:15" x14ac:dyDescent="0.25">
      <c r="B24" s="203" t="s">
        <v>478</v>
      </c>
      <c r="C24" s="203" t="s">
        <v>20</v>
      </c>
      <c r="D24" s="203" t="s">
        <v>20</v>
      </c>
      <c r="E24" s="457" t="str">
        <f t="shared" ref="E24:N24" si="16">IF(E46=0,"",E46/E181)</f>
        <v/>
      </c>
      <c r="F24" s="457">
        <f t="shared" si="16"/>
        <v>0.18426966292134833</v>
      </c>
      <c r="G24" s="457"/>
      <c r="H24" s="457"/>
      <c r="I24" s="457"/>
      <c r="J24" s="457"/>
      <c r="K24" s="457"/>
      <c r="L24" s="457"/>
      <c r="M24" s="576"/>
      <c r="N24" s="578"/>
    </row>
    <row r="25" spans="2:15" x14ac:dyDescent="0.25">
      <c r="B25" s="203" t="s">
        <v>480</v>
      </c>
      <c r="C25" s="203" t="s">
        <v>20</v>
      </c>
      <c r="D25" s="203" t="s">
        <v>20</v>
      </c>
      <c r="E25" s="457">
        <f t="shared" ref="E25:N25" si="17">IF(E48=0,"",E48/E183)</f>
        <v>0.19878482015097673</v>
      </c>
      <c r="F25" s="457">
        <f t="shared" si="17"/>
        <v>0.20422952184821694</v>
      </c>
      <c r="G25" s="457"/>
      <c r="H25" s="457"/>
      <c r="I25" s="457"/>
      <c r="J25" s="457"/>
      <c r="K25" s="457"/>
      <c r="L25" s="457"/>
      <c r="M25" s="576"/>
      <c r="N25" s="578"/>
    </row>
    <row r="26" spans="2:15" x14ac:dyDescent="0.25">
      <c r="B26" s="206" t="s">
        <v>9</v>
      </c>
      <c r="C26" s="203" t="s">
        <v>20</v>
      </c>
      <c r="D26" s="203" t="s">
        <v>20</v>
      </c>
      <c r="E26" s="577">
        <f t="shared" ref="E26:M26" si="18">IF(E48=0,"",E48/E183)</f>
        <v>0.19878482015097673</v>
      </c>
      <c r="F26" s="577">
        <f t="shared" si="18"/>
        <v>0.20422952184821694</v>
      </c>
      <c r="G26" s="577"/>
      <c r="H26" s="577"/>
      <c r="I26" s="577"/>
      <c r="J26" s="577"/>
      <c r="K26" s="577"/>
      <c r="L26" s="577"/>
      <c r="M26" s="578"/>
      <c r="N26" s="578"/>
    </row>
    <row r="27" spans="2:15" ht="15.5" x14ac:dyDescent="0.35">
      <c r="B27" s="217"/>
      <c r="C27" s="628"/>
      <c r="D27" s="278"/>
    </row>
    <row r="28" spans="2:15" ht="14.5" x14ac:dyDescent="0.35">
      <c r="B28" s="221" t="s">
        <v>0</v>
      </c>
      <c r="C28" s="273" t="s">
        <v>240</v>
      </c>
      <c r="D28" s="198"/>
      <c r="E28" s="575" t="s">
        <v>274</v>
      </c>
      <c r="L28" s="221" t="str">
        <f>B28</f>
        <v>Units</v>
      </c>
      <c r="N28" s="571" t="str">
        <f>C28</f>
        <v>Ethernet total-China</v>
      </c>
    </row>
    <row r="29" spans="2:15" x14ac:dyDescent="0.25">
      <c r="B29" s="228" t="s">
        <v>10</v>
      </c>
      <c r="C29" s="123" t="s">
        <v>11</v>
      </c>
      <c r="D29" s="228" t="s">
        <v>12</v>
      </c>
      <c r="E29" s="123">
        <v>2016</v>
      </c>
      <c r="F29" s="123">
        <v>2017</v>
      </c>
      <c r="G29" s="123">
        <v>2018</v>
      </c>
      <c r="H29" s="123">
        <v>2019</v>
      </c>
      <c r="I29" s="123">
        <v>2020</v>
      </c>
      <c r="J29" s="123">
        <v>2021</v>
      </c>
      <c r="K29" s="123">
        <v>2022</v>
      </c>
      <c r="L29" s="123">
        <v>2023</v>
      </c>
      <c r="M29" s="123">
        <v>2024</v>
      </c>
      <c r="N29" s="123">
        <v>2025</v>
      </c>
      <c r="O29" s="440"/>
    </row>
    <row r="30" spans="2:15" ht="12.75" customHeight="1" x14ac:dyDescent="0.25">
      <c r="B30" s="203" t="s">
        <v>469</v>
      </c>
      <c r="C30" s="167" t="s">
        <v>20</v>
      </c>
      <c r="D30" s="203" t="s">
        <v>20</v>
      </c>
      <c r="E30" s="417">
        <f>'Ethernet-Cloud'!E30+'Ethernet-Telecom'!E30+'Ethernet-Enterprise'!E30</f>
        <v>2863473.6774646235</v>
      </c>
      <c r="F30" s="417">
        <f>'Ethernet-Cloud'!F30+'Ethernet-Telecom'!F30+'Ethernet-Enterprise'!F30</f>
        <v>2381256.8681999999</v>
      </c>
      <c r="G30" s="417"/>
      <c r="H30" s="417"/>
      <c r="I30" s="417"/>
      <c r="J30" s="417"/>
      <c r="K30" s="417"/>
      <c r="L30" s="417"/>
      <c r="M30" s="417"/>
      <c r="N30" s="417"/>
      <c r="O30" s="277"/>
    </row>
    <row r="31" spans="2:15" x14ac:dyDescent="0.25">
      <c r="B31" s="203" t="s">
        <v>470</v>
      </c>
      <c r="C31" s="167" t="s">
        <v>20</v>
      </c>
      <c r="D31" s="203" t="s">
        <v>20</v>
      </c>
      <c r="E31" s="417">
        <f>'Ethernet-Cloud'!E31+'Ethernet-Telecom'!E31+'Ethernet-Enterprise'!E31</f>
        <v>3700420.6170334443</v>
      </c>
      <c r="F31" s="417">
        <f>'Ethernet-Cloud'!F31+'Ethernet-Telecom'!F31+'Ethernet-Enterprise'!F31</f>
        <v>4354610.1340645906</v>
      </c>
      <c r="G31" s="417"/>
      <c r="H31" s="417"/>
      <c r="I31" s="417"/>
      <c r="J31" s="417"/>
      <c r="K31" s="417"/>
      <c r="L31" s="417"/>
      <c r="M31" s="417"/>
      <c r="N31" s="417"/>
      <c r="O31" s="277"/>
    </row>
    <row r="32" spans="2:15" ht="13" x14ac:dyDescent="0.3">
      <c r="B32" s="203" t="s">
        <v>471</v>
      </c>
      <c r="C32" s="167" t="s">
        <v>20</v>
      </c>
      <c r="D32" s="282" t="s">
        <v>154</v>
      </c>
      <c r="E32" s="417">
        <f>'Ethernet-Cloud'!E32+'Ethernet-Telecom'!E32+'Ethernet-Enterprise'!E32</f>
        <v>584.70000000000005</v>
      </c>
      <c r="F32" s="417">
        <f>'Ethernet-Cloud'!F32+'Ethernet-Telecom'!F32+'Ethernet-Enterprise'!F32</f>
        <v>7932.89</v>
      </c>
      <c r="G32" s="417"/>
      <c r="H32" s="417"/>
      <c r="I32" s="417"/>
      <c r="J32" s="417"/>
      <c r="K32" s="417"/>
      <c r="L32" s="417"/>
      <c r="M32" s="417"/>
      <c r="N32" s="417"/>
      <c r="O32" s="277"/>
    </row>
    <row r="33" spans="2:15" x14ac:dyDescent="0.25">
      <c r="B33" s="203" t="s">
        <v>472</v>
      </c>
      <c r="C33" s="702" t="s">
        <v>161</v>
      </c>
      <c r="D33" s="203" t="s">
        <v>137</v>
      </c>
      <c r="E33" s="417">
        <f>'Ethernet-Cloud'!E33+'Ethernet-Telecom'!E33+'Ethernet-Enterprise'!E33</f>
        <v>378145.35</v>
      </c>
      <c r="F33" s="417">
        <f>'Ethernet-Cloud'!F33+'Ethernet-Telecom'!F33+'Ethernet-Enterprise'!F33</f>
        <v>545393.26049999997</v>
      </c>
      <c r="G33" s="417"/>
      <c r="H33" s="417"/>
      <c r="I33" s="417"/>
      <c r="J33" s="417"/>
      <c r="K33" s="417"/>
      <c r="L33" s="417"/>
      <c r="M33" s="417"/>
      <c r="N33" s="417"/>
      <c r="O33" s="277"/>
    </row>
    <row r="34" spans="2:15" ht="13" customHeight="1" x14ac:dyDescent="0.25">
      <c r="B34" s="203" t="s">
        <v>473</v>
      </c>
      <c r="C34" s="264" t="s">
        <v>22</v>
      </c>
      <c r="D34" s="203" t="s">
        <v>137</v>
      </c>
      <c r="E34" s="417">
        <f>'Ethernet-Cloud'!E34+'Ethernet-Telecom'!E34+'Ethernet-Enterprise'!E34</f>
        <v>48827.4</v>
      </c>
      <c r="F34" s="417">
        <f>'Ethernet-Cloud'!F34+'Ethernet-Telecom'!F34+'Ethernet-Enterprise'!F34</f>
        <v>49091.200000000004</v>
      </c>
      <c r="G34" s="417"/>
      <c r="H34" s="417"/>
      <c r="I34" s="417"/>
      <c r="J34" s="417"/>
      <c r="K34" s="417"/>
      <c r="L34" s="417"/>
      <c r="M34" s="417"/>
      <c r="N34" s="417"/>
      <c r="O34" s="277"/>
    </row>
    <row r="35" spans="2:15" ht="11.5" customHeight="1" x14ac:dyDescent="0.25">
      <c r="B35" s="807" t="s">
        <v>474</v>
      </c>
      <c r="C35" s="808" t="s">
        <v>23</v>
      </c>
      <c r="D35" s="270" t="s">
        <v>146</v>
      </c>
      <c r="E35" s="417">
        <f>'Ethernet-Cloud'!E35+'Ethernet-Telecom'!E35+'Ethernet-Enterprise'!E35</f>
        <v>0</v>
      </c>
      <c r="F35" s="417">
        <f>'Ethernet-Cloud'!F35+'Ethernet-Telecom'!F35+'Ethernet-Enterprise'!F35</f>
        <v>0</v>
      </c>
      <c r="G35" s="417"/>
      <c r="H35" s="417"/>
      <c r="I35" s="417"/>
      <c r="J35" s="417"/>
      <c r="K35" s="417"/>
      <c r="L35" s="417"/>
      <c r="M35" s="417"/>
      <c r="N35" s="417"/>
      <c r="O35" s="277"/>
    </row>
    <row r="36" spans="2:15" ht="12" customHeight="1" x14ac:dyDescent="0.25">
      <c r="B36" s="807"/>
      <c r="C36" s="808"/>
      <c r="D36" s="270" t="s">
        <v>147</v>
      </c>
      <c r="E36" s="417">
        <f>'Ethernet-Cloud'!E36+'Ethernet-Telecom'!E36+'Ethernet-Enterprise'!E36</f>
        <v>51722.99</v>
      </c>
      <c r="F36" s="417">
        <f>'Ethernet-Cloud'!F36+'Ethernet-Telecom'!F36+'Ethernet-Enterprise'!F36</f>
        <v>129058.56</v>
      </c>
      <c r="G36" s="417"/>
      <c r="H36" s="417"/>
      <c r="I36" s="417"/>
      <c r="J36" s="417"/>
      <c r="K36" s="417"/>
      <c r="L36" s="417"/>
      <c r="M36" s="417"/>
      <c r="N36" s="417"/>
      <c r="O36" s="277"/>
    </row>
    <row r="37" spans="2:15" x14ac:dyDescent="0.25">
      <c r="B37" s="807"/>
      <c r="C37" s="264" t="s">
        <v>24</v>
      </c>
      <c r="D37" s="203" t="s">
        <v>20</v>
      </c>
      <c r="E37" s="417">
        <f>'Ethernet-Cloud'!E37+'Ethernet-Telecom'!E37+'Ethernet-Enterprise'!E37</f>
        <v>27514.024000000001</v>
      </c>
      <c r="F37" s="417">
        <f>'Ethernet-Cloud'!F37+'Ethernet-Telecom'!F37+'Ethernet-Enterprise'!F37</f>
        <v>52638.890999999996</v>
      </c>
      <c r="G37" s="417"/>
      <c r="H37" s="417"/>
      <c r="I37" s="417"/>
      <c r="J37" s="417"/>
      <c r="K37" s="417"/>
      <c r="L37" s="417"/>
      <c r="M37" s="417"/>
      <c r="N37" s="417"/>
      <c r="O37" s="277"/>
    </row>
    <row r="38" spans="2:15" x14ac:dyDescent="0.25">
      <c r="B38" s="807"/>
      <c r="C38" s="264" t="s">
        <v>25</v>
      </c>
      <c r="D38" s="203" t="s">
        <v>20</v>
      </c>
      <c r="E38" s="417">
        <f>'Ethernet-Cloud'!E38+'Ethernet-Telecom'!E38+'Ethernet-Enterprise'!E38</f>
        <v>415.99000000000007</v>
      </c>
      <c r="F38" s="417">
        <f>'Ethernet-Cloud'!F38+'Ethernet-Telecom'!F38+'Ethernet-Enterprise'!F38</f>
        <v>526.904</v>
      </c>
      <c r="G38" s="417"/>
      <c r="H38" s="417"/>
      <c r="I38" s="417"/>
      <c r="J38" s="417"/>
      <c r="K38" s="417"/>
      <c r="L38" s="417"/>
      <c r="M38" s="417"/>
      <c r="N38" s="417"/>
      <c r="O38" s="277"/>
    </row>
    <row r="39" spans="2:15" x14ac:dyDescent="0.25">
      <c r="B39" s="270" t="s">
        <v>475</v>
      </c>
      <c r="C39" s="264" t="s">
        <v>60</v>
      </c>
      <c r="D39" s="203" t="s">
        <v>20</v>
      </c>
      <c r="E39" s="417">
        <f>'Ethernet-Cloud'!E39+'Ethernet-Telecom'!E39+'Ethernet-Enterprise'!E39</f>
        <v>0</v>
      </c>
      <c r="F39" s="417">
        <f>'Ethernet-Cloud'!F39+'Ethernet-Telecom'!F39+'Ethernet-Enterprise'!F39</f>
        <v>0</v>
      </c>
      <c r="G39" s="417"/>
      <c r="H39" s="417"/>
      <c r="I39" s="417"/>
      <c r="J39" s="417"/>
      <c r="K39" s="417"/>
      <c r="L39" s="417"/>
      <c r="M39" s="417"/>
      <c r="N39" s="417"/>
      <c r="O39" s="277"/>
    </row>
    <row r="40" spans="2:15" x14ac:dyDescent="0.25">
      <c r="B40" s="809" t="s">
        <v>476</v>
      </c>
      <c r="C40" s="264" t="s">
        <v>161</v>
      </c>
      <c r="D40" s="203" t="s">
        <v>20</v>
      </c>
      <c r="E40" s="417">
        <f>'Ethernet-Cloud'!E40+'Ethernet-Telecom'!E40+'Ethernet-Enterprise'!E40</f>
        <v>28869.035000000003</v>
      </c>
      <c r="F40" s="417">
        <f>'Ethernet-Cloud'!F40+'Ethernet-Telecom'!F40+'Ethernet-Enterprise'!F40</f>
        <v>125017.50000000001</v>
      </c>
      <c r="G40" s="417"/>
      <c r="H40" s="417"/>
      <c r="I40" s="417"/>
      <c r="J40" s="417"/>
      <c r="K40" s="417"/>
      <c r="L40" s="417"/>
      <c r="M40" s="417"/>
      <c r="N40" s="417"/>
      <c r="O40" s="277"/>
    </row>
    <row r="41" spans="2:15" x14ac:dyDescent="0.25">
      <c r="B41" s="809"/>
      <c r="C41" s="167" t="s">
        <v>22</v>
      </c>
      <c r="D41" s="203" t="s">
        <v>162</v>
      </c>
      <c r="E41" s="417">
        <f>'Ethernet-Cloud'!E41+'Ethernet-Telecom'!E41+'Ethernet-Enterprise'!E41</f>
        <v>0</v>
      </c>
      <c r="F41" s="417">
        <f>'Ethernet-Cloud'!F41+'Ethernet-Telecom'!F41+'Ethernet-Enterprise'!F41</f>
        <v>27869.002000000004</v>
      </c>
      <c r="G41" s="417"/>
      <c r="H41" s="417"/>
      <c r="I41" s="417"/>
      <c r="J41" s="417"/>
      <c r="K41" s="417"/>
      <c r="L41" s="417"/>
      <c r="M41" s="417"/>
      <c r="N41" s="417"/>
      <c r="O41" s="277"/>
    </row>
    <row r="42" spans="2:15" x14ac:dyDescent="0.25">
      <c r="B42" s="809"/>
      <c r="C42" s="264" t="s">
        <v>23</v>
      </c>
      <c r="D42" s="270" t="s">
        <v>162</v>
      </c>
      <c r="E42" s="417">
        <f>'Ethernet-Cloud'!E42+'Ethernet-Telecom'!E42+'Ethernet-Enterprise'!E42</f>
        <v>0</v>
      </c>
      <c r="F42" s="417">
        <f>'Ethernet-Cloud'!F42+'Ethernet-Telecom'!F42+'Ethernet-Enterprise'!F42</f>
        <v>5857.8180000000002</v>
      </c>
      <c r="G42" s="417"/>
      <c r="H42" s="417"/>
      <c r="I42" s="417"/>
      <c r="J42" s="417"/>
      <c r="K42" s="417"/>
      <c r="L42" s="417"/>
      <c r="M42" s="417"/>
      <c r="N42" s="417"/>
      <c r="O42" s="277"/>
    </row>
    <row r="43" spans="2:15" x14ac:dyDescent="0.25">
      <c r="B43" s="809"/>
      <c r="C43" s="264" t="s">
        <v>163</v>
      </c>
      <c r="D43" s="203" t="s">
        <v>20</v>
      </c>
      <c r="E43" s="417">
        <f>'Ethernet-Cloud'!E43+'Ethernet-Telecom'!E43+'Ethernet-Enterprise'!E43</f>
        <v>88107.040000000008</v>
      </c>
      <c r="F43" s="417">
        <f>'Ethernet-Cloud'!F43+'Ethernet-Telecom'!F43+'Ethernet-Enterprise'!F43</f>
        <v>94872.737999999983</v>
      </c>
      <c r="G43" s="417"/>
      <c r="H43" s="417"/>
      <c r="I43" s="417"/>
      <c r="J43" s="417"/>
      <c r="K43" s="417"/>
      <c r="L43" s="417"/>
      <c r="M43" s="417"/>
      <c r="N43" s="417"/>
      <c r="O43" s="277"/>
    </row>
    <row r="44" spans="2:15" x14ac:dyDescent="0.25">
      <c r="B44" s="809"/>
      <c r="C44" s="264" t="s">
        <v>25</v>
      </c>
      <c r="D44" s="203" t="s">
        <v>20</v>
      </c>
      <c r="E44" s="417">
        <f>'Ethernet-Cloud'!E44+'Ethernet-Telecom'!E44+'Ethernet-Enterprise'!E44</f>
        <v>1640.32</v>
      </c>
      <c r="F44" s="417">
        <f>'Ethernet-Cloud'!F44+'Ethernet-Telecom'!F44+'Ethernet-Enterprise'!F44</f>
        <v>2465.2799999999997</v>
      </c>
      <c r="G44" s="417"/>
      <c r="H44" s="417"/>
      <c r="I44" s="417"/>
      <c r="J44" s="417"/>
      <c r="K44" s="417"/>
      <c r="L44" s="417"/>
      <c r="M44" s="417"/>
      <c r="N44" s="417"/>
      <c r="O44" s="277"/>
    </row>
    <row r="45" spans="2:15" x14ac:dyDescent="0.25">
      <c r="B45" s="203" t="s">
        <v>477</v>
      </c>
      <c r="C45" s="203" t="s">
        <v>20</v>
      </c>
      <c r="D45" s="203" t="s">
        <v>20</v>
      </c>
      <c r="E45" s="417">
        <f>'Ethernet-Cloud'!E45+'Ethernet-Telecom'!E45+'Ethernet-Enterprise'!E45</f>
        <v>0</v>
      </c>
      <c r="F45" s="417">
        <f>'Ethernet-Cloud'!F45+'Ethernet-Telecom'!F45+'Ethernet-Enterprise'!F45</f>
        <v>0</v>
      </c>
      <c r="G45" s="417"/>
      <c r="H45" s="417"/>
      <c r="I45" s="417"/>
      <c r="J45" s="417"/>
      <c r="K45" s="417"/>
      <c r="L45" s="417"/>
      <c r="M45" s="417"/>
      <c r="N45" s="417"/>
      <c r="O45" s="277"/>
    </row>
    <row r="46" spans="2:15" x14ac:dyDescent="0.25">
      <c r="B46" s="203" t="s">
        <v>478</v>
      </c>
      <c r="C46" s="203" t="s">
        <v>20</v>
      </c>
      <c r="D46" s="203" t="s">
        <v>20</v>
      </c>
      <c r="E46" s="417">
        <f>'Ethernet-Cloud'!E46+'Ethernet-Telecom'!E46+'Ethernet-Enterprise'!E46</f>
        <v>0</v>
      </c>
      <c r="F46" s="417">
        <f>'Ethernet-Cloud'!F46+'Ethernet-Telecom'!F46+'Ethernet-Enterprise'!F46</f>
        <v>16.400000000000002</v>
      </c>
      <c r="G46" s="417"/>
      <c r="H46" s="417"/>
      <c r="I46" s="417"/>
      <c r="J46" s="417"/>
      <c r="K46" s="417"/>
      <c r="L46" s="417"/>
      <c r="M46" s="417"/>
      <c r="N46" s="417"/>
      <c r="O46" s="277"/>
    </row>
    <row r="47" spans="2:15" x14ac:dyDescent="0.25">
      <c r="B47" s="203" t="s">
        <v>480</v>
      </c>
      <c r="C47" s="203" t="s">
        <v>20</v>
      </c>
      <c r="D47" s="203" t="s">
        <v>20</v>
      </c>
      <c r="E47" s="417">
        <f>'Ethernet-Cloud'!E47+'Ethernet-Telecom'!E47+'Ethernet-Enterprise'!E47</f>
        <v>0</v>
      </c>
      <c r="F47" s="417">
        <f>'Ethernet-Cloud'!F47+'Ethernet-Telecom'!F47+'Ethernet-Enterprise'!F47</f>
        <v>0</v>
      </c>
      <c r="G47" s="417"/>
      <c r="H47" s="417"/>
      <c r="I47" s="417"/>
      <c r="J47" s="417"/>
      <c r="K47" s="417"/>
      <c r="L47" s="417"/>
      <c r="M47" s="417"/>
      <c r="N47" s="417"/>
      <c r="O47" s="277"/>
    </row>
    <row r="48" spans="2:15" x14ac:dyDescent="0.25">
      <c r="B48" s="372" t="s">
        <v>9</v>
      </c>
      <c r="C48" s="203" t="s">
        <v>20</v>
      </c>
      <c r="D48" s="203" t="s">
        <v>20</v>
      </c>
      <c r="E48" s="345">
        <f>SUM(E30:E47)</f>
        <v>7189721.1434980687</v>
      </c>
      <c r="F48" s="345">
        <f t="shared" ref="F48:N48" si="19">SUM(F30:F47)</f>
        <v>7776607.445764591</v>
      </c>
      <c r="G48" s="345"/>
      <c r="H48" s="345"/>
      <c r="I48" s="345"/>
      <c r="J48" s="345"/>
      <c r="K48" s="345"/>
      <c r="L48" s="345"/>
      <c r="M48" s="345"/>
      <c r="N48" s="345"/>
      <c r="O48" s="277"/>
    </row>
    <row r="49" spans="2:18" x14ac:dyDescent="0.25">
      <c r="B49" s="160"/>
      <c r="C49" s="160"/>
      <c r="D49" s="207"/>
      <c r="E49" s="8"/>
      <c r="F49" s="8">
        <f t="shared" ref="F49:N49" si="20">IF(E48=0,"",F48/E48-1)</f>
        <v>8.1628520849833741E-2</v>
      </c>
      <c r="G49" s="8"/>
      <c r="H49" s="8"/>
      <c r="I49" s="8"/>
      <c r="J49" s="8"/>
      <c r="K49" s="8"/>
      <c r="L49" s="8"/>
      <c r="M49" s="8"/>
      <c r="N49" s="8"/>
      <c r="Q49" s="2"/>
    </row>
    <row r="50" spans="2:18" ht="13" x14ac:dyDescent="0.3">
      <c r="B50" s="220" t="s">
        <v>53</v>
      </c>
      <c r="C50" s="273" t="str">
        <f>C28</f>
        <v>Ethernet total-China</v>
      </c>
      <c r="D50" s="198"/>
      <c r="E50" s="283"/>
      <c r="F50" s="283"/>
      <c r="G50" s="283"/>
      <c r="H50" s="283"/>
      <c r="L50" s="221" t="str">
        <f>B50</f>
        <v>ASP ($)</v>
      </c>
      <c r="N50" s="571" t="str">
        <f>C50</f>
        <v>Ethernet total-China</v>
      </c>
    </row>
    <row r="51" spans="2:18" x14ac:dyDescent="0.25">
      <c r="B51" s="227" t="s">
        <v>10</v>
      </c>
      <c r="C51" s="129" t="s">
        <v>11</v>
      </c>
      <c r="D51" s="228" t="s">
        <v>12</v>
      </c>
      <c r="E51" s="136">
        <v>2016</v>
      </c>
      <c r="F51" s="129">
        <v>2017</v>
      </c>
      <c r="G51" s="129">
        <v>2018</v>
      </c>
      <c r="H51" s="129">
        <v>2019</v>
      </c>
      <c r="I51" s="129">
        <v>2020</v>
      </c>
      <c r="J51" s="129">
        <v>2021</v>
      </c>
      <c r="K51" s="129">
        <v>2022</v>
      </c>
      <c r="L51" s="129">
        <v>2023</v>
      </c>
      <c r="M51" s="129">
        <v>2024</v>
      </c>
      <c r="N51" s="129">
        <v>2025</v>
      </c>
      <c r="O51" s="441"/>
    </row>
    <row r="52" spans="2:18" x14ac:dyDescent="0.25">
      <c r="B52" s="398" t="s">
        <v>469</v>
      </c>
      <c r="C52" s="405" t="str">
        <f>C30</f>
        <v>All</v>
      </c>
      <c r="D52" s="405" t="str">
        <f>D30</f>
        <v>All</v>
      </c>
      <c r="E52" s="296">
        <f>IF(E30=0,,E73*10^6/E30)</f>
        <v>11.78763863507271</v>
      </c>
      <c r="F52" s="296">
        <f t="shared" ref="F52:N52" si="21">IF(F30=0,,F73*10^6/F30)</f>
        <v>10.13246966510016</v>
      </c>
      <c r="G52" s="296"/>
      <c r="H52" s="296"/>
      <c r="I52" s="296"/>
      <c r="J52" s="296"/>
      <c r="K52" s="296"/>
      <c r="L52" s="296"/>
      <c r="M52" s="296"/>
      <c r="N52" s="296"/>
      <c r="O52" s="441"/>
      <c r="Q52" s="281"/>
      <c r="R52" s="281"/>
    </row>
    <row r="53" spans="2:18" x14ac:dyDescent="0.25">
      <c r="B53" s="398" t="s">
        <v>470</v>
      </c>
      <c r="C53" s="405" t="str">
        <f>C31</f>
        <v>All</v>
      </c>
      <c r="D53" s="405" t="str">
        <f>D31</f>
        <v>All</v>
      </c>
      <c r="E53" s="296">
        <f t="shared" ref="E53:N53" si="22">IF(E31=0,,E74*10^6/E31)</f>
        <v>33.817133630916665</v>
      </c>
      <c r="F53" s="296">
        <f t="shared" si="22"/>
        <v>25.530012348881272</v>
      </c>
      <c r="G53" s="296"/>
      <c r="H53" s="296"/>
      <c r="I53" s="296"/>
      <c r="J53" s="296"/>
      <c r="K53" s="296"/>
      <c r="L53" s="296"/>
      <c r="M53" s="296"/>
      <c r="N53" s="296"/>
      <c r="O53" s="441"/>
      <c r="Q53" s="281"/>
      <c r="R53" s="281"/>
    </row>
    <row r="54" spans="2:18" ht="13" x14ac:dyDescent="0.3">
      <c r="B54" s="398" t="s">
        <v>471</v>
      </c>
      <c r="C54" s="405" t="str">
        <f>C33</f>
        <v>100-300 m</v>
      </c>
      <c r="D54" s="282" t="s">
        <v>154</v>
      </c>
      <c r="E54" s="296">
        <f t="shared" ref="E54:N54" si="23">IF(E32=0,,E75*10^6/E32)</f>
        <v>291.79972635539593</v>
      </c>
      <c r="F54" s="296">
        <f t="shared" si="23"/>
        <v>169.30718458014624</v>
      </c>
      <c r="G54" s="296"/>
      <c r="H54" s="296"/>
      <c r="I54" s="296"/>
      <c r="J54" s="296"/>
      <c r="K54" s="296"/>
      <c r="L54" s="296"/>
      <c r="M54" s="296"/>
      <c r="N54" s="296"/>
      <c r="O54" s="441"/>
      <c r="Q54" s="281"/>
      <c r="R54" s="281"/>
    </row>
    <row r="55" spans="2:18" x14ac:dyDescent="0.25">
      <c r="B55" s="199" t="s">
        <v>472</v>
      </c>
      <c r="C55" s="401" t="s">
        <v>21</v>
      </c>
      <c r="D55" s="199" t="s">
        <v>55</v>
      </c>
      <c r="E55" s="296">
        <f t="shared" ref="E55:N55" si="24">IF(E33=0,,E76*10^6/E33)</f>
        <v>136.26681968891799</v>
      </c>
      <c r="F55" s="296">
        <f t="shared" si="24"/>
        <v>117.89670101728814</v>
      </c>
      <c r="G55" s="296"/>
      <c r="H55" s="296"/>
      <c r="I55" s="296"/>
      <c r="J55" s="296"/>
      <c r="K55" s="296"/>
      <c r="L55" s="296"/>
      <c r="M55" s="296"/>
      <c r="N55" s="296"/>
      <c r="O55" s="441"/>
      <c r="Q55" s="281"/>
      <c r="R55" s="281"/>
    </row>
    <row r="56" spans="2:18" ht="15.5" customHeight="1" x14ac:dyDescent="0.25">
      <c r="B56" s="203" t="s">
        <v>473</v>
      </c>
      <c r="C56" s="405" t="s">
        <v>22</v>
      </c>
      <c r="D56" s="203" t="s">
        <v>137</v>
      </c>
      <c r="E56" s="296">
        <f t="shared" ref="E56:N56" si="25">IF(E34=0,,E77*10^6/E34)</f>
        <v>253.19068527507093</v>
      </c>
      <c r="F56" s="296">
        <f t="shared" si="25"/>
        <v>262.79055146339874</v>
      </c>
      <c r="G56" s="296"/>
      <c r="H56" s="296"/>
      <c r="I56" s="296"/>
      <c r="J56" s="296"/>
      <c r="K56" s="296"/>
      <c r="L56" s="296"/>
      <c r="M56" s="296"/>
      <c r="N56" s="296"/>
      <c r="O56" s="441"/>
      <c r="Q56" s="281"/>
      <c r="R56" s="281"/>
    </row>
    <row r="57" spans="2:18" x14ac:dyDescent="0.25">
      <c r="B57" s="797" t="s">
        <v>474</v>
      </c>
      <c r="C57" s="805" t="s">
        <v>23</v>
      </c>
      <c r="D57" s="402" t="s">
        <v>146</v>
      </c>
      <c r="E57" s="296">
        <f t="shared" ref="E57:N57" si="26">IF(E35=0,,E78*10^6/E35)</f>
        <v>0</v>
      </c>
      <c r="F57" s="296">
        <f t="shared" si="26"/>
        <v>0</v>
      </c>
      <c r="G57" s="296"/>
      <c r="H57" s="296"/>
      <c r="I57" s="296"/>
      <c r="J57" s="296"/>
      <c r="K57" s="296"/>
      <c r="L57" s="296"/>
      <c r="M57" s="296"/>
      <c r="N57" s="296"/>
      <c r="Q57" s="281"/>
      <c r="R57" s="281"/>
    </row>
    <row r="58" spans="2:18" ht="14" customHeight="1" x14ac:dyDescent="0.25">
      <c r="B58" s="798"/>
      <c r="C58" s="806"/>
      <c r="D58" s="270" t="s">
        <v>147</v>
      </c>
      <c r="E58" s="296">
        <f t="shared" ref="E58:N58" si="27">IF(E36=0,,E79*10^6/E36)</f>
        <v>377.60055209491952</v>
      </c>
      <c r="F58" s="296">
        <f t="shared" si="27"/>
        <v>343.5254726908467</v>
      </c>
      <c r="G58" s="296"/>
      <c r="H58" s="296"/>
      <c r="I58" s="296"/>
      <c r="J58" s="296"/>
      <c r="K58" s="296"/>
      <c r="L58" s="296"/>
      <c r="M58" s="296"/>
      <c r="N58" s="296"/>
      <c r="Q58" s="281"/>
      <c r="R58" s="281"/>
    </row>
    <row r="59" spans="2:18" x14ac:dyDescent="0.25">
      <c r="B59" s="798"/>
      <c r="C59" s="405" t="s">
        <v>24</v>
      </c>
      <c r="D59" s="202" t="s">
        <v>20</v>
      </c>
      <c r="E59" s="296">
        <f t="shared" ref="E59:N59" si="28">IF(E37=0,,E80*10^6/E37)</f>
        <v>428.45038668806887</v>
      </c>
      <c r="F59" s="296">
        <f t="shared" si="28"/>
        <v>401.70042154869628</v>
      </c>
      <c r="G59" s="296"/>
      <c r="H59" s="296"/>
      <c r="I59" s="296"/>
      <c r="J59" s="296"/>
      <c r="K59" s="296"/>
      <c r="L59" s="296"/>
      <c r="M59" s="296"/>
      <c r="N59" s="296"/>
      <c r="Q59" s="281"/>
      <c r="R59" s="281"/>
    </row>
    <row r="60" spans="2:18" x14ac:dyDescent="0.25">
      <c r="B60" s="799"/>
      <c r="C60" s="170" t="s">
        <v>25</v>
      </c>
      <c r="D60" s="203" t="str">
        <f t="shared" ref="D60:D67" si="29">D38</f>
        <v>All</v>
      </c>
      <c r="E60" s="296">
        <f t="shared" ref="E60:N60" si="30">IF(E38=0,,E81*10^6/E38)</f>
        <v>1673.0572324239706</v>
      </c>
      <c r="F60" s="296">
        <f t="shared" si="30"/>
        <v>1459.2330281290015</v>
      </c>
      <c r="G60" s="296"/>
      <c r="H60" s="296"/>
      <c r="I60" s="296"/>
      <c r="J60" s="296"/>
      <c r="K60" s="296"/>
      <c r="L60" s="296"/>
      <c r="M60" s="296"/>
      <c r="N60" s="296"/>
      <c r="Q60" s="281"/>
      <c r="R60" s="281"/>
    </row>
    <row r="61" spans="2:18" x14ac:dyDescent="0.25">
      <c r="B61" s="403" t="str">
        <f>B39</f>
        <v>50 G</v>
      </c>
      <c r="C61" s="405" t="str">
        <f>C39</f>
        <v>all</v>
      </c>
      <c r="D61" s="203" t="str">
        <f t="shared" si="29"/>
        <v>All</v>
      </c>
      <c r="E61" s="296">
        <f t="shared" ref="E61:N61" si="31">IF(E39=0,,E82*10^6/E39)</f>
        <v>0</v>
      </c>
      <c r="F61" s="296">
        <f t="shared" si="31"/>
        <v>0</v>
      </c>
      <c r="G61" s="296"/>
      <c r="H61" s="296"/>
      <c r="I61" s="296"/>
      <c r="J61" s="296"/>
      <c r="K61" s="296"/>
      <c r="L61" s="296"/>
      <c r="M61" s="296"/>
      <c r="N61" s="296"/>
      <c r="Q61" s="281"/>
      <c r="R61" s="281"/>
    </row>
    <row r="62" spans="2:18" x14ac:dyDescent="0.25">
      <c r="B62" s="802" t="str">
        <f>B40</f>
        <v>100 G</v>
      </c>
      <c r="C62" s="401" t="str">
        <f>C40</f>
        <v>100-300 m</v>
      </c>
      <c r="D62" s="203" t="str">
        <f t="shared" si="29"/>
        <v>All</v>
      </c>
      <c r="E62" s="296">
        <f t="shared" ref="E62:N62" si="32">IF(E40=0,,E83*10^6/E40)</f>
        <v>291.43459731161778</v>
      </c>
      <c r="F62" s="296">
        <f t="shared" si="32"/>
        <v>185.86655569135519</v>
      </c>
      <c r="G62" s="296"/>
      <c r="H62" s="296"/>
      <c r="I62" s="296"/>
      <c r="J62" s="296"/>
      <c r="K62" s="296"/>
      <c r="L62" s="296"/>
      <c r="M62" s="296"/>
      <c r="N62" s="296"/>
      <c r="Q62" s="281"/>
      <c r="R62" s="281"/>
    </row>
    <row r="63" spans="2:18" x14ac:dyDescent="0.25">
      <c r="B63" s="803"/>
      <c r="C63" s="401" t="s">
        <v>22</v>
      </c>
      <c r="D63" s="203" t="str">
        <f t="shared" si="29"/>
        <v>QSFP28</v>
      </c>
      <c r="E63" s="296">
        <f t="shared" ref="E63:N63" si="33">IF(E41=0,,E84*10^6/E41)</f>
        <v>0</v>
      </c>
      <c r="F63" s="296">
        <f t="shared" si="33"/>
        <v>334.15581081805504</v>
      </c>
      <c r="G63" s="296"/>
      <c r="H63" s="296"/>
      <c r="I63" s="296"/>
      <c r="J63" s="296"/>
      <c r="K63" s="296"/>
      <c r="L63" s="296"/>
      <c r="M63" s="296"/>
      <c r="N63" s="296"/>
      <c r="Q63" s="281"/>
      <c r="R63" s="281"/>
    </row>
    <row r="64" spans="2:18" ht="12.75" customHeight="1" x14ac:dyDescent="0.25">
      <c r="B64" s="803"/>
      <c r="C64" s="405" t="str">
        <f>C42</f>
        <v>2 km</v>
      </c>
      <c r="D64" s="404" t="str">
        <f t="shared" si="29"/>
        <v>QSFP28</v>
      </c>
      <c r="E64" s="296">
        <f t="shared" ref="E64:N64" si="34">IF(E42=0,,E85*10^6/E42)</f>
        <v>0</v>
      </c>
      <c r="F64" s="296">
        <f t="shared" si="34"/>
        <v>650</v>
      </c>
      <c r="G64" s="296"/>
      <c r="H64" s="296"/>
      <c r="I64" s="296"/>
      <c r="J64" s="296"/>
      <c r="K64" s="296"/>
      <c r="L64" s="296"/>
      <c r="M64" s="296"/>
      <c r="N64" s="296"/>
      <c r="Q64" s="281"/>
      <c r="R64" s="281"/>
    </row>
    <row r="65" spans="2:18" x14ac:dyDescent="0.25">
      <c r="B65" s="803"/>
      <c r="C65" s="405" t="str">
        <f>C43</f>
        <v>10-20 km</v>
      </c>
      <c r="D65" s="399" t="str">
        <f t="shared" si="29"/>
        <v>All</v>
      </c>
      <c r="E65" s="296">
        <f t="shared" ref="E65:N65" si="35">IF(E43=0,,E86*10^6/E43)</f>
        <v>3127.0662136529249</v>
      </c>
      <c r="F65" s="296">
        <f t="shared" si="35"/>
        <v>1854.9119939643213</v>
      </c>
      <c r="G65" s="296"/>
      <c r="H65" s="296"/>
      <c r="I65" s="296"/>
      <c r="J65" s="296"/>
      <c r="K65" s="296"/>
      <c r="L65" s="296"/>
      <c r="M65" s="296"/>
      <c r="N65" s="296"/>
      <c r="Q65" s="281"/>
      <c r="R65" s="281"/>
    </row>
    <row r="66" spans="2:18" x14ac:dyDescent="0.25">
      <c r="B66" s="804"/>
      <c r="C66" s="170" t="str">
        <f>C44</f>
        <v>40 km</v>
      </c>
      <c r="D66" s="199" t="str">
        <f t="shared" si="29"/>
        <v>All</v>
      </c>
      <c r="E66" s="296">
        <f t="shared" ref="E66:N66" si="36">IF(E44=0,,E87*10^6/E44)</f>
        <v>8992.3605424008583</v>
      </c>
      <c r="F66" s="296">
        <f t="shared" si="36"/>
        <v>6042.927196558162</v>
      </c>
      <c r="G66" s="296"/>
      <c r="H66" s="296"/>
      <c r="I66" s="296"/>
      <c r="J66" s="296"/>
      <c r="K66" s="296"/>
      <c r="L66" s="296"/>
      <c r="M66" s="296"/>
      <c r="N66" s="296"/>
      <c r="Q66" s="281"/>
      <c r="R66" s="281"/>
    </row>
    <row r="67" spans="2:18" x14ac:dyDescent="0.25">
      <c r="B67" s="201" t="str">
        <f>B45</f>
        <v>200 G</v>
      </c>
      <c r="C67" s="203" t="str">
        <f>C45</f>
        <v>All</v>
      </c>
      <c r="D67" s="203" t="str">
        <f t="shared" si="29"/>
        <v>All</v>
      </c>
      <c r="E67" s="296">
        <f t="shared" ref="E67:N67" si="37">IF(E45=0,,E88*10^6/E45)</f>
        <v>0</v>
      </c>
      <c r="F67" s="296">
        <f t="shared" si="37"/>
        <v>0</v>
      </c>
      <c r="G67" s="296"/>
      <c r="H67" s="296"/>
      <c r="I67" s="296"/>
      <c r="J67" s="296"/>
      <c r="K67" s="296"/>
      <c r="L67" s="296"/>
      <c r="M67" s="296"/>
      <c r="N67" s="296"/>
      <c r="Q67" s="281"/>
      <c r="R67" s="281"/>
    </row>
    <row r="68" spans="2:18" x14ac:dyDescent="0.25">
      <c r="B68" s="201" t="s">
        <v>478</v>
      </c>
      <c r="C68" s="203" t="s">
        <v>20</v>
      </c>
      <c r="D68" s="203" t="s">
        <v>20</v>
      </c>
      <c r="E68" s="296">
        <f t="shared" ref="E68:N68" si="38">IF(E46=0,,E89*10^6/E46)</f>
        <v>0</v>
      </c>
      <c r="F68" s="296">
        <f t="shared" si="38"/>
        <v>15451.219512195123</v>
      </c>
      <c r="G68" s="296"/>
      <c r="H68" s="296"/>
      <c r="I68" s="296"/>
      <c r="J68" s="296"/>
      <c r="K68" s="296"/>
      <c r="L68" s="296"/>
      <c r="M68" s="296"/>
      <c r="N68" s="296"/>
      <c r="Q68" s="281"/>
      <c r="R68" s="281"/>
    </row>
    <row r="69" spans="2:18" x14ac:dyDescent="0.25">
      <c r="B69" s="201" t="s">
        <v>481</v>
      </c>
      <c r="C69" s="203" t="s">
        <v>20</v>
      </c>
      <c r="D69" s="203" t="s">
        <v>20</v>
      </c>
      <c r="E69" s="296">
        <f t="shared" ref="E69:N69" si="39">IF(E47=0,,E90*10^6/E47)</f>
        <v>0</v>
      </c>
      <c r="F69" s="296">
        <f t="shared" si="39"/>
        <v>0</v>
      </c>
      <c r="G69" s="296"/>
      <c r="H69" s="296"/>
      <c r="I69" s="296"/>
      <c r="J69" s="296"/>
      <c r="K69" s="296"/>
      <c r="L69" s="296"/>
      <c r="M69" s="296"/>
      <c r="N69" s="296"/>
      <c r="Q69" s="281"/>
      <c r="R69" s="281"/>
    </row>
    <row r="70" spans="2:18" x14ac:dyDescent="0.25">
      <c r="C70" s="160"/>
      <c r="D70" s="160"/>
    </row>
    <row r="71" spans="2:18" ht="14.5" x14ac:dyDescent="0.35">
      <c r="B71" s="220" t="s">
        <v>1</v>
      </c>
      <c r="C71" s="273" t="str">
        <f>C28</f>
        <v>Ethernet total-China</v>
      </c>
      <c r="D71" s="198"/>
      <c r="E71" s="575" t="str">
        <f>E28</f>
        <v>this table is calculated as the sum of the Cloud and Ethernet numbers</v>
      </c>
      <c r="L71" s="221" t="str">
        <f>B71</f>
        <v>Sales ($M)</v>
      </c>
      <c r="N71" s="571" t="str">
        <f>C71</f>
        <v>Ethernet total-China</v>
      </c>
    </row>
    <row r="72" spans="2:18" x14ac:dyDescent="0.25">
      <c r="B72" s="225" t="s">
        <v>10</v>
      </c>
      <c r="C72" s="7" t="s">
        <v>11</v>
      </c>
      <c r="D72" s="226" t="s">
        <v>12</v>
      </c>
      <c r="E72" s="129">
        <v>2016</v>
      </c>
      <c r="F72" s="129">
        <v>2017</v>
      </c>
      <c r="G72" s="129">
        <v>2018</v>
      </c>
      <c r="H72" s="129">
        <v>2019</v>
      </c>
      <c r="I72" s="129">
        <v>2020</v>
      </c>
      <c r="J72" s="129">
        <v>2021</v>
      </c>
      <c r="K72" s="129">
        <v>2022</v>
      </c>
      <c r="L72" s="129">
        <v>2023</v>
      </c>
      <c r="M72" s="129">
        <v>2024</v>
      </c>
      <c r="N72" s="129">
        <v>2025</v>
      </c>
      <c r="O72" s="440"/>
    </row>
    <row r="73" spans="2:18" x14ac:dyDescent="0.25">
      <c r="B73" s="398" t="s">
        <v>469</v>
      </c>
      <c r="C73" s="405" t="str">
        <f>C30</f>
        <v>All</v>
      </c>
      <c r="D73" s="405" t="str">
        <f>D30</f>
        <v>All</v>
      </c>
      <c r="E73" s="294">
        <f>'Ethernet-Cloud'!E73+'Ethernet-Telecom'!E73+'Ethernet-Enterprise'!E73</f>
        <v>33.753592950995731</v>
      </c>
      <c r="F73" s="294">
        <f>'Ethernet-Cloud'!F73+'Ethernet-Telecom'!F73+'Ethernet-Enterprise'!F73</f>
        <v>24.12801298184791</v>
      </c>
      <c r="G73" s="294"/>
      <c r="H73" s="294"/>
      <c r="I73" s="294"/>
      <c r="J73" s="294"/>
      <c r="K73" s="294"/>
      <c r="L73" s="297"/>
      <c r="M73" s="297"/>
      <c r="N73" s="297"/>
      <c r="O73" s="663"/>
    </row>
    <row r="74" spans="2:18" x14ac:dyDescent="0.25">
      <c r="B74" s="398" t="s">
        <v>479</v>
      </c>
      <c r="C74" s="167" t="str">
        <f>C31</f>
        <v>All</v>
      </c>
      <c r="D74" s="167" t="str">
        <f>D31</f>
        <v>All</v>
      </c>
      <c r="E74" s="294">
        <f>'Ethernet-Cloud'!E74+'Ethernet-Telecom'!E74+'Ethernet-Enterprise'!E74</f>
        <v>125.13761849681907</v>
      </c>
      <c r="F74" s="294">
        <f>'Ethernet-Cloud'!F74+'Ethernet-Telecom'!F74+'Ethernet-Enterprise'!F74</f>
        <v>111.17325049723253</v>
      </c>
      <c r="G74" s="294"/>
      <c r="H74" s="294"/>
      <c r="I74" s="294"/>
      <c r="J74" s="294"/>
      <c r="K74" s="294"/>
      <c r="L74" s="296"/>
      <c r="M74" s="296"/>
      <c r="N74" s="296"/>
      <c r="O74" s="663"/>
    </row>
    <row r="75" spans="2:18" ht="13" x14ac:dyDescent="0.3">
      <c r="B75" s="203" t="s">
        <v>471</v>
      </c>
      <c r="C75" s="405" t="s">
        <v>20</v>
      </c>
      <c r="D75" s="282" t="s">
        <v>154</v>
      </c>
      <c r="E75" s="294">
        <f>'Ethernet-Cloud'!E75+'Ethernet-Telecom'!E75+'Ethernet-Enterprise'!E75</f>
        <v>0.17061530000000003</v>
      </c>
      <c r="F75" s="294">
        <f>'Ethernet-Cloud'!F75+'Ethernet-Telecom'!F75+'Ethernet-Enterprise'!F75</f>
        <v>1.3430952714839963</v>
      </c>
      <c r="G75" s="294"/>
      <c r="H75" s="294"/>
      <c r="I75" s="294"/>
      <c r="J75" s="294"/>
      <c r="K75" s="294"/>
      <c r="L75" s="297"/>
      <c r="M75" s="297"/>
      <c r="N75" s="297"/>
      <c r="O75" s="663"/>
    </row>
    <row r="76" spans="2:18" x14ac:dyDescent="0.25">
      <c r="B76" s="199" t="s">
        <v>472</v>
      </c>
      <c r="C76" s="401" t="str">
        <f>C54</f>
        <v>100-300 m</v>
      </c>
      <c r="D76" s="199" t="s">
        <v>137</v>
      </c>
      <c r="E76" s="294">
        <f>'Ethernet-Cloud'!E76+'Ethernet-Telecom'!E76+'Ethernet-Enterprise'!E76</f>
        <v>51.528664224652779</v>
      </c>
      <c r="F76" s="294">
        <f>'Ethernet-Cloud'!F76+'Ethernet-Telecom'!F76+'Ethernet-Enterprise'!F76</f>
        <v>64.300066170012443</v>
      </c>
      <c r="G76" s="294"/>
      <c r="H76" s="294"/>
      <c r="I76" s="294"/>
      <c r="J76" s="294"/>
      <c r="K76" s="294"/>
      <c r="L76" s="294"/>
      <c r="M76" s="297"/>
      <c r="N76" s="297"/>
      <c r="O76" s="663"/>
      <c r="P76" s="184"/>
    </row>
    <row r="77" spans="2:18" ht="14.5" customHeight="1" x14ac:dyDescent="0.25">
      <c r="B77" s="203" t="s">
        <v>473</v>
      </c>
      <c r="C77" s="405" t="s">
        <v>22</v>
      </c>
      <c r="D77" s="203" t="s">
        <v>137</v>
      </c>
      <c r="E77" s="294">
        <f>'Ethernet-Cloud'!E77+'Ethernet-Telecom'!E77+'Ethernet-Enterprise'!E77</f>
        <v>12.362642866199998</v>
      </c>
      <c r="F77" s="294">
        <f>'Ethernet-Cloud'!F77+'Ethernet-Telecom'!F77+'Ethernet-Enterprise'!F77</f>
        <v>12.900703520000002</v>
      </c>
      <c r="G77" s="294"/>
      <c r="H77" s="294"/>
      <c r="I77" s="294"/>
      <c r="J77" s="294"/>
      <c r="K77" s="294"/>
      <c r="L77" s="297"/>
      <c r="M77" s="297"/>
      <c r="N77" s="297"/>
      <c r="O77" s="663"/>
      <c r="P77" s="184"/>
    </row>
    <row r="78" spans="2:18" x14ac:dyDescent="0.25">
      <c r="B78" s="797" t="s">
        <v>474</v>
      </c>
      <c r="C78" s="805" t="s">
        <v>23</v>
      </c>
      <c r="D78" s="298" t="s">
        <v>146</v>
      </c>
      <c r="E78" s="294">
        <f>'Ethernet-Cloud'!E78+'Ethernet-Telecom'!E78+'Ethernet-Enterprise'!E78</f>
        <v>0</v>
      </c>
      <c r="F78" s="294">
        <f>'Ethernet-Cloud'!F78+'Ethernet-Telecom'!F78+'Ethernet-Enterprise'!F78</f>
        <v>0</v>
      </c>
      <c r="G78" s="294"/>
      <c r="H78" s="294"/>
      <c r="I78" s="294"/>
      <c r="J78" s="294"/>
      <c r="K78" s="294"/>
      <c r="L78" s="297"/>
      <c r="M78" s="297"/>
      <c r="N78" s="297"/>
      <c r="O78" s="663"/>
      <c r="P78" s="184"/>
    </row>
    <row r="79" spans="2:18" ht="13.5" customHeight="1" x14ac:dyDescent="0.25">
      <c r="B79" s="798"/>
      <c r="C79" s="806"/>
      <c r="D79" s="270" t="s">
        <v>147</v>
      </c>
      <c r="E79" s="294">
        <f>'Ethernet-Cloud'!E79+'Ethernet-Telecom'!E79+'Ethernet-Enterprise'!E79</f>
        <v>19.530629580000003</v>
      </c>
      <c r="F79" s="294">
        <f>'Ethernet-Cloud'!F79+'Ethernet-Telecom'!F79+'Ethernet-Enterprise'!F79</f>
        <v>44.334902828799997</v>
      </c>
      <c r="G79" s="294"/>
      <c r="H79" s="294"/>
      <c r="I79" s="294"/>
      <c r="J79" s="294"/>
      <c r="K79" s="294"/>
      <c r="L79" s="297"/>
      <c r="M79" s="297"/>
      <c r="N79" s="297"/>
      <c r="O79" s="663"/>
      <c r="P79" s="184"/>
    </row>
    <row r="80" spans="2:18" x14ac:dyDescent="0.25">
      <c r="B80" s="798"/>
      <c r="C80" s="405" t="s">
        <v>24</v>
      </c>
      <c r="D80" s="398" t="str">
        <f t="shared" ref="D80:D90" si="40">D37</f>
        <v>All</v>
      </c>
      <c r="E80" s="294">
        <f>'Ethernet-Cloud'!E80+'Ethernet-Telecom'!E80+'Ethernet-Enterprise'!E80</f>
        <v>11.788394222144809</v>
      </c>
      <c r="F80" s="294">
        <f>'Ethernet-Cloud'!F80+'Ethernet-Telecom'!F80+'Ethernet-Enterprise'!F80</f>
        <v>21.145064704555875</v>
      </c>
      <c r="G80" s="294"/>
      <c r="H80" s="294"/>
      <c r="I80" s="294"/>
      <c r="J80" s="294"/>
      <c r="K80" s="294"/>
      <c r="L80" s="297"/>
      <c r="M80" s="297"/>
      <c r="N80" s="297"/>
      <c r="O80" s="663"/>
      <c r="P80" s="184"/>
    </row>
    <row r="81" spans="2:15" x14ac:dyDescent="0.25">
      <c r="B81" s="799"/>
      <c r="C81" s="170" t="s">
        <v>25</v>
      </c>
      <c r="D81" s="398" t="str">
        <f t="shared" si="40"/>
        <v>All</v>
      </c>
      <c r="E81" s="294">
        <f>'Ethernet-Cloud'!E81+'Ethernet-Telecom'!E81+'Ethernet-Enterprise'!E81</f>
        <v>0.69597507811604764</v>
      </c>
      <c r="F81" s="294">
        <f>'Ethernet-Cloud'!F81+'Ethernet-Telecom'!F81+'Ethernet-Enterprise'!F81</f>
        <v>0.76887571945328337</v>
      </c>
      <c r="G81" s="294"/>
      <c r="H81" s="294"/>
      <c r="I81" s="294"/>
      <c r="J81" s="294"/>
      <c r="K81" s="294"/>
      <c r="L81" s="294"/>
      <c r="M81" s="297"/>
      <c r="N81" s="297"/>
      <c r="O81" s="663"/>
    </row>
    <row r="82" spans="2:15" x14ac:dyDescent="0.25">
      <c r="B82" s="403" t="str">
        <f>B39</f>
        <v>50 G</v>
      </c>
      <c r="C82" s="405" t="str">
        <f>C39</f>
        <v>all</v>
      </c>
      <c r="D82" s="398" t="str">
        <f t="shared" si="40"/>
        <v>All</v>
      </c>
      <c r="E82" s="294">
        <f>'Ethernet-Cloud'!E82+'Ethernet-Telecom'!E82+'Ethernet-Enterprise'!E82</f>
        <v>0</v>
      </c>
      <c r="F82" s="294">
        <f>'Ethernet-Cloud'!F82+'Ethernet-Telecom'!F82+'Ethernet-Enterprise'!F82</f>
        <v>0</v>
      </c>
      <c r="G82" s="294"/>
      <c r="H82" s="294"/>
      <c r="I82" s="294"/>
      <c r="J82" s="294"/>
      <c r="K82" s="294"/>
      <c r="L82" s="297"/>
      <c r="M82" s="297"/>
      <c r="N82" s="297"/>
      <c r="O82" s="663"/>
    </row>
    <row r="83" spans="2:15" x14ac:dyDescent="0.25">
      <c r="B83" s="802" t="str">
        <f>B40</f>
        <v>100 G</v>
      </c>
      <c r="C83" s="401" t="str">
        <f>C40</f>
        <v>100-300 m</v>
      </c>
      <c r="D83" s="398" t="str">
        <f t="shared" si="40"/>
        <v>All</v>
      </c>
      <c r="E83" s="294">
        <f>'Ethernet-Cloud'!E83+'Ethernet-Telecom'!E83+'Ethernet-Enterprise'!E83</f>
        <v>8.4134355900000006</v>
      </c>
      <c r="F83" s="294">
        <f>'Ethernet-Cloud'!F83+'Ethernet-Telecom'!F83+'Ethernet-Enterprise'!F83</f>
        <v>23.236572126144001</v>
      </c>
      <c r="G83" s="294"/>
      <c r="H83" s="294"/>
      <c r="I83" s="294"/>
      <c r="J83" s="294"/>
      <c r="K83" s="294"/>
      <c r="L83" s="297"/>
      <c r="M83" s="297"/>
      <c r="N83" s="297"/>
      <c r="O83" s="663"/>
    </row>
    <row r="84" spans="2:15" x14ac:dyDescent="0.25">
      <c r="B84" s="803"/>
      <c r="C84" s="405" t="str">
        <f t="shared" ref="C84:C90" si="41">C41</f>
        <v>500 m</v>
      </c>
      <c r="D84" s="270" t="str">
        <f t="shared" si="40"/>
        <v>QSFP28</v>
      </c>
      <c r="E84" s="294">
        <f>'Ethernet-Cloud'!E84+'Ethernet-Telecom'!E84+'Ethernet-Enterprise'!E84</f>
        <v>0</v>
      </c>
      <c r="F84" s="294">
        <f>'Ethernet-Cloud'!F84+'Ethernet-Telecom'!F84+'Ethernet-Enterprise'!F84</f>
        <v>9.3125889599999994</v>
      </c>
      <c r="G84" s="294"/>
      <c r="H84" s="294"/>
      <c r="I84" s="294"/>
      <c r="J84" s="294"/>
      <c r="K84" s="294"/>
      <c r="L84" s="297"/>
      <c r="M84" s="296"/>
      <c r="N84" s="296"/>
      <c r="O84" s="663"/>
    </row>
    <row r="85" spans="2:15" ht="12.75" customHeight="1" x14ac:dyDescent="0.25">
      <c r="B85" s="803"/>
      <c r="C85" s="405" t="str">
        <f t="shared" si="41"/>
        <v>2 km</v>
      </c>
      <c r="D85" s="404" t="str">
        <f t="shared" si="40"/>
        <v>QSFP28</v>
      </c>
      <c r="E85" s="294">
        <f>'Ethernet-Cloud'!E85+'Ethernet-Telecom'!E85+'Ethernet-Enterprise'!E85</f>
        <v>0</v>
      </c>
      <c r="F85" s="294">
        <f>'Ethernet-Cloud'!F85+'Ethernet-Telecom'!F85+'Ethernet-Enterprise'!F85</f>
        <v>3.8075817000000001</v>
      </c>
      <c r="G85" s="294"/>
      <c r="H85" s="294"/>
      <c r="I85" s="294"/>
      <c r="J85" s="294"/>
      <c r="K85" s="294"/>
      <c r="L85" s="297"/>
      <c r="M85" s="297"/>
      <c r="N85" s="297"/>
      <c r="O85" s="663"/>
    </row>
    <row r="86" spans="2:15" x14ac:dyDescent="0.25">
      <c r="B86" s="803"/>
      <c r="C86" s="405" t="str">
        <f t="shared" si="41"/>
        <v>10-20 km</v>
      </c>
      <c r="D86" s="399" t="str">
        <f t="shared" si="40"/>
        <v>All</v>
      </c>
      <c r="E86" s="294">
        <f>'Ethernet-Cloud'!E86+'Ethernet-Telecom'!E86+'Ethernet-Enterprise'!E86</f>
        <v>275.51654796896685</v>
      </c>
      <c r="F86" s="294">
        <f>'Ethernet-Cloud'!F86+'Ethernet-Telecom'!F86+'Ethernet-Enterprise'!F86</f>
        <v>175.9805796164346</v>
      </c>
      <c r="G86" s="294"/>
      <c r="H86" s="294"/>
      <c r="I86" s="294"/>
      <c r="J86" s="294"/>
      <c r="K86" s="294"/>
      <c r="L86" s="297"/>
      <c r="M86" s="297"/>
      <c r="N86" s="297"/>
      <c r="O86" s="663"/>
    </row>
    <row r="87" spans="2:15" x14ac:dyDescent="0.25">
      <c r="B87" s="804"/>
      <c r="C87" s="170" t="str">
        <f t="shared" si="41"/>
        <v>40 km</v>
      </c>
      <c r="D87" s="199" t="str">
        <f t="shared" si="40"/>
        <v>All</v>
      </c>
      <c r="E87" s="294">
        <f>'Ethernet-Cloud'!E87+'Ethernet-Telecom'!E87+'Ethernet-Enterprise'!E87</f>
        <v>14.750348844910976</v>
      </c>
      <c r="F87" s="294">
        <f>'Ethernet-Cloud'!F87+'Ethernet-Telecom'!F87+'Ethernet-Enterprise'!F87</f>
        <v>14.897507559130903</v>
      </c>
      <c r="G87" s="294"/>
      <c r="H87" s="294"/>
      <c r="I87" s="294"/>
      <c r="J87" s="294"/>
      <c r="K87" s="294"/>
      <c r="L87" s="297"/>
      <c r="M87" s="297"/>
      <c r="N87" s="297"/>
      <c r="O87" s="663"/>
    </row>
    <row r="88" spans="2:15" x14ac:dyDescent="0.25">
      <c r="B88" s="201" t="str">
        <f>B45</f>
        <v>200 G</v>
      </c>
      <c r="C88" s="203" t="str">
        <f t="shared" si="41"/>
        <v>All</v>
      </c>
      <c r="D88" s="203" t="str">
        <f t="shared" si="40"/>
        <v>All</v>
      </c>
      <c r="E88" s="294">
        <f>'Ethernet-Cloud'!E88+'Ethernet-Telecom'!E88+'Ethernet-Enterprise'!E88</f>
        <v>0</v>
      </c>
      <c r="F88" s="294">
        <f>'Ethernet-Cloud'!F88+'Ethernet-Telecom'!F88+'Ethernet-Enterprise'!F88</f>
        <v>0</v>
      </c>
      <c r="G88" s="294"/>
      <c r="H88" s="294"/>
      <c r="I88" s="294"/>
      <c r="J88" s="294"/>
      <c r="K88" s="294"/>
      <c r="L88" s="297"/>
      <c r="M88" s="297"/>
      <c r="N88" s="297"/>
      <c r="O88" s="663"/>
    </row>
    <row r="89" spans="2:15" x14ac:dyDescent="0.25">
      <c r="B89" s="201" t="s">
        <v>478</v>
      </c>
      <c r="C89" s="203" t="str">
        <f t="shared" si="41"/>
        <v>All</v>
      </c>
      <c r="D89" s="203" t="str">
        <f t="shared" si="40"/>
        <v>All</v>
      </c>
      <c r="E89" s="295">
        <f>'Ethernet-Cloud'!E89+'Ethernet-Telecom'!E89+'Ethernet-Enterprise'!E89</f>
        <v>0</v>
      </c>
      <c r="F89" s="295">
        <f>'Ethernet-Cloud'!F89+'Ethernet-Telecom'!F89+'Ethernet-Enterprise'!F89</f>
        <v>0.25340000000000007</v>
      </c>
      <c r="G89" s="295"/>
      <c r="H89" s="295"/>
      <c r="I89" s="295"/>
      <c r="J89" s="295"/>
      <c r="K89" s="295"/>
      <c r="L89" s="296"/>
      <c r="M89" s="296"/>
      <c r="N89" s="296"/>
      <c r="O89" s="663"/>
    </row>
    <row r="90" spans="2:15" x14ac:dyDescent="0.25">
      <c r="B90" s="201" t="s">
        <v>480</v>
      </c>
      <c r="C90" s="203" t="str">
        <f t="shared" si="41"/>
        <v>All</v>
      </c>
      <c r="D90" s="203" t="str">
        <f t="shared" si="40"/>
        <v>All</v>
      </c>
      <c r="E90" s="295">
        <f>'Ethernet-Cloud'!E90+'Ethernet-Telecom'!E90+'Ethernet-Enterprise'!E90</f>
        <v>0</v>
      </c>
      <c r="F90" s="295">
        <f>'Ethernet-Cloud'!F90+'Ethernet-Telecom'!F90+'Ethernet-Enterprise'!F90</f>
        <v>0</v>
      </c>
      <c r="G90" s="295"/>
      <c r="H90" s="295"/>
      <c r="I90" s="295"/>
      <c r="J90" s="295"/>
      <c r="K90" s="295"/>
      <c r="L90" s="296"/>
      <c r="M90" s="296"/>
      <c r="N90" s="296"/>
      <c r="O90" s="663"/>
    </row>
    <row r="91" spans="2:15" x14ac:dyDescent="0.25">
      <c r="B91" s="206" t="s">
        <v>9</v>
      </c>
      <c r="C91" s="203" t="str">
        <f>C48</f>
        <v>All</v>
      </c>
      <c r="D91" s="203" t="str">
        <f>D48</f>
        <v>All</v>
      </c>
      <c r="E91" s="290">
        <f>SUM(E73:E90)</f>
        <v>553.64846512280621</v>
      </c>
      <c r="F91" s="290">
        <f t="shared" ref="F91:M91" si="42">SUM(F73:F90)</f>
        <v>507.58220165509556</v>
      </c>
      <c r="G91" s="290"/>
      <c r="H91" s="290"/>
      <c r="I91" s="290"/>
      <c r="J91" s="290"/>
      <c r="K91" s="290"/>
      <c r="L91" s="290"/>
      <c r="M91" s="290"/>
      <c r="N91" s="290"/>
      <c r="O91" s="663"/>
    </row>
    <row r="92" spans="2:15" x14ac:dyDescent="0.25">
      <c r="C92" s="160"/>
      <c r="E92" s="8"/>
      <c r="F92" s="8">
        <f t="shared" ref="F92:N92" si="43">IF(E91=0,"",F91/E91-1)</f>
        <v>-8.3204896915035409E-2</v>
      </c>
      <c r="G92" s="8"/>
      <c r="H92" s="8"/>
      <c r="I92" s="8"/>
      <c r="J92" s="8"/>
      <c r="K92" s="8"/>
      <c r="L92" s="8"/>
      <c r="M92" s="8"/>
      <c r="N92" s="8"/>
    </row>
    <row r="93" spans="2:15" x14ac:dyDescent="0.25">
      <c r="B93" s="446"/>
      <c r="C93" s="446"/>
      <c r="D93" s="446"/>
      <c r="E93" s="446"/>
      <c r="F93" s="446"/>
      <c r="G93" s="446"/>
      <c r="H93" s="446"/>
      <c r="I93" s="446"/>
      <c r="J93" s="446"/>
      <c r="K93" s="446"/>
      <c r="L93" s="446"/>
      <c r="M93" s="446"/>
      <c r="N93" s="446"/>
    </row>
    <row r="94" spans="2:15" x14ac:dyDescent="0.25">
      <c r="C94" s="160"/>
      <c r="D94" s="160"/>
    </row>
    <row r="95" spans="2:15" ht="14.5" x14ac:dyDescent="0.35">
      <c r="B95" s="221" t="s">
        <v>0</v>
      </c>
      <c r="C95" s="221" t="s">
        <v>238</v>
      </c>
      <c r="D95" s="198"/>
      <c r="E95" s="575" t="s">
        <v>274</v>
      </c>
      <c r="L95" s="221" t="str">
        <f>B95</f>
        <v>Units</v>
      </c>
      <c r="N95" s="571" t="str">
        <f>C95</f>
        <v>Ethernet total-Rest of World</v>
      </c>
    </row>
    <row r="96" spans="2:15" x14ac:dyDescent="0.25">
      <c r="B96" s="225" t="s">
        <v>10</v>
      </c>
      <c r="C96" s="7" t="s">
        <v>11</v>
      </c>
      <c r="D96" s="226" t="s">
        <v>12</v>
      </c>
      <c r="E96" s="39">
        <v>2016</v>
      </c>
      <c r="F96" s="7">
        <v>2017</v>
      </c>
      <c r="G96" s="7">
        <v>2018</v>
      </c>
      <c r="H96" s="7">
        <v>2019</v>
      </c>
      <c r="I96" s="7">
        <v>2020</v>
      </c>
      <c r="J96" s="7">
        <v>2021</v>
      </c>
      <c r="K96" s="7">
        <v>2022</v>
      </c>
      <c r="L96" s="7">
        <v>2023</v>
      </c>
      <c r="M96" s="7">
        <v>2024</v>
      </c>
      <c r="N96" s="7">
        <v>2025</v>
      </c>
    </row>
    <row r="97" spans="2:14" x14ac:dyDescent="0.25">
      <c r="B97" s="398" t="s">
        <v>469</v>
      </c>
      <c r="C97" s="405" t="s">
        <v>20</v>
      </c>
      <c r="D97" s="203" t="s">
        <v>20</v>
      </c>
      <c r="E97" s="373">
        <f>'Ethernet-Cloud'!E97+'Ethernet-Telecom'!E97+'Ethernet-Enterprise'!E97</f>
        <v>10703936.427535377</v>
      </c>
      <c r="F97" s="373">
        <f>'Ethernet-Cloud'!F97+'Ethernet-Telecom'!F97+'Ethernet-Enterprise'!F97</f>
        <v>8892438.1817999985</v>
      </c>
      <c r="G97" s="373"/>
      <c r="H97" s="373"/>
      <c r="I97" s="373"/>
      <c r="J97" s="373"/>
      <c r="K97" s="373"/>
      <c r="L97" s="378"/>
      <c r="M97" s="378"/>
      <c r="N97" s="378"/>
    </row>
    <row r="98" spans="2:14" x14ac:dyDescent="0.25">
      <c r="B98" s="398" t="s">
        <v>470</v>
      </c>
      <c r="C98" s="405" t="s">
        <v>20</v>
      </c>
      <c r="D98" s="203" t="s">
        <v>20</v>
      </c>
      <c r="E98" s="374">
        <f>'Ethernet-Cloud'!E98+'Ethernet-Telecom'!E98+'Ethernet-Enterprise'!E98</f>
        <v>14816398.312966553</v>
      </c>
      <c r="F98" s="374">
        <f>'Ethernet-Cloud'!F98+'Ethernet-Telecom'!F98+'Ethernet-Enterprise'!F98</f>
        <v>15590411.965935409</v>
      </c>
      <c r="G98" s="374"/>
      <c r="H98" s="374"/>
      <c r="I98" s="374"/>
      <c r="J98" s="374"/>
      <c r="K98" s="374"/>
      <c r="L98" s="375"/>
      <c r="M98" s="375"/>
      <c r="N98" s="375"/>
    </row>
    <row r="99" spans="2:14" ht="13" x14ac:dyDescent="0.3">
      <c r="B99" s="398" t="s">
        <v>471</v>
      </c>
      <c r="C99" s="405" t="s">
        <v>20</v>
      </c>
      <c r="D99" s="282" t="s">
        <v>154</v>
      </c>
      <c r="E99" s="375">
        <f>'Ethernet-Cloud'!E99+'Ethernet-Telecom'!E99+'Ethernet-Enterprise'!E99</f>
        <v>11109.300000000001</v>
      </c>
      <c r="F99" s="375">
        <f>'Ethernet-Cloud'!F99+'Ethernet-Telecom'!F99+'Ethernet-Enterprise'!F99</f>
        <v>105394.11</v>
      </c>
      <c r="G99" s="375"/>
      <c r="H99" s="375"/>
      <c r="I99" s="375"/>
      <c r="J99" s="375"/>
      <c r="K99" s="375"/>
      <c r="L99" s="375"/>
      <c r="M99" s="375"/>
      <c r="N99" s="375"/>
    </row>
    <row r="100" spans="2:14" x14ac:dyDescent="0.25">
      <c r="B100" s="199" t="s">
        <v>472</v>
      </c>
      <c r="C100" s="321" t="s">
        <v>161</v>
      </c>
      <c r="D100" s="199" t="s">
        <v>137</v>
      </c>
      <c r="E100" s="376">
        <f>'Ethernet-Cloud'!E100+'Ethernet-Telecom'!E100+'Ethernet-Enterprise'!E100</f>
        <v>1151352.6499999999</v>
      </c>
      <c r="F100" s="376">
        <f>'Ethernet-Cloud'!F100+'Ethernet-Telecom'!F100+'Ethernet-Enterprise'!F100</f>
        <v>1465472.7395000001</v>
      </c>
      <c r="G100" s="376"/>
      <c r="H100" s="376"/>
      <c r="I100" s="376"/>
      <c r="J100" s="376"/>
      <c r="K100" s="376"/>
      <c r="L100" s="275"/>
      <c r="M100" s="275"/>
      <c r="N100" s="275"/>
    </row>
    <row r="101" spans="2:14" x14ac:dyDescent="0.25">
      <c r="B101" s="203" t="s">
        <v>473</v>
      </c>
      <c r="C101" s="401" t="s">
        <v>22</v>
      </c>
      <c r="D101" s="203" t="s">
        <v>137</v>
      </c>
      <c r="E101" s="374">
        <f>'Ethernet-Cloud'!E101+'Ethernet-Telecom'!E101+'Ethernet-Enterprise'!E101</f>
        <v>764962.6</v>
      </c>
      <c r="F101" s="374">
        <f>'Ethernet-Cloud'!F101+'Ethernet-Telecom'!F101+'Ethernet-Enterprise'!F101</f>
        <v>564548.80000000005</v>
      </c>
      <c r="G101" s="374"/>
      <c r="H101" s="374"/>
      <c r="I101" s="374"/>
      <c r="J101" s="374"/>
      <c r="K101" s="374"/>
      <c r="L101" s="375"/>
      <c r="M101" s="375"/>
      <c r="N101" s="375"/>
    </row>
    <row r="102" spans="2:14" x14ac:dyDescent="0.25">
      <c r="B102" s="797" t="s">
        <v>474</v>
      </c>
      <c r="C102" s="800" t="s">
        <v>23</v>
      </c>
      <c r="D102" s="270" t="s">
        <v>146</v>
      </c>
      <c r="E102" s="375">
        <f>'Ethernet-Cloud'!E102+'Ethernet-Telecom'!E102+'Ethernet-Enterprise'!E102</f>
        <v>791</v>
      </c>
      <c r="F102" s="375">
        <f>'Ethernet-Cloud'!F102+'Ethernet-Telecom'!F102+'Ethernet-Enterprise'!F102</f>
        <v>402</v>
      </c>
      <c r="G102" s="375"/>
      <c r="H102" s="375"/>
      <c r="I102" s="375"/>
      <c r="J102" s="375"/>
      <c r="K102" s="375"/>
      <c r="L102" s="375"/>
      <c r="M102" s="375"/>
      <c r="N102" s="375"/>
    </row>
    <row r="103" spans="2:14" ht="16.5" customHeight="1" x14ac:dyDescent="0.25">
      <c r="B103" s="798"/>
      <c r="C103" s="801"/>
      <c r="D103" s="299" t="s">
        <v>147</v>
      </c>
      <c r="E103" s="375">
        <f>'Ethernet-Cloud'!E103+'Ethernet-Telecom'!E103+'Ethernet-Enterprise'!E103</f>
        <v>418486.01</v>
      </c>
      <c r="F103" s="375">
        <f>'Ethernet-Cloud'!F103+'Ethernet-Telecom'!F103+'Ethernet-Enterprise'!F103</f>
        <v>677557.44</v>
      </c>
      <c r="G103" s="375"/>
      <c r="H103" s="375"/>
      <c r="I103" s="375"/>
      <c r="J103" s="375"/>
      <c r="K103" s="375"/>
      <c r="L103" s="375"/>
      <c r="M103" s="375"/>
      <c r="N103" s="375"/>
    </row>
    <row r="104" spans="2:14" x14ac:dyDescent="0.25">
      <c r="B104" s="798"/>
      <c r="C104" s="401" t="s">
        <v>24</v>
      </c>
      <c r="D104" s="202" t="s">
        <v>20</v>
      </c>
      <c r="E104" s="375">
        <f>'Ethernet-Cloud'!E104+'Ethernet-Telecom'!E104+'Ethernet-Enterprise'!E104</f>
        <v>306371.97600000002</v>
      </c>
      <c r="F104" s="375">
        <f>'Ethernet-Cloud'!F104+'Ethernet-Telecom'!F104+'Ethernet-Enterprise'!F104</f>
        <v>374565.10900000005</v>
      </c>
      <c r="G104" s="375"/>
      <c r="H104" s="375"/>
      <c r="I104" s="375"/>
      <c r="J104" s="375"/>
      <c r="K104" s="375"/>
      <c r="L104" s="375"/>
      <c r="M104" s="375"/>
      <c r="N104" s="375"/>
    </row>
    <row r="105" spans="2:14" x14ac:dyDescent="0.25">
      <c r="B105" s="799"/>
      <c r="C105" s="171" t="s">
        <v>25</v>
      </c>
      <c r="D105" s="202" t="s">
        <v>20</v>
      </c>
      <c r="E105" s="375">
        <f>'Ethernet-Cloud'!E105+'Ethernet-Telecom'!E105+'Ethernet-Enterprise'!E105</f>
        <v>4478.01</v>
      </c>
      <c r="F105" s="375">
        <f>'Ethernet-Cloud'!F105+'Ethernet-Telecom'!F105+'Ethernet-Enterprise'!F105</f>
        <v>4905.0959999999995</v>
      </c>
      <c r="G105" s="375"/>
      <c r="H105" s="375"/>
      <c r="I105" s="375"/>
      <c r="J105" s="375"/>
      <c r="K105" s="375"/>
      <c r="L105" s="375"/>
      <c r="M105" s="375"/>
      <c r="N105" s="375"/>
    </row>
    <row r="106" spans="2:14" x14ac:dyDescent="0.25">
      <c r="B106" s="403" t="s">
        <v>475</v>
      </c>
      <c r="C106" s="401" t="s">
        <v>60</v>
      </c>
      <c r="D106" s="202" t="s">
        <v>20</v>
      </c>
      <c r="E106" s="375">
        <f>'Ethernet-Cloud'!E106+'Ethernet-Telecom'!E106+'Ethernet-Enterprise'!E106</f>
        <v>0</v>
      </c>
      <c r="F106" s="375">
        <f>'Ethernet-Cloud'!F106+'Ethernet-Telecom'!F106+'Ethernet-Enterprise'!F106</f>
        <v>0</v>
      </c>
      <c r="G106" s="375"/>
      <c r="H106" s="375"/>
      <c r="I106" s="375"/>
      <c r="J106" s="375"/>
      <c r="K106" s="375"/>
      <c r="L106" s="375"/>
      <c r="M106" s="375"/>
      <c r="N106" s="375"/>
    </row>
    <row r="107" spans="2:14" x14ac:dyDescent="0.25">
      <c r="B107" s="802" t="s">
        <v>476</v>
      </c>
      <c r="C107" s="401" t="s">
        <v>161</v>
      </c>
      <c r="D107" s="202" t="s">
        <v>20</v>
      </c>
      <c r="E107" s="375">
        <f>'Ethernet-Cloud'!E107+'Ethernet-Telecom'!E107+'Ethernet-Enterprise'!E107</f>
        <v>270371.96500000003</v>
      </c>
      <c r="F107" s="375">
        <f>'Ethernet-Cloud'!F107+'Ethernet-Telecom'!F107+'Ethernet-Enterprise'!F107</f>
        <v>506956.5</v>
      </c>
      <c r="G107" s="375"/>
      <c r="H107" s="375"/>
      <c r="I107" s="375"/>
      <c r="J107" s="375"/>
      <c r="K107" s="375"/>
      <c r="L107" s="375"/>
      <c r="M107" s="375"/>
      <c r="N107" s="375"/>
    </row>
    <row r="108" spans="2:14" x14ac:dyDescent="0.25">
      <c r="B108" s="803"/>
      <c r="C108" s="405" t="s">
        <v>22</v>
      </c>
      <c r="D108" s="203" t="s">
        <v>162</v>
      </c>
      <c r="E108" s="275">
        <f>'Ethernet-Cloud'!E108+'Ethernet-Telecom'!E108+'Ethernet-Enterprise'!E108</f>
        <v>289061.59999999998</v>
      </c>
      <c r="F108" s="275">
        <f>'Ethernet-Cloud'!F108+'Ethernet-Telecom'!F108+'Ethernet-Enterprise'!F108</f>
        <v>1365581.098</v>
      </c>
      <c r="G108" s="275"/>
      <c r="H108" s="275"/>
      <c r="I108" s="275"/>
      <c r="J108" s="275"/>
      <c r="K108" s="275"/>
      <c r="L108" s="275"/>
      <c r="M108" s="275"/>
      <c r="N108" s="275"/>
    </row>
    <row r="109" spans="2:14" x14ac:dyDescent="0.25">
      <c r="B109" s="803"/>
      <c r="C109" s="401" t="s">
        <v>23</v>
      </c>
      <c r="D109" s="404" t="s">
        <v>162</v>
      </c>
      <c r="E109" s="275">
        <f>'Ethernet-Cloud'!E109+'Ethernet-Telecom'!E109+'Ethernet-Enterprise'!E109</f>
        <v>30989.399999999994</v>
      </c>
      <c r="F109" s="275">
        <f>'Ethernet-Cloud'!F109+'Ethernet-Telecom'!F109+'Ethernet-Enterprise'!F109</f>
        <v>287033.08199999999</v>
      </c>
      <c r="G109" s="275"/>
      <c r="H109" s="275"/>
      <c r="I109" s="275"/>
      <c r="J109" s="275"/>
      <c r="K109" s="275"/>
      <c r="L109" s="275"/>
      <c r="M109" s="275"/>
      <c r="N109" s="275"/>
    </row>
    <row r="110" spans="2:14" x14ac:dyDescent="0.25">
      <c r="B110" s="803"/>
      <c r="C110" s="401" t="s">
        <v>163</v>
      </c>
      <c r="D110" s="202" t="s">
        <v>20</v>
      </c>
      <c r="E110" s="377">
        <f>'Ethernet-Cloud'!E110+'Ethernet-Telecom'!E110+'Ethernet-Enterprise'!E110</f>
        <v>204514.96000000002</v>
      </c>
      <c r="F110" s="377">
        <f>'Ethernet-Cloud'!F110+'Ethernet-Telecom'!F110+'Ethernet-Enterprise'!F110</f>
        <v>458030.26199999999</v>
      </c>
      <c r="G110" s="377"/>
      <c r="H110" s="377"/>
      <c r="I110" s="377"/>
      <c r="J110" s="377"/>
      <c r="K110" s="377"/>
      <c r="L110" s="375"/>
      <c r="M110" s="375"/>
      <c r="N110" s="375"/>
    </row>
    <row r="111" spans="2:14" x14ac:dyDescent="0.25">
      <c r="B111" s="804"/>
      <c r="C111" s="171" t="s">
        <v>25</v>
      </c>
      <c r="D111" s="199" t="s">
        <v>20</v>
      </c>
      <c r="E111" s="376">
        <f>'Ethernet-Cloud'!E111+'Ethernet-Telecom'!E111+'Ethernet-Enterprise'!E111</f>
        <v>5815.68</v>
      </c>
      <c r="F111" s="376">
        <f>'Ethernet-Cloud'!F111+'Ethernet-Telecom'!F111+'Ethernet-Enterprise'!F111</f>
        <v>7806.72</v>
      </c>
      <c r="G111" s="376"/>
      <c r="H111" s="376"/>
      <c r="I111" s="376"/>
      <c r="J111" s="376"/>
      <c r="K111" s="376"/>
      <c r="L111" s="275"/>
      <c r="M111" s="275"/>
      <c r="N111" s="275"/>
    </row>
    <row r="112" spans="2:14" x14ac:dyDescent="0.25">
      <c r="B112" s="400" t="s">
        <v>477</v>
      </c>
      <c r="C112" s="203" t="s">
        <v>20</v>
      </c>
      <c r="D112" s="203" t="s">
        <v>20</v>
      </c>
      <c r="E112" s="275">
        <f>'Ethernet-Cloud'!E112+'Ethernet-Telecom'!E112+'Ethernet-Enterprise'!E112</f>
        <v>0</v>
      </c>
      <c r="F112" s="275">
        <f>'Ethernet-Cloud'!F112+'Ethernet-Telecom'!F112+'Ethernet-Enterprise'!F112</f>
        <v>0</v>
      </c>
      <c r="G112" s="275"/>
      <c r="H112" s="275"/>
      <c r="I112" s="275"/>
      <c r="J112" s="275"/>
      <c r="K112" s="275"/>
      <c r="L112" s="275"/>
      <c r="M112" s="275"/>
      <c r="N112" s="275"/>
    </row>
    <row r="113" spans="2:14" x14ac:dyDescent="0.25">
      <c r="B113" s="203" t="s">
        <v>478</v>
      </c>
      <c r="C113" s="203" t="s">
        <v>20</v>
      </c>
      <c r="D113" s="203" t="s">
        <v>20</v>
      </c>
      <c r="E113" s="275">
        <f>'Ethernet-Cloud'!E113+'Ethernet-Telecom'!E113+'Ethernet-Enterprise'!E113</f>
        <v>0</v>
      </c>
      <c r="F113" s="275">
        <f>'Ethernet-Cloud'!F113+'Ethernet-Telecom'!F113+'Ethernet-Enterprise'!F113</f>
        <v>72.599999999999994</v>
      </c>
      <c r="G113" s="275"/>
      <c r="H113" s="275"/>
      <c r="I113" s="275"/>
      <c r="J113" s="275"/>
      <c r="K113" s="275"/>
      <c r="L113" s="275"/>
      <c r="M113" s="275"/>
      <c r="N113" s="275"/>
    </row>
    <row r="114" spans="2:14" x14ac:dyDescent="0.25">
      <c r="B114" s="203" t="s">
        <v>480</v>
      </c>
      <c r="C114" s="203" t="s">
        <v>20</v>
      </c>
      <c r="D114" s="203" t="s">
        <v>20</v>
      </c>
      <c r="E114" s="275">
        <f>'Ethernet-Cloud'!E114+'Ethernet-Telecom'!E114+'Ethernet-Enterprise'!E114</f>
        <v>0</v>
      </c>
      <c r="F114" s="275">
        <f>'Ethernet-Cloud'!F114+'Ethernet-Telecom'!F114+'Ethernet-Enterprise'!F114</f>
        <v>0</v>
      </c>
      <c r="G114" s="275"/>
      <c r="H114" s="275"/>
      <c r="I114" s="275"/>
      <c r="J114" s="275"/>
      <c r="K114" s="275"/>
      <c r="L114" s="275"/>
      <c r="M114" s="275"/>
      <c r="N114" s="275"/>
    </row>
    <row r="115" spans="2:14" x14ac:dyDescent="0.25">
      <c r="B115" s="206" t="s">
        <v>9</v>
      </c>
      <c r="C115" s="203" t="s">
        <v>20</v>
      </c>
      <c r="D115" s="203" t="s">
        <v>20</v>
      </c>
      <c r="E115" s="235">
        <f>SUM(E97:E114)</f>
        <v>28978639.891501937</v>
      </c>
      <c r="F115" s="235">
        <f t="shared" ref="F115:N115" si="44">SUM(F97:F114)</f>
        <v>30301175.704235412</v>
      </c>
      <c r="G115" s="235"/>
      <c r="H115" s="235"/>
      <c r="I115" s="235"/>
      <c r="J115" s="235"/>
      <c r="K115" s="235"/>
      <c r="L115" s="235"/>
      <c r="M115" s="235"/>
      <c r="N115" s="235"/>
    </row>
    <row r="116" spans="2:14" x14ac:dyDescent="0.25">
      <c r="B116" s="160"/>
      <c r="C116" s="160"/>
      <c r="D116" s="207"/>
      <c r="E116" s="8"/>
      <c r="F116" s="8">
        <f t="shared" ref="F116:N116" si="45">IF(E115=0,"",F115/E115-1)</f>
        <v>4.5638298335779037E-2</v>
      </c>
      <c r="G116" s="8"/>
      <c r="H116" s="8"/>
      <c r="I116" s="8"/>
      <c r="J116" s="8"/>
      <c r="K116" s="8"/>
      <c r="L116" s="8"/>
      <c r="M116" s="8"/>
      <c r="N116" s="8"/>
    </row>
    <row r="117" spans="2:14" ht="13" x14ac:dyDescent="0.25">
      <c r="B117" s="221" t="s">
        <v>53</v>
      </c>
      <c r="C117" s="221" t="str">
        <f>C95</f>
        <v>Ethernet total-Rest of World</v>
      </c>
      <c r="D117" s="198"/>
      <c r="E117" s="283"/>
      <c r="F117" s="283"/>
      <c r="G117" s="283"/>
      <c r="H117" s="283"/>
      <c r="L117" s="221" t="str">
        <f>B117</f>
        <v>ASP ($)</v>
      </c>
      <c r="N117" s="571" t="str">
        <f>C117</f>
        <v>Ethernet total-Rest of World</v>
      </c>
    </row>
    <row r="118" spans="2:14" x14ac:dyDescent="0.25">
      <c r="B118" s="227" t="s">
        <v>10</v>
      </c>
      <c r="C118" s="129" t="s">
        <v>11</v>
      </c>
      <c r="D118" s="228" t="s">
        <v>12</v>
      </c>
      <c r="E118" s="136">
        <v>2016</v>
      </c>
      <c r="F118" s="129">
        <v>2017</v>
      </c>
      <c r="G118" s="129">
        <v>2018</v>
      </c>
      <c r="H118" s="129">
        <v>2019</v>
      </c>
      <c r="I118" s="129">
        <v>2020</v>
      </c>
      <c r="J118" s="129">
        <v>2021</v>
      </c>
      <c r="K118" s="129">
        <v>2022</v>
      </c>
      <c r="L118" s="129">
        <v>2023</v>
      </c>
      <c r="M118" s="129">
        <v>2024</v>
      </c>
      <c r="N118" s="129">
        <v>2025</v>
      </c>
    </row>
    <row r="119" spans="2:14" x14ac:dyDescent="0.25">
      <c r="B119" s="398" t="s">
        <v>469</v>
      </c>
      <c r="C119" s="405" t="str">
        <f>C97</f>
        <v>All</v>
      </c>
      <c r="D119" s="405" t="str">
        <f>D97</f>
        <v>All</v>
      </c>
      <c r="E119" s="294">
        <f>IF(E97=0,,E140*10^6/E97)</f>
        <v>11.249276282041919</v>
      </c>
      <c r="F119" s="294">
        <f t="shared" ref="F119:N119" si="46">IF(F97=0,,F140*10^6/F97)</f>
        <v>9.7272978322707218</v>
      </c>
      <c r="G119" s="294"/>
      <c r="H119" s="294"/>
      <c r="I119" s="294"/>
      <c r="J119" s="294"/>
      <c r="K119" s="294"/>
      <c r="L119" s="294"/>
      <c r="M119" s="294"/>
      <c r="N119" s="297"/>
    </row>
    <row r="120" spans="2:14" x14ac:dyDescent="0.25">
      <c r="B120" s="398" t="s">
        <v>470</v>
      </c>
      <c r="C120" s="405" t="str">
        <f>C98</f>
        <v>All</v>
      </c>
      <c r="D120" s="405" t="str">
        <f>D98</f>
        <v>All</v>
      </c>
      <c r="E120" s="294">
        <f t="shared" ref="E120:N120" si="47">IF(E98=0,,E141*10^6/E98)</f>
        <v>31.300596781401993</v>
      </c>
      <c r="F120" s="294">
        <f t="shared" si="47"/>
        <v>24.080927807251463</v>
      </c>
      <c r="G120" s="294"/>
      <c r="H120" s="294"/>
      <c r="I120" s="294"/>
      <c r="J120" s="294"/>
      <c r="K120" s="294"/>
      <c r="L120" s="294"/>
      <c r="M120" s="294"/>
      <c r="N120" s="297"/>
    </row>
    <row r="121" spans="2:14" ht="13" x14ac:dyDescent="0.3">
      <c r="B121" s="398" t="s">
        <v>471</v>
      </c>
      <c r="C121" s="405" t="str">
        <f>C100</f>
        <v>100-300 m</v>
      </c>
      <c r="D121" s="282" t="s">
        <v>154</v>
      </c>
      <c r="E121" s="294">
        <f t="shared" ref="E121:N121" si="48">IF(E99=0,,E142*10^6/E99)</f>
        <v>291.79972635539593</v>
      </c>
      <c r="F121" s="294">
        <f t="shared" si="48"/>
        <v>169.30718458014621</v>
      </c>
      <c r="G121" s="294"/>
      <c r="H121" s="294"/>
      <c r="I121" s="294"/>
      <c r="J121" s="294"/>
      <c r="K121" s="294"/>
      <c r="L121" s="294"/>
      <c r="M121" s="294"/>
      <c r="N121" s="297"/>
    </row>
    <row r="122" spans="2:14" x14ac:dyDescent="0.25">
      <c r="B122" s="199" t="s">
        <v>472</v>
      </c>
      <c r="C122" s="401" t="s">
        <v>21</v>
      </c>
      <c r="D122" s="199" t="s">
        <v>55</v>
      </c>
      <c r="E122" s="294">
        <f t="shared" ref="E122:N122" si="49">IF(E100=0,,E143*10^6/E100)</f>
        <v>167.82111136343511</v>
      </c>
      <c r="F122" s="294">
        <f t="shared" si="49"/>
        <v>148.36164183955347</v>
      </c>
      <c r="G122" s="294"/>
      <c r="H122" s="294"/>
      <c r="I122" s="294"/>
      <c r="J122" s="294"/>
      <c r="K122" s="294"/>
      <c r="L122" s="294"/>
      <c r="M122" s="294"/>
      <c r="N122" s="297"/>
    </row>
    <row r="123" spans="2:14" x14ac:dyDescent="0.25">
      <c r="B123" s="203" t="s">
        <v>473</v>
      </c>
      <c r="C123" s="405" t="s">
        <v>22</v>
      </c>
      <c r="D123" s="203" t="s">
        <v>137</v>
      </c>
      <c r="E123" s="294">
        <f t="shared" ref="E123:N123" si="50">IF(E101=0,,E144*10^6/E101)</f>
        <v>253.19068527507093</v>
      </c>
      <c r="F123" s="294">
        <f t="shared" si="50"/>
        <v>262.79055146339874</v>
      </c>
      <c r="G123" s="294"/>
      <c r="H123" s="294"/>
      <c r="I123" s="294"/>
      <c r="J123" s="294"/>
      <c r="K123" s="294"/>
      <c r="L123" s="294"/>
      <c r="M123" s="294"/>
      <c r="N123" s="297"/>
    </row>
    <row r="124" spans="2:14" x14ac:dyDescent="0.25">
      <c r="B124" s="797" t="s">
        <v>474</v>
      </c>
      <c r="C124" s="805" t="s">
        <v>23</v>
      </c>
      <c r="D124" s="402" t="s">
        <v>146</v>
      </c>
      <c r="E124" s="294">
        <f t="shared" ref="E124:N124" si="51">IF(E102=0,,E145*10^6/E102)</f>
        <v>4569.894941368153</v>
      </c>
      <c r="F124" s="294">
        <f t="shared" si="51"/>
        <v>5251.681208639473</v>
      </c>
      <c r="G124" s="294"/>
      <c r="H124" s="294"/>
      <c r="I124" s="294"/>
      <c r="J124" s="294"/>
      <c r="K124" s="294"/>
      <c r="L124" s="294"/>
      <c r="M124" s="294"/>
      <c r="N124" s="297"/>
    </row>
    <row r="125" spans="2:14" ht="13" customHeight="1" x14ac:dyDescent="0.25">
      <c r="B125" s="798"/>
      <c r="C125" s="806"/>
      <c r="D125" s="404" t="s">
        <v>147</v>
      </c>
      <c r="E125" s="294">
        <f t="shared" ref="E125:N125" si="52">IF(E103=0,,E146*10^6/E103)</f>
        <v>377.60055209491952</v>
      </c>
      <c r="F125" s="294">
        <f t="shared" si="52"/>
        <v>343.5254726908467</v>
      </c>
      <c r="G125" s="294"/>
      <c r="H125" s="294"/>
      <c r="I125" s="294"/>
      <c r="J125" s="294"/>
      <c r="K125" s="294"/>
      <c r="L125" s="294"/>
      <c r="M125" s="294"/>
      <c r="N125" s="297"/>
    </row>
    <row r="126" spans="2:14" x14ac:dyDescent="0.25">
      <c r="B126" s="798"/>
      <c r="C126" s="405" t="s">
        <v>24</v>
      </c>
      <c r="D126" s="202" t="s">
        <v>20</v>
      </c>
      <c r="E126" s="294">
        <f t="shared" ref="E126:N126" si="53">IF(E104=0,,E147*10^6/E104)</f>
        <v>443.89397960802967</v>
      </c>
      <c r="F126" s="294">
        <f t="shared" si="53"/>
        <v>408.53451924064638</v>
      </c>
      <c r="G126" s="294"/>
      <c r="H126" s="294"/>
      <c r="I126" s="294"/>
      <c r="J126" s="294"/>
      <c r="K126" s="294"/>
      <c r="L126" s="294"/>
      <c r="M126" s="294"/>
      <c r="N126" s="297"/>
    </row>
    <row r="127" spans="2:14" x14ac:dyDescent="0.25">
      <c r="B127" s="799"/>
      <c r="C127" s="170" t="s">
        <v>25</v>
      </c>
      <c r="D127" s="203" t="str">
        <f t="shared" ref="D127:D134" si="54">D105</f>
        <v>All</v>
      </c>
      <c r="E127" s="294">
        <f t="shared" ref="E127:N127" si="55">IF(E105=0,,E148*10^6/E105)</f>
        <v>1673.0572324239708</v>
      </c>
      <c r="F127" s="294">
        <f t="shared" si="55"/>
        <v>1459.2330281290017</v>
      </c>
      <c r="G127" s="294"/>
      <c r="H127" s="294"/>
      <c r="I127" s="294"/>
      <c r="J127" s="294"/>
      <c r="K127" s="294"/>
      <c r="L127" s="294"/>
      <c r="M127" s="294"/>
      <c r="N127" s="297"/>
    </row>
    <row r="128" spans="2:14" x14ac:dyDescent="0.25">
      <c r="B128" s="403" t="str">
        <f>B106</f>
        <v>50 G</v>
      </c>
      <c r="C128" s="405" t="str">
        <f>C106</f>
        <v>all</v>
      </c>
      <c r="D128" s="203" t="str">
        <f t="shared" si="54"/>
        <v>All</v>
      </c>
      <c r="E128" s="294">
        <f t="shared" ref="E128:N128" si="56">IF(E106=0,,E149*10^6/E106)</f>
        <v>0</v>
      </c>
      <c r="F128" s="294">
        <f t="shared" si="56"/>
        <v>0</v>
      </c>
      <c r="G128" s="294"/>
      <c r="H128" s="294"/>
      <c r="I128" s="294"/>
      <c r="J128" s="294"/>
      <c r="K128" s="294"/>
      <c r="L128" s="294"/>
      <c r="M128" s="294"/>
      <c r="N128" s="297"/>
    </row>
    <row r="129" spans="2:14" x14ac:dyDescent="0.25">
      <c r="B129" s="802" t="str">
        <f>B107</f>
        <v>100 G</v>
      </c>
      <c r="C129" s="401" t="str">
        <f>C107</f>
        <v>100-300 m</v>
      </c>
      <c r="D129" s="203" t="str">
        <f t="shared" si="54"/>
        <v>All</v>
      </c>
      <c r="E129" s="294">
        <f t="shared" ref="E129:N129" si="57">IF(E107=0,,E150*10^6/E107)</f>
        <v>333.64372822455903</v>
      </c>
      <c r="F129" s="294">
        <f t="shared" si="57"/>
        <v>200.03272125828551</v>
      </c>
      <c r="G129" s="294"/>
      <c r="H129" s="294"/>
      <c r="I129" s="294"/>
      <c r="J129" s="294"/>
      <c r="K129" s="294"/>
      <c r="L129" s="294"/>
      <c r="M129" s="294"/>
      <c r="N129" s="297"/>
    </row>
    <row r="130" spans="2:14" x14ac:dyDescent="0.25">
      <c r="B130" s="803"/>
      <c r="C130" s="401" t="s">
        <v>22</v>
      </c>
      <c r="D130" s="203" t="str">
        <f t="shared" si="54"/>
        <v>QSFP28</v>
      </c>
      <c r="E130" s="294">
        <f t="shared" ref="E130:N130" si="58">IF(E108=0,,E151*10^6/E108)</f>
        <v>425.16634945630972</v>
      </c>
      <c r="F130" s="294">
        <f t="shared" si="58"/>
        <v>334.15581081805504</v>
      </c>
      <c r="G130" s="294"/>
      <c r="H130" s="294"/>
      <c r="I130" s="294"/>
      <c r="J130" s="294"/>
      <c r="K130" s="294"/>
      <c r="L130" s="294"/>
      <c r="M130" s="294"/>
      <c r="N130" s="297"/>
    </row>
    <row r="131" spans="2:14" x14ac:dyDescent="0.25">
      <c r="B131" s="803"/>
      <c r="C131" s="405" t="str">
        <f>C109</f>
        <v>2 km</v>
      </c>
      <c r="D131" s="404" t="str">
        <f t="shared" si="54"/>
        <v>QSFP28</v>
      </c>
      <c r="E131" s="294">
        <f t="shared" ref="E131:N131" si="59">IF(E109=0,,E152*10^6/E109)</f>
        <v>825</v>
      </c>
      <c r="F131" s="294">
        <f t="shared" si="59"/>
        <v>650</v>
      </c>
      <c r="G131" s="294"/>
      <c r="H131" s="294"/>
      <c r="I131" s="294"/>
      <c r="J131" s="294"/>
      <c r="K131" s="294"/>
      <c r="L131" s="294"/>
      <c r="M131" s="294"/>
      <c r="N131" s="297"/>
    </row>
    <row r="132" spans="2:14" x14ac:dyDescent="0.25">
      <c r="B132" s="803"/>
      <c r="C132" s="405" t="str">
        <f>C110</f>
        <v>10-20 km</v>
      </c>
      <c r="D132" s="399" t="str">
        <f t="shared" si="54"/>
        <v>All</v>
      </c>
      <c r="E132" s="294">
        <f t="shared" ref="E132:N132" si="60">IF(E110=0,,E153*10^6/E110)</f>
        <v>2706.4450919704877</v>
      </c>
      <c r="F132" s="294">
        <f t="shared" si="60"/>
        <v>1386.6916015548741</v>
      </c>
      <c r="G132" s="294"/>
      <c r="H132" s="294"/>
      <c r="I132" s="294"/>
      <c r="J132" s="294"/>
      <c r="K132" s="294"/>
      <c r="L132" s="294"/>
      <c r="M132" s="294"/>
      <c r="N132" s="297"/>
    </row>
    <row r="133" spans="2:14" x14ac:dyDescent="0.25">
      <c r="B133" s="804"/>
      <c r="C133" s="170" t="str">
        <f>C111</f>
        <v>40 km</v>
      </c>
      <c r="D133" s="199" t="str">
        <f t="shared" si="54"/>
        <v>All</v>
      </c>
      <c r="E133" s="294">
        <f t="shared" ref="E133:N133" si="61">IF(E111=0,,E154*10^6/E111)</f>
        <v>8992.3605424008583</v>
      </c>
      <c r="F133" s="294">
        <f t="shared" si="61"/>
        <v>6042.927196558162</v>
      </c>
      <c r="G133" s="294"/>
      <c r="H133" s="294"/>
      <c r="I133" s="294"/>
      <c r="J133" s="294"/>
      <c r="K133" s="294"/>
      <c r="L133" s="294"/>
      <c r="M133" s="294"/>
      <c r="N133" s="297"/>
    </row>
    <row r="134" spans="2:14" x14ac:dyDescent="0.25">
      <c r="B134" s="201" t="str">
        <f>B112</f>
        <v>200 G</v>
      </c>
      <c r="C134" s="203" t="str">
        <f>C112</f>
        <v>All</v>
      </c>
      <c r="D134" s="203" t="str">
        <f t="shared" si="54"/>
        <v>All</v>
      </c>
      <c r="E134" s="294">
        <f t="shared" ref="E134:N134" si="62">IF(E112=0,,E155*10^6/E112)</f>
        <v>0</v>
      </c>
      <c r="F134" s="294">
        <f t="shared" si="62"/>
        <v>0</v>
      </c>
      <c r="G134" s="294"/>
      <c r="H134" s="294"/>
      <c r="I134" s="294"/>
      <c r="J134" s="294"/>
      <c r="K134" s="294"/>
      <c r="L134" s="294"/>
      <c r="M134" s="294"/>
      <c r="N134" s="297"/>
    </row>
    <row r="135" spans="2:14" x14ac:dyDescent="0.25">
      <c r="B135" s="201" t="s">
        <v>478</v>
      </c>
      <c r="C135" s="203" t="s">
        <v>20</v>
      </c>
      <c r="D135" s="203" t="s">
        <v>20</v>
      </c>
      <c r="E135" s="294">
        <f t="shared" ref="E135:N135" si="63">IF(E113=0,,E156*10^6/E113)</f>
        <v>0</v>
      </c>
      <c r="F135" s="294">
        <f t="shared" si="63"/>
        <v>15081.267217630855</v>
      </c>
      <c r="G135" s="294"/>
      <c r="H135" s="294"/>
      <c r="I135" s="294"/>
      <c r="J135" s="294"/>
      <c r="K135" s="294"/>
      <c r="L135" s="294"/>
      <c r="M135" s="294"/>
      <c r="N135" s="297"/>
    </row>
    <row r="136" spans="2:14" x14ac:dyDescent="0.25">
      <c r="B136" s="201" t="s">
        <v>480</v>
      </c>
      <c r="C136" s="203" t="s">
        <v>20</v>
      </c>
      <c r="D136" s="203" t="s">
        <v>20</v>
      </c>
      <c r="E136" s="295">
        <f t="shared" ref="E136:N136" si="64">IF(E114=0,,E157*10^6/E114)</f>
        <v>0</v>
      </c>
      <c r="F136" s="295">
        <f t="shared" si="64"/>
        <v>0</v>
      </c>
      <c r="G136" s="295"/>
      <c r="H136" s="295"/>
      <c r="I136" s="295"/>
      <c r="J136" s="295"/>
      <c r="K136" s="295"/>
      <c r="L136" s="295"/>
      <c r="M136" s="295"/>
      <c r="N136" s="296"/>
    </row>
    <row r="137" spans="2:14" x14ac:dyDescent="0.25">
      <c r="C137" s="160"/>
      <c r="D137" s="207"/>
      <c r="E137" s="2"/>
      <c r="F137" s="2"/>
      <c r="G137" s="2"/>
      <c r="H137" s="2"/>
      <c r="I137" s="2"/>
      <c r="J137" s="2"/>
      <c r="K137" s="2"/>
      <c r="L137" s="2"/>
      <c r="M137" s="2"/>
      <c r="N137" s="2"/>
    </row>
    <row r="138" spans="2:14" ht="14.5" x14ac:dyDescent="0.35">
      <c r="B138" s="221" t="s">
        <v>1</v>
      </c>
      <c r="C138" s="221" t="str">
        <f>C117</f>
        <v>Ethernet total-Rest of World</v>
      </c>
      <c r="D138" s="198"/>
      <c r="E138" s="575" t="str">
        <f>E95</f>
        <v>this table is calculated as the sum of the Cloud and Ethernet numbers</v>
      </c>
      <c r="L138" s="221" t="str">
        <f>B138</f>
        <v>Sales ($M)</v>
      </c>
      <c r="N138" s="571" t="str">
        <f>C138</f>
        <v>Ethernet total-Rest of World</v>
      </c>
    </row>
    <row r="139" spans="2:14" x14ac:dyDescent="0.25">
      <c r="B139" s="225" t="s">
        <v>10</v>
      </c>
      <c r="C139" s="7" t="s">
        <v>11</v>
      </c>
      <c r="D139" s="226" t="s">
        <v>12</v>
      </c>
      <c r="E139" s="129">
        <v>2016</v>
      </c>
      <c r="F139" s="129">
        <v>2017</v>
      </c>
      <c r="G139" s="129">
        <v>2018</v>
      </c>
      <c r="H139" s="129">
        <v>2019</v>
      </c>
      <c r="I139" s="129">
        <v>2020</v>
      </c>
      <c r="J139" s="129">
        <v>2021</v>
      </c>
      <c r="K139" s="129">
        <v>2022</v>
      </c>
      <c r="L139" s="129">
        <v>2023</v>
      </c>
      <c r="M139" s="129">
        <v>2024</v>
      </c>
      <c r="N139" s="129">
        <v>2025</v>
      </c>
    </row>
    <row r="140" spans="2:14" x14ac:dyDescent="0.25">
      <c r="B140" s="398" t="s">
        <v>469</v>
      </c>
      <c r="C140" s="405" t="str">
        <f>C97</f>
        <v>All</v>
      </c>
      <c r="D140" s="405" t="str">
        <f>D97</f>
        <v>All</v>
      </c>
      <c r="E140" s="294">
        <f>'Ethernet-Cloud'!E140+'Ethernet-Telecom'!E140+'Ethernet-Enterprise'!E140</f>
        <v>120.41153817875824</v>
      </c>
      <c r="F140" s="294">
        <f>'Ethernet-Cloud'!F140+'Ethernet-Telecom'!F140+'Ethernet-Enterprise'!F140</f>
        <v>86.499394649424517</v>
      </c>
      <c r="G140" s="294"/>
      <c r="H140" s="294"/>
      <c r="I140" s="294"/>
      <c r="J140" s="294"/>
      <c r="K140" s="294"/>
      <c r="L140" s="297"/>
      <c r="M140" s="297"/>
      <c r="N140" s="297"/>
    </row>
    <row r="141" spans="2:14" x14ac:dyDescent="0.25">
      <c r="B141" s="398" t="s">
        <v>479</v>
      </c>
      <c r="C141" s="167" t="str">
        <f>C98</f>
        <v>All</v>
      </c>
      <c r="D141" s="167" t="str">
        <f>D98</f>
        <v>All</v>
      </c>
      <c r="E141" s="294">
        <f>'Ethernet-Cloud'!E141+'Ethernet-Telecom'!E141+'Ethernet-Enterprise'!E141</f>
        <v>463.7621093468108</v>
      </c>
      <c r="F141" s="294">
        <f>'Ethernet-Cloud'!F141+'Ethernet-Telecom'!F141+'Ethernet-Enterprise'!F141</f>
        <v>375.43158503699993</v>
      </c>
      <c r="G141" s="294"/>
      <c r="H141" s="294"/>
      <c r="I141" s="294"/>
      <c r="J141" s="294"/>
      <c r="K141" s="294"/>
      <c r="L141" s="297"/>
      <c r="M141" s="297"/>
      <c r="N141" s="297"/>
    </row>
    <row r="142" spans="2:14" ht="13" x14ac:dyDescent="0.3">
      <c r="B142" s="203" t="s">
        <v>471</v>
      </c>
      <c r="C142" s="405" t="s">
        <v>20</v>
      </c>
      <c r="D142" s="282" t="s">
        <v>154</v>
      </c>
      <c r="E142" s="294">
        <f>'Ethernet-Cloud'!E142+'Ethernet-Telecom'!E142+'Ethernet-Enterprise'!E142</f>
        <v>3.2416907000000004</v>
      </c>
      <c r="F142" s="294">
        <f>'Ethernet-Cloud'!F142+'Ethernet-Telecom'!F142+'Ethernet-Enterprise'!F142</f>
        <v>17.843980035430235</v>
      </c>
      <c r="G142" s="294"/>
      <c r="H142" s="294"/>
      <c r="I142" s="294"/>
      <c r="J142" s="294"/>
      <c r="K142" s="294"/>
      <c r="L142" s="297"/>
      <c r="M142" s="297"/>
      <c r="N142" s="297"/>
    </row>
    <row r="143" spans="2:14" x14ac:dyDescent="0.25">
      <c r="B143" s="199" t="s">
        <v>472</v>
      </c>
      <c r="C143" s="401" t="str">
        <f>C121</f>
        <v>100-300 m</v>
      </c>
      <c r="D143" s="199" t="s">
        <v>137</v>
      </c>
      <c r="E143" s="294">
        <f>'Ethernet-Cloud'!E143+'Ethernet-Telecom'!E143+'Ethernet-Enterprise'!E143</f>
        <v>193.22128129423612</v>
      </c>
      <c r="F143" s="294">
        <f>'Ethernet-Cloud'!F143+'Ethernet-Telecom'!F143+'Ethernet-Enterprise'!F143</f>
        <v>217.41994170332825</v>
      </c>
      <c r="G143" s="294"/>
      <c r="H143" s="294"/>
      <c r="I143" s="294"/>
      <c r="J143" s="294"/>
      <c r="K143" s="294"/>
      <c r="L143" s="294"/>
      <c r="M143" s="294"/>
      <c r="N143" s="297"/>
    </row>
    <row r="144" spans="2:14" ht="14" customHeight="1" x14ac:dyDescent="0.25">
      <c r="B144" s="203" t="s">
        <v>473</v>
      </c>
      <c r="C144" s="405" t="s">
        <v>22</v>
      </c>
      <c r="D144" s="203" t="s">
        <v>137</v>
      </c>
      <c r="E144" s="294">
        <f>'Ethernet-Cloud'!E144+'Ethernet-Telecom'!E144+'Ethernet-Enterprise'!E144</f>
        <v>193.68140490379997</v>
      </c>
      <c r="F144" s="294">
        <f>'Ethernet-Cloud'!F144+'Ethernet-Telecom'!F144+'Ethernet-Enterprise'!F144</f>
        <v>148.35809048000002</v>
      </c>
      <c r="G144" s="294"/>
      <c r="H144" s="294"/>
      <c r="I144" s="294"/>
      <c r="J144" s="294"/>
      <c r="K144" s="294"/>
      <c r="L144" s="297"/>
      <c r="M144" s="297"/>
      <c r="N144" s="297"/>
    </row>
    <row r="145" spans="2:16" x14ac:dyDescent="0.25">
      <c r="B145" s="797" t="s">
        <v>474</v>
      </c>
      <c r="C145" s="805" t="s">
        <v>23</v>
      </c>
      <c r="D145" s="298" t="s">
        <v>146</v>
      </c>
      <c r="E145" s="294">
        <f>'Ethernet-Cloud'!E145+'Ethernet-Telecom'!E145+'Ethernet-Enterprise'!E145</f>
        <v>3.6147868986222091</v>
      </c>
      <c r="F145" s="294">
        <f>'Ethernet-Cloud'!F145+'Ethernet-Telecom'!F145+'Ethernet-Enterprise'!F145</f>
        <v>2.1111758458730683</v>
      </c>
      <c r="G145" s="294"/>
      <c r="H145" s="294"/>
      <c r="I145" s="294"/>
      <c r="J145" s="294"/>
      <c r="K145" s="294"/>
      <c r="L145" s="297"/>
      <c r="M145" s="297"/>
      <c r="N145" s="297"/>
    </row>
    <row r="146" spans="2:16" ht="16.5" customHeight="1" x14ac:dyDescent="0.25">
      <c r="B146" s="798"/>
      <c r="C146" s="806"/>
      <c r="D146" s="270" t="s">
        <v>147</v>
      </c>
      <c r="E146" s="294">
        <f>'Ethernet-Cloud'!E146+'Ethernet-Telecom'!E146+'Ethernet-Enterprise'!E146</f>
        <v>158.02054842000001</v>
      </c>
      <c r="F146" s="294">
        <f>'Ethernet-Cloud'!F146+'Ethernet-Telecom'!F146+'Ethernet-Enterprise'!F146</f>
        <v>232.75823985119999</v>
      </c>
      <c r="G146" s="294"/>
      <c r="H146" s="294"/>
      <c r="I146" s="294"/>
      <c r="J146" s="294"/>
      <c r="K146" s="294"/>
      <c r="L146" s="297"/>
      <c r="M146" s="297"/>
      <c r="N146" s="296"/>
    </row>
    <row r="147" spans="2:16" x14ac:dyDescent="0.25">
      <c r="B147" s="798"/>
      <c r="C147" s="405" t="s">
        <v>24</v>
      </c>
      <c r="D147" s="398" t="str">
        <f t="shared" ref="D147:D157" si="65">D104</f>
        <v>All</v>
      </c>
      <c r="E147" s="294">
        <f>'Ethernet-Cloud'!E147+'Ethernet-Telecom'!E147+'Ethernet-Enterprise'!E147</f>
        <v>135.99667566701575</v>
      </c>
      <c r="F147" s="294">
        <f>'Ethernet-Cloud'!F147+'Ethernet-Telecom'!F147+'Ethernet-Enterprise'!F147</f>
        <v>153.02277672963532</v>
      </c>
      <c r="G147" s="294"/>
      <c r="H147" s="294"/>
      <c r="I147" s="294"/>
      <c r="J147" s="294"/>
      <c r="K147" s="294"/>
      <c r="L147" s="297"/>
      <c r="M147" s="297"/>
      <c r="N147" s="297"/>
    </row>
    <row r="148" spans="2:16" x14ac:dyDescent="0.25">
      <c r="B148" s="799"/>
      <c r="C148" s="170" t="s">
        <v>25</v>
      </c>
      <c r="D148" s="398" t="str">
        <f t="shared" si="65"/>
        <v>All</v>
      </c>
      <c r="E148" s="294">
        <f>'Ethernet-Cloud'!E148+'Ethernet-Telecom'!E148+'Ethernet-Enterprise'!E148</f>
        <v>7.491967017366866</v>
      </c>
      <c r="F148" s="294">
        <f>'Ethernet-Cloud'!F148+'Ethernet-Telecom'!F148+'Ethernet-Enterprise'!F148</f>
        <v>7.1576780893434524</v>
      </c>
      <c r="G148" s="294"/>
      <c r="H148" s="294"/>
      <c r="I148" s="294"/>
      <c r="J148" s="294"/>
      <c r="K148" s="294"/>
      <c r="L148" s="297"/>
      <c r="M148" s="297"/>
      <c r="N148" s="297"/>
    </row>
    <row r="149" spans="2:16" x14ac:dyDescent="0.25">
      <c r="B149" s="403" t="str">
        <f>B106</f>
        <v>50 G</v>
      </c>
      <c r="C149" s="405" t="str">
        <f>C106</f>
        <v>all</v>
      </c>
      <c r="D149" s="398" t="str">
        <f t="shared" si="65"/>
        <v>All</v>
      </c>
      <c r="E149" s="294">
        <f>'Ethernet-Cloud'!E149+'Ethernet-Telecom'!E149+'Ethernet-Enterprise'!E149</f>
        <v>0</v>
      </c>
      <c r="F149" s="294">
        <f>'Ethernet-Cloud'!F149+'Ethernet-Telecom'!F149+'Ethernet-Enterprise'!F149</f>
        <v>0</v>
      </c>
      <c r="G149" s="294"/>
      <c r="H149" s="294"/>
      <c r="I149" s="294"/>
      <c r="J149" s="294"/>
      <c r="K149" s="294"/>
      <c r="L149" s="297"/>
      <c r="M149" s="297"/>
      <c r="N149" s="297"/>
    </row>
    <row r="150" spans="2:16" x14ac:dyDescent="0.25">
      <c r="B150" s="802" t="str">
        <f>B107</f>
        <v>100 G</v>
      </c>
      <c r="C150" s="401" t="str">
        <f>C107</f>
        <v>100-300 m</v>
      </c>
      <c r="D150" s="398" t="str">
        <f t="shared" si="65"/>
        <v>All</v>
      </c>
      <c r="E150" s="294">
        <f>'Ethernet-Cloud'!E150+'Ethernet-Telecom'!E150+'Ethernet-Enterprise'!E150</f>
        <v>90.207910409999997</v>
      </c>
      <c r="F150" s="294">
        <f>'Ethernet-Cloud'!F150+'Ethernet-Telecom'!F150+'Ethernet-Enterprise'!F150</f>
        <v>101.40788825457601</v>
      </c>
      <c r="G150" s="294"/>
      <c r="H150" s="294"/>
      <c r="I150" s="294"/>
      <c r="J150" s="294"/>
      <c r="K150" s="294"/>
      <c r="L150" s="297"/>
      <c r="M150" s="297"/>
      <c r="N150" s="297"/>
    </row>
    <row r="151" spans="2:16" x14ac:dyDescent="0.25">
      <c r="B151" s="803"/>
      <c r="C151" s="405" t="str">
        <f t="shared" ref="C151:C157" si="66">C108</f>
        <v>500 m</v>
      </c>
      <c r="D151" s="270" t="str">
        <f t="shared" si="65"/>
        <v>QSFP28</v>
      </c>
      <c r="E151" s="294">
        <f>'Ethernet-Cloud'!E151+'Ethernet-Telecom'!E151+'Ethernet-Enterprise'!E151</f>
        <v>122.89926524000001</v>
      </c>
      <c r="F151" s="294">
        <f>'Ethernet-Cloud'!F151+'Ethernet-Telecom'!F151+'Ethernet-Enterprise'!F151</f>
        <v>456.31685903999988</v>
      </c>
      <c r="G151" s="294"/>
      <c r="H151" s="294"/>
      <c r="I151" s="294"/>
      <c r="J151" s="294"/>
      <c r="K151" s="294"/>
      <c r="L151" s="297"/>
      <c r="M151" s="297"/>
      <c r="N151" s="297"/>
    </row>
    <row r="152" spans="2:16" x14ac:dyDescent="0.25">
      <c r="B152" s="803"/>
      <c r="C152" s="405" t="str">
        <f t="shared" si="66"/>
        <v>2 km</v>
      </c>
      <c r="D152" s="404" t="str">
        <f t="shared" si="65"/>
        <v>QSFP28</v>
      </c>
      <c r="E152" s="294">
        <f>'Ethernet-Cloud'!E152+'Ethernet-Telecom'!E152+'Ethernet-Enterprise'!E152</f>
        <v>25.566254999999995</v>
      </c>
      <c r="F152" s="294">
        <f>'Ethernet-Cloud'!F152+'Ethernet-Telecom'!F152+'Ethernet-Enterprise'!F152</f>
        <v>186.57150329999999</v>
      </c>
      <c r="G152" s="294"/>
      <c r="H152" s="294"/>
      <c r="I152" s="294"/>
      <c r="J152" s="294"/>
      <c r="K152" s="294"/>
      <c r="L152" s="297"/>
      <c r="M152" s="297"/>
      <c r="N152" s="297"/>
    </row>
    <row r="153" spans="2:16" x14ac:dyDescent="0.25">
      <c r="B153" s="803"/>
      <c r="C153" s="405" t="str">
        <f t="shared" si="66"/>
        <v>10-20 km</v>
      </c>
      <c r="D153" s="399" t="str">
        <f t="shared" si="65"/>
        <v>All</v>
      </c>
      <c r="E153" s="294">
        <f>'Ethernet-Cloud'!E153+'Ethernet-Telecom'!E153+'Ethernet-Enterprise'!E153</f>
        <v>553.50850972654064</v>
      </c>
      <c r="F153" s="294">
        <f>'Ethernet-Cloud'!F153+'Ethernet-Telecom'!F153+'Ethernet-Enterprise'!F153</f>
        <v>635.14671757337851</v>
      </c>
      <c r="G153" s="294"/>
      <c r="H153" s="294"/>
      <c r="I153" s="294"/>
      <c r="J153" s="294"/>
      <c r="K153" s="294"/>
      <c r="L153" s="297"/>
      <c r="M153" s="297"/>
      <c r="N153" s="297"/>
    </row>
    <row r="154" spans="2:16" x14ac:dyDescent="0.25">
      <c r="B154" s="804"/>
      <c r="C154" s="170" t="str">
        <f t="shared" si="66"/>
        <v>40 km</v>
      </c>
      <c r="D154" s="199" t="str">
        <f t="shared" si="65"/>
        <v>All</v>
      </c>
      <c r="E154" s="294">
        <f>'Ethernet-Cloud'!E154+'Ethernet-Telecom'!E154+'Ethernet-Enterprise'!E154</f>
        <v>52.296691359229825</v>
      </c>
      <c r="F154" s="294">
        <f>'Ethernet-Cloud'!F154+'Ethernet-Telecom'!F154+'Ethernet-Enterprise'!F154</f>
        <v>47.175440603914538</v>
      </c>
      <c r="G154" s="294"/>
      <c r="H154" s="294"/>
      <c r="I154" s="294"/>
      <c r="J154" s="294"/>
      <c r="K154" s="294"/>
      <c r="L154" s="297"/>
      <c r="M154" s="297"/>
      <c r="N154" s="297"/>
    </row>
    <row r="155" spans="2:16" x14ac:dyDescent="0.25">
      <c r="B155" s="201" t="str">
        <f>B112</f>
        <v>200 G</v>
      </c>
      <c r="C155" s="203" t="str">
        <f t="shared" si="66"/>
        <v>All</v>
      </c>
      <c r="D155" s="203" t="str">
        <f t="shared" si="65"/>
        <v>All</v>
      </c>
      <c r="E155" s="294">
        <f>'Ethernet-Cloud'!E155+'Ethernet-Telecom'!E155+'Ethernet-Enterprise'!E155</f>
        <v>0</v>
      </c>
      <c r="F155" s="294">
        <f>'Ethernet-Cloud'!F155+'Ethernet-Telecom'!F155+'Ethernet-Enterprise'!F155</f>
        <v>0</v>
      </c>
      <c r="G155" s="294"/>
      <c r="H155" s="294"/>
      <c r="I155" s="294"/>
      <c r="J155" s="294"/>
      <c r="K155" s="294"/>
      <c r="L155" s="297"/>
      <c r="M155" s="297"/>
      <c r="N155" s="297"/>
    </row>
    <row r="156" spans="2:16" x14ac:dyDescent="0.25">
      <c r="B156" s="201" t="s">
        <v>478</v>
      </c>
      <c r="C156" s="203" t="str">
        <f t="shared" si="66"/>
        <v>All</v>
      </c>
      <c r="D156" s="203" t="str">
        <f t="shared" si="65"/>
        <v>All</v>
      </c>
      <c r="E156" s="294">
        <f>'Ethernet-Cloud'!E156+'Ethernet-Telecom'!E156+'Ethernet-Enterprise'!E156</f>
        <v>0</v>
      </c>
      <c r="F156" s="294">
        <f>'Ethernet-Cloud'!F156+'Ethernet-Telecom'!F156+'Ethernet-Enterprise'!F156</f>
        <v>1.0949</v>
      </c>
      <c r="G156" s="294"/>
      <c r="H156" s="294"/>
      <c r="I156" s="294"/>
      <c r="J156" s="294"/>
      <c r="K156" s="294"/>
      <c r="L156" s="297"/>
      <c r="M156" s="297"/>
      <c r="N156" s="297"/>
    </row>
    <row r="157" spans="2:16" x14ac:dyDescent="0.25">
      <c r="B157" s="201" t="s">
        <v>480</v>
      </c>
      <c r="C157" s="203" t="str">
        <f t="shared" si="66"/>
        <v>All</v>
      </c>
      <c r="D157" s="203" t="str">
        <f t="shared" si="65"/>
        <v>All</v>
      </c>
      <c r="E157" s="294">
        <f>'Ethernet-Cloud'!E157+'Ethernet-Telecom'!E157+'Ethernet-Enterprise'!E157</f>
        <v>0</v>
      </c>
      <c r="F157" s="294">
        <f>'Ethernet-Cloud'!F157+'Ethernet-Telecom'!F157+'Ethernet-Enterprise'!F157</f>
        <v>0</v>
      </c>
      <c r="G157" s="294"/>
      <c r="H157" s="294"/>
      <c r="I157" s="294"/>
      <c r="J157" s="294"/>
      <c r="K157" s="294"/>
      <c r="L157" s="297"/>
      <c r="M157" s="297"/>
      <c r="N157" s="297"/>
      <c r="O157" s="184"/>
    </row>
    <row r="158" spans="2:16" x14ac:dyDescent="0.25">
      <c r="B158" s="206" t="s">
        <v>9</v>
      </c>
      <c r="C158" s="203" t="str">
        <f>C115</f>
        <v>All</v>
      </c>
      <c r="D158" s="203" t="str">
        <f>D115</f>
        <v>All</v>
      </c>
      <c r="E158" s="290">
        <f>SUM(E140:E157)</f>
        <v>2123.9206341623808</v>
      </c>
      <c r="F158" s="290">
        <f t="shared" ref="F158:N158" si="67">SUM(F140:F157)</f>
        <v>2668.3161711931034</v>
      </c>
      <c r="G158" s="290"/>
      <c r="H158" s="290"/>
      <c r="I158" s="290"/>
      <c r="J158" s="290"/>
      <c r="K158" s="290"/>
      <c r="L158" s="290"/>
      <c r="M158" s="290"/>
      <c r="N158" s="290"/>
      <c r="O158" s="277"/>
      <c r="P158" s="184"/>
    </row>
    <row r="159" spans="2:16" x14ac:dyDescent="0.25">
      <c r="C159" s="160"/>
      <c r="E159" s="8"/>
      <c r="F159" s="8">
        <f t="shared" ref="F159:N159" si="68">IF(E158=0,"",F158/E158-1)</f>
        <v>0.25631632758510214</v>
      </c>
      <c r="G159" s="8"/>
      <c r="H159" s="8"/>
      <c r="I159" s="8"/>
      <c r="J159" s="8"/>
      <c r="K159" s="8"/>
      <c r="L159" s="8"/>
      <c r="M159" s="8"/>
      <c r="N159" s="8"/>
      <c r="O159" s="447"/>
      <c r="P159" s="184"/>
    </row>
    <row r="160" spans="2:16" x14ac:dyDescent="0.25">
      <c r="C160" s="160"/>
      <c r="E160" s="397"/>
      <c r="F160" s="397"/>
      <c r="G160" s="397"/>
      <c r="H160" s="397"/>
      <c r="I160" s="397"/>
      <c r="J160" s="397"/>
      <c r="K160" s="397"/>
      <c r="L160" s="397"/>
      <c r="M160" s="564"/>
      <c r="N160" s="665"/>
      <c r="O160" s="277"/>
      <c r="P160" s="184"/>
    </row>
    <row r="161" spans="2:24" x14ac:dyDescent="0.25">
      <c r="B161" s="446"/>
      <c r="C161" s="446"/>
      <c r="D161" s="446"/>
      <c r="E161" s="445"/>
      <c r="F161" s="445"/>
      <c r="G161" s="445"/>
      <c r="H161" s="445"/>
      <c r="I161" s="445"/>
      <c r="J161" s="445"/>
      <c r="K161" s="445"/>
      <c r="L161" s="445"/>
      <c r="M161" s="445"/>
      <c r="N161" s="445"/>
    </row>
    <row r="163" spans="2:24" ht="14.5" x14ac:dyDescent="0.35">
      <c r="B163" s="221" t="s">
        <v>0</v>
      </c>
      <c r="C163" s="273" t="s">
        <v>239</v>
      </c>
      <c r="D163" s="198"/>
      <c r="E163" s="627" t="s">
        <v>421</v>
      </c>
      <c r="L163" s="221" t="str">
        <f>B163</f>
        <v>Units</v>
      </c>
      <c r="N163" s="571" t="str">
        <f>C163</f>
        <v>Ethernet total-Global</v>
      </c>
      <c r="O163" s="277"/>
      <c r="P163" s="662"/>
    </row>
    <row r="164" spans="2:24" x14ac:dyDescent="0.25">
      <c r="B164" s="225" t="s">
        <v>10</v>
      </c>
      <c r="C164" s="7" t="s">
        <v>11</v>
      </c>
      <c r="D164" s="226" t="s">
        <v>12</v>
      </c>
      <c r="E164" s="39">
        <v>2016</v>
      </c>
      <c r="F164" s="7">
        <v>2017</v>
      </c>
      <c r="G164" s="7">
        <v>2018</v>
      </c>
      <c r="H164" s="7">
        <v>2019</v>
      </c>
      <c r="I164" s="7">
        <v>2020</v>
      </c>
      <c r="J164" s="7">
        <v>2021</v>
      </c>
      <c r="K164" s="7">
        <v>2022</v>
      </c>
      <c r="L164" s="7">
        <v>2023</v>
      </c>
      <c r="M164" s="7">
        <v>2024</v>
      </c>
      <c r="N164" s="7">
        <v>2025</v>
      </c>
      <c r="O164" s="277"/>
      <c r="P164" s="662"/>
    </row>
    <row r="165" spans="2:24" x14ac:dyDescent="0.25">
      <c r="B165" s="398" t="s">
        <v>469</v>
      </c>
      <c r="C165" s="405" t="s">
        <v>20</v>
      </c>
      <c r="D165" s="203" t="s">
        <v>20</v>
      </c>
      <c r="E165" s="374">
        <f>'Ethernet-Cloud'!E165+'Ethernet-Telecom'!E165+'Ethernet-Enterprise'!E165</f>
        <v>13567410.105</v>
      </c>
      <c r="F165" s="374">
        <f>'Ethernet-Cloud'!F165+'Ethernet-Telecom'!F165+'Ethernet-Enterprise'!F165</f>
        <v>11273695.049999997</v>
      </c>
      <c r="G165" s="374"/>
      <c r="H165" s="374"/>
      <c r="I165" s="374"/>
      <c r="J165" s="374"/>
      <c r="K165" s="374"/>
      <c r="L165" s="375"/>
      <c r="M165" s="375"/>
      <c r="N165" s="375"/>
      <c r="O165" s="277"/>
      <c r="P165" s="662"/>
    </row>
    <row r="166" spans="2:24" x14ac:dyDescent="0.25">
      <c r="B166" s="398" t="s">
        <v>470</v>
      </c>
      <c r="C166" s="405" t="s">
        <v>20</v>
      </c>
      <c r="D166" s="203" t="s">
        <v>20</v>
      </c>
      <c r="E166" s="374">
        <f>'Ethernet-Cloud'!E166+'Ethernet-Telecom'!E166+'Ethernet-Enterprise'!E166</f>
        <v>18516818.93</v>
      </c>
      <c r="F166" s="374">
        <f>'Ethernet-Cloud'!F166+'Ethernet-Telecom'!F166+'Ethernet-Enterprise'!F166</f>
        <v>19945022.100000001</v>
      </c>
      <c r="G166" s="374"/>
      <c r="H166" s="374"/>
      <c r="I166" s="374"/>
      <c r="J166" s="374"/>
      <c r="K166" s="374"/>
      <c r="L166" s="375"/>
      <c r="M166" s="375"/>
      <c r="N166" s="375"/>
      <c r="O166" s="277"/>
      <c r="P166" s="662"/>
    </row>
    <row r="167" spans="2:24" ht="13" x14ac:dyDescent="0.3">
      <c r="B167" s="398" t="s">
        <v>471</v>
      </c>
      <c r="C167" s="405" t="s">
        <v>20</v>
      </c>
      <c r="D167" s="282" t="s">
        <v>154</v>
      </c>
      <c r="E167" s="375">
        <f>'Ethernet-Cloud'!E167+'Ethernet-Telecom'!E167+'Ethernet-Enterprise'!E167</f>
        <v>11694</v>
      </c>
      <c r="F167" s="375">
        <f>'Ethernet-Cloud'!F167+'Ethernet-Telecom'!F167+'Ethernet-Enterprise'!F167</f>
        <v>113327</v>
      </c>
      <c r="G167" s="375"/>
      <c r="H167" s="375"/>
      <c r="I167" s="375"/>
      <c r="J167" s="375"/>
      <c r="K167" s="375"/>
      <c r="L167" s="375"/>
      <c r="M167" s="375"/>
      <c r="N167" s="375"/>
      <c r="O167" s="277"/>
      <c r="P167" s="662"/>
    </row>
    <row r="168" spans="2:24" x14ac:dyDescent="0.25">
      <c r="B168" s="199" t="s">
        <v>472</v>
      </c>
      <c r="C168" s="321" t="s">
        <v>161</v>
      </c>
      <c r="D168" s="199" t="s">
        <v>137</v>
      </c>
      <c r="E168" s="376">
        <f>'Ethernet-Cloud'!E168+'Ethernet-Telecom'!E168+'Ethernet-Enterprise'!E168</f>
        <v>1529498</v>
      </c>
      <c r="F168" s="376">
        <f>'Ethernet-Cloud'!F168+'Ethernet-Telecom'!F168+'Ethernet-Enterprise'!F168</f>
        <v>2010866</v>
      </c>
      <c r="G168" s="376"/>
      <c r="H168" s="376"/>
      <c r="I168" s="376"/>
      <c r="J168" s="376"/>
      <c r="K168" s="376"/>
      <c r="L168" s="376"/>
      <c r="M168" s="376"/>
      <c r="N168" s="275"/>
      <c r="O168" s="277"/>
      <c r="P168" s="662"/>
    </row>
    <row r="169" spans="2:24" ht="14" customHeight="1" x14ac:dyDescent="0.25">
      <c r="B169" s="203" t="s">
        <v>473</v>
      </c>
      <c r="C169" s="401" t="s">
        <v>22</v>
      </c>
      <c r="D169" s="203" t="s">
        <v>137</v>
      </c>
      <c r="E169" s="374">
        <f>'Ethernet-Cloud'!E169+'Ethernet-Telecom'!E169+'Ethernet-Enterprise'!E169</f>
        <v>813790</v>
      </c>
      <c r="F169" s="374">
        <f>'Ethernet-Cloud'!F169+'Ethernet-Telecom'!F169+'Ethernet-Enterprise'!F169</f>
        <v>613640</v>
      </c>
      <c r="G169" s="374"/>
      <c r="H169" s="374"/>
      <c r="I169" s="374"/>
      <c r="J169" s="374"/>
      <c r="K169" s="374"/>
      <c r="L169" s="374"/>
      <c r="M169" s="374"/>
      <c r="N169" s="375"/>
      <c r="O169" s="277"/>
      <c r="P169" s="662"/>
    </row>
    <row r="170" spans="2:24" x14ac:dyDescent="0.25">
      <c r="B170" s="797" t="s">
        <v>474</v>
      </c>
      <c r="C170" s="800" t="s">
        <v>23</v>
      </c>
      <c r="D170" s="298" t="s">
        <v>146</v>
      </c>
      <c r="E170" s="374">
        <f>'Ethernet-Cloud'!E170+'Ethernet-Telecom'!E170+'Ethernet-Enterprise'!E170</f>
        <v>791</v>
      </c>
      <c r="F170" s="374">
        <f>'Ethernet-Cloud'!F170+'Ethernet-Telecom'!F170+'Ethernet-Enterprise'!F170</f>
        <v>402</v>
      </c>
      <c r="G170" s="374"/>
      <c r="H170" s="374"/>
      <c r="I170" s="374"/>
      <c r="J170" s="374"/>
      <c r="K170" s="374"/>
      <c r="L170" s="374"/>
      <c r="M170" s="374"/>
      <c r="N170" s="375"/>
      <c r="O170" s="277"/>
      <c r="P170" s="662"/>
    </row>
    <row r="171" spans="2:24" ht="14.5" customHeight="1" x14ac:dyDescent="0.25">
      <c r="B171" s="798"/>
      <c r="C171" s="801"/>
      <c r="D171" s="270" t="s">
        <v>147</v>
      </c>
      <c r="E171" s="374">
        <f>'Ethernet-Cloud'!E171+'Ethernet-Telecom'!E171+'Ethernet-Enterprise'!E171</f>
        <v>470209</v>
      </c>
      <c r="F171" s="374">
        <f>'Ethernet-Cloud'!F171+'Ethernet-Telecom'!F171+'Ethernet-Enterprise'!F171</f>
        <v>806616</v>
      </c>
      <c r="G171" s="374"/>
      <c r="H171" s="374"/>
      <c r="I171" s="374"/>
      <c r="J171" s="374"/>
      <c r="K171" s="374"/>
      <c r="L171" s="374"/>
      <c r="M171" s="374"/>
      <c r="N171" s="375"/>
      <c r="O171" s="277"/>
      <c r="P171" s="662"/>
    </row>
    <row r="172" spans="2:24" x14ac:dyDescent="0.25">
      <c r="B172" s="798"/>
      <c r="C172" s="401" t="s">
        <v>24</v>
      </c>
      <c r="D172" s="202" t="s">
        <v>20</v>
      </c>
      <c r="E172" s="375">
        <f>'Ethernet-Cloud'!E172+'Ethernet-Telecom'!E172+'Ethernet-Enterprise'!E172</f>
        <v>333886</v>
      </c>
      <c r="F172" s="375">
        <f>'Ethernet-Cloud'!F172+'Ethernet-Telecom'!F172+'Ethernet-Enterprise'!F172</f>
        <v>427204</v>
      </c>
      <c r="G172" s="375"/>
      <c r="H172" s="375"/>
      <c r="I172" s="375"/>
      <c r="J172" s="375"/>
      <c r="K172" s="375"/>
      <c r="L172" s="375"/>
      <c r="M172" s="375"/>
      <c r="N172" s="375"/>
      <c r="O172" s="277"/>
      <c r="P172" s="662"/>
    </row>
    <row r="173" spans="2:24" x14ac:dyDescent="0.25">
      <c r="B173" s="799"/>
      <c r="C173" s="171" t="s">
        <v>25</v>
      </c>
      <c r="D173" s="202" t="s">
        <v>20</v>
      </c>
      <c r="E173" s="375">
        <f>'Ethernet-Cloud'!E173+'Ethernet-Telecom'!E173+'Ethernet-Enterprise'!E173</f>
        <v>4894</v>
      </c>
      <c r="F173" s="375">
        <f>'Ethernet-Cloud'!F173+'Ethernet-Telecom'!F173+'Ethernet-Enterprise'!F173</f>
        <v>5432</v>
      </c>
      <c r="G173" s="375"/>
      <c r="H173" s="375"/>
      <c r="I173" s="375"/>
      <c r="J173" s="375"/>
      <c r="K173" s="375"/>
      <c r="L173" s="375"/>
      <c r="M173" s="375"/>
      <c r="N173" s="375"/>
      <c r="O173" s="277"/>
      <c r="P173" s="662"/>
    </row>
    <row r="174" spans="2:24" x14ac:dyDescent="0.25">
      <c r="B174" s="403" t="s">
        <v>475</v>
      </c>
      <c r="C174" s="401" t="s">
        <v>60</v>
      </c>
      <c r="D174" s="202" t="s">
        <v>20</v>
      </c>
      <c r="E174" s="375">
        <f>'Ethernet-Cloud'!E174+'Ethernet-Telecom'!E174+'Ethernet-Enterprise'!E174</f>
        <v>0</v>
      </c>
      <c r="F174" s="375">
        <f>'Ethernet-Cloud'!F174+'Ethernet-Telecom'!F174+'Ethernet-Enterprise'!F174</f>
        <v>0</v>
      </c>
      <c r="G174" s="375"/>
      <c r="H174" s="375"/>
      <c r="I174" s="375"/>
      <c r="J174" s="375"/>
      <c r="K174" s="375"/>
      <c r="L174" s="375"/>
      <c r="M174" s="375"/>
      <c r="N174" s="375"/>
      <c r="O174" s="277"/>
      <c r="P174" s="662"/>
      <c r="X174" s="2"/>
    </row>
    <row r="175" spans="2:24" x14ac:dyDescent="0.25">
      <c r="B175" s="802" t="s">
        <v>476</v>
      </c>
      <c r="C175" s="401" t="s">
        <v>161</v>
      </c>
      <c r="D175" s="202" t="s">
        <v>20</v>
      </c>
      <c r="E175" s="375">
        <f>'Ethernet-Cloud'!E175+'Ethernet-Telecom'!E175+'Ethernet-Enterprise'!E175</f>
        <v>299241</v>
      </c>
      <c r="F175" s="375">
        <f>'Ethernet-Cloud'!F175+'Ethernet-Telecom'!F175+'Ethernet-Enterprise'!F175</f>
        <v>631974</v>
      </c>
      <c r="G175" s="375"/>
      <c r="H175" s="375"/>
      <c r="I175" s="375"/>
      <c r="J175" s="375"/>
      <c r="K175" s="375"/>
      <c r="L175" s="375"/>
      <c r="M175" s="375"/>
      <c r="N175" s="375"/>
      <c r="O175" s="277"/>
      <c r="P175" s="662"/>
    </row>
    <row r="176" spans="2:24" x14ac:dyDescent="0.25">
      <c r="B176" s="803"/>
      <c r="C176" s="405" t="s">
        <v>22</v>
      </c>
      <c r="D176" s="203" t="s">
        <v>162</v>
      </c>
      <c r="E176" s="275">
        <f>'Ethernet-Cloud'!E176+'Ethernet-Telecom'!E176+'Ethernet-Enterprise'!E176</f>
        <v>289061.59999999998</v>
      </c>
      <c r="F176" s="275">
        <f>'Ethernet-Cloud'!F176+'Ethernet-Telecom'!F176+'Ethernet-Enterprise'!F176</f>
        <v>1393450.1</v>
      </c>
      <c r="G176" s="275"/>
      <c r="H176" s="275"/>
      <c r="I176" s="275"/>
      <c r="J176" s="275"/>
      <c r="K176" s="275"/>
      <c r="L176" s="275"/>
      <c r="M176" s="275"/>
      <c r="N176" s="275"/>
      <c r="O176" s="277"/>
      <c r="P176" s="662"/>
    </row>
    <row r="177" spans="2:16" x14ac:dyDescent="0.25">
      <c r="B177" s="803"/>
      <c r="C177" s="401" t="s">
        <v>23</v>
      </c>
      <c r="D177" s="404" t="s">
        <v>162</v>
      </c>
      <c r="E177" s="275">
        <f>'Ethernet-Cloud'!E177+'Ethernet-Telecom'!E177+'Ethernet-Enterprise'!E177</f>
        <v>30989.399999999994</v>
      </c>
      <c r="F177" s="275">
        <f>'Ethernet-Cloud'!F177+'Ethernet-Telecom'!F177+'Ethernet-Enterprise'!F177</f>
        <v>292890.90000000002</v>
      </c>
      <c r="G177" s="275"/>
      <c r="H177" s="275"/>
      <c r="I177" s="275"/>
      <c r="J177" s="275"/>
      <c r="K177" s="275"/>
      <c r="L177" s="275"/>
      <c r="M177" s="275"/>
      <c r="N177" s="275"/>
      <c r="O177" s="277"/>
      <c r="P177" s="662"/>
    </row>
    <row r="178" spans="2:16" x14ac:dyDescent="0.25">
      <c r="B178" s="803"/>
      <c r="C178" s="401" t="s">
        <v>163</v>
      </c>
      <c r="D178" s="202" t="s">
        <v>20</v>
      </c>
      <c r="E178" s="377">
        <f>'Ethernet-Cloud'!E178+'Ethernet-Telecom'!E178+'Ethernet-Enterprise'!E178</f>
        <v>292622</v>
      </c>
      <c r="F178" s="377">
        <f>'Ethernet-Cloud'!F178+'Ethernet-Telecom'!F178+'Ethernet-Enterprise'!F178</f>
        <v>552903</v>
      </c>
      <c r="G178" s="377"/>
      <c r="H178" s="377"/>
      <c r="I178" s="377"/>
      <c r="J178" s="377"/>
      <c r="K178" s="377"/>
      <c r="L178" s="377"/>
      <c r="M178" s="377"/>
      <c r="N178" s="375"/>
      <c r="O178" s="277"/>
      <c r="P178" s="662"/>
    </row>
    <row r="179" spans="2:16" x14ac:dyDescent="0.25">
      <c r="B179" s="804"/>
      <c r="C179" s="171" t="s">
        <v>25</v>
      </c>
      <c r="D179" s="199" t="s">
        <v>20</v>
      </c>
      <c r="E179" s="376">
        <f>'Ethernet-Cloud'!E179+'Ethernet-Telecom'!E179+'Ethernet-Enterprise'!E179</f>
        <v>7456</v>
      </c>
      <c r="F179" s="376">
        <f>'Ethernet-Cloud'!F179+'Ethernet-Telecom'!F179+'Ethernet-Enterprise'!F179</f>
        <v>10272</v>
      </c>
      <c r="G179" s="376"/>
      <c r="H179" s="376"/>
      <c r="I179" s="376"/>
      <c r="J179" s="376"/>
      <c r="K179" s="376"/>
      <c r="L179" s="376"/>
      <c r="M179" s="376"/>
      <c r="N179" s="275"/>
      <c r="O179" s="277"/>
      <c r="P179" s="662"/>
    </row>
    <row r="180" spans="2:16" x14ac:dyDescent="0.25">
      <c r="B180" s="400" t="s">
        <v>477</v>
      </c>
      <c r="C180" s="203" t="s">
        <v>20</v>
      </c>
      <c r="D180" s="203" t="s">
        <v>20</v>
      </c>
      <c r="E180" s="275">
        <f>'Ethernet-Cloud'!E180+'Ethernet-Telecom'!E180+'Ethernet-Enterprise'!E180</f>
        <v>0</v>
      </c>
      <c r="F180" s="275">
        <f>'Ethernet-Cloud'!F180+'Ethernet-Telecom'!F180+'Ethernet-Enterprise'!F180</f>
        <v>0</v>
      </c>
      <c r="G180" s="275"/>
      <c r="H180" s="275"/>
      <c r="I180" s="275"/>
      <c r="J180" s="275"/>
      <c r="K180" s="275"/>
      <c r="L180" s="275"/>
      <c r="M180" s="275"/>
      <c r="N180" s="275"/>
      <c r="O180" s="277"/>
      <c r="P180" s="662"/>
    </row>
    <row r="181" spans="2:16" x14ac:dyDescent="0.25">
      <c r="B181" s="203" t="s">
        <v>478</v>
      </c>
      <c r="C181" s="203" t="s">
        <v>20</v>
      </c>
      <c r="D181" s="203" t="s">
        <v>20</v>
      </c>
      <c r="E181" s="275">
        <f>'Ethernet-Cloud'!E181+'Ethernet-Telecom'!E181+'Ethernet-Enterprise'!E181</f>
        <v>0</v>
      </c>
      <c r="F181" s="275">
        <f>'Ethernet-Cloud'!F181+'Ethernet-Telecom'!F181+'Ethernet-Enterprise'!F181</f>
        <v>89</v>
      </c>
      <c r="G181" s="275"/>
      <c r="H181" s="275"/>
      <c r="I181" s="275"/>
      <c r="J181" s="275"/>
      <c r="K181" s="275"/>
      <c r="L181" s="275"/>
      <c r="M181" s="275"/>
      <c r="N181" s="275"/>
      <c r="O181" s="277"/>
      <c r="P181" s="662"/>
    </row>
    <row r="182" spans="2:16" x14ac:dyDescent="0.25">
      <c r="B182" s="203" t="s">
        <v>480</v>
      </c>
      <c r="C182" s="203" t="s">
        <v>20</v>
      </c>
      <c r="D182" s="203" t="s">
        <v>20</v>
      </c>
      <c r="E182" s="275">
        <f>'Ethernet-Cloud'!E182+'Ethernet-Telecom'!E182+'Ethernet-Enterprise'!E182</f>
        <v>0</v>
      </c>
      <c r="F182" s="275">
        <f>'Ethernet-Cloud'!F182+'Ethernet-Telecom'!F182+'Ethernet-Enterprise'!F182</f>
        <v>0</v>
      </c>
      <c r="G182" s="275"/>
      <c r="H182" s="275"/>
      <c r="I182" s="275"/>
      <c r="J182" s="275"/>
      <c r="K182" s="275"/>
      <c r="L182" s="275"/>
      <c r="M182" s="275"/>
      <c r="N182" s="275"/>
      <c r="O182" s="277"/>
      <c r="P182" s="662"/>
    </row>
    <row r="183" spans="2:16" x14ac:dyDescent="0.25">
      <c r="B183" s="206" t="s">
        <v>9</v>
      </c>
      <c r="C183" s="203" t="s">
        <v>20</v>
      </c>
      <c r="D183" s="203" t="s">
        <v>20</v>
      </c>
      <c r="E183" s="235">
        <f t="shared" ref="E183:N183" si="69">SUM(E165:E182)</f>
        <v>36168361.034999996</v>
      </c>
      <c r="F183" s="235">
        <f t="shared" si="69"/>
        <v>38077783.149999999</v>
      </c>
      <c r="G183" s="235"/>
      <c r="H183" s="235"/>
      <c r="I183" s="235"/>
      <c r="J183" s="235"/>
      <c r="K183" s="235"/>
      <c r="L183" s="235"/>
      <c r="M183" s="235"/>
      <c r="N183" s="235"/>
      <c r="O183" s="277"/>
      <c r="P183" s="662"/>
    </row>
    <row r="184" spans="2:16" x14ac:dyDescent="0.25">
      <c r="B184" s="160"/>
      <c r="C184" s="160"/>
      <c r="D184" s="207"/>
      <c r="E184" s="8"/>
      <c r="F184" s="8">
        <f t="shared" ref="F184:N184" si="70">IF(E183=0,"",F183/E183-1)</f>
        <v>5.2792608245429307E-2</v>
      </c>
      <c r="G184" s="8"/>
      <c r="H184" s="8"/>
      <c r="I184" s="8"/>
      <c r="J184" s="8"/>
      <c r="K184" s="8"/>
      <c r="L184" s="8"/>
      <c r="M184" s="8"/>
      <c r="N184" s="8"/>
    </row>
    <row r="185" spans="2:16" ht="13" x14ac:dyDescent="0.3">
      <c r="B185" s="220" t="s">
        <v>53</v>
      </c>
      <c r="C185" s="273" t="str">
        <f>$C$163</f>
        <v>Ethernet total-Global</v>
      </c>
      <c r="D185" s="198"/>
      <c r="E185" s="198"/>
      <c r="F185" s="198"/>
      <c r="G185" s="198"/>
      <c r="H185" s="198"/>
      <c r="I185" s="198"/>
      <c r="J185" s="198"/>
      <c r="K185" s="198"/>
      <c r="L185" s="198"/>
      <c r="M185" s="198"/>
      <c r="N185" s="198"/>
    </row>
    <row r="186" spans="2:16" x14ac:dyDescent="0.25">
      <c r="B186" s="227" t="s">
        <v>10</v>
      </c>
      <c r="C186" s="129" t="s">
        <v>11</v>
      </c>
      <c r="D186" s="228" t="s">
        <v>12</v>
      </c>
      <c r="E186" s="136">
        <v>2016</v>
      </c>
      <c r="F186" s="129">
        <v>2017</v>
      </c>
      <c r="G186" s="129">
        <v>2018</v>
      </c>
      <c r="H186" s="129">
        <v>2019</v>
      </c>
      <c r="I186" s="129">
        <v>2020</v>
      </c>
      <c r="J186" s="129">
        <v>2021</v>
      </c>
      <c r="K186" s="129">
        <v>2022</v>
      </c>
      <c r="L186" s="129">
        <v>2023</v>
      </c>
      <c r="M186" s="129">
        <v>2024</v>
      </c>
      <c r="N186" s="129">
        <v>2025</v>
      </c>
    </row>
    <row r="187" spans="2:16" x14ac:dyDescent="0.25">
      <c r="B187" s="398" t="s">
        <v>469</v>
      </c>
      <c r="C187" s="405" t="str">
        <f>C165</f>
        <v>All</v>
      </c>
      <c r="D187" s="405" t="str">
        <f>D165</f>
        <v>All</v>
      </c>
      <c r="E187" s="294">
        <f t="shared" ref="E187:L196" si="71">IF(E165=0,,E208*10^6/E165)</f>
        <v>11.362900504713087</v>
      </c>
      <c r="F187" s="294">
        <f t="shared" si="71"/>
        <v>9.812879197160159</v>
      </c>
      <c r="G187" s="294"/>
      <c r="H187" s="294"/>
      <c r="I187" s="294"/>
      <c r="J187" s="297"/>
      <c r="K187" s="297"/>
      <c r="L187" s="297"/>
      <c r="M187" s="297"/>
      <c r="N187" s="297"/>
    </row>
    <row r="188" spans="2:16" x14ac:dyDescent="0.25">
      <c r="B188" s="398" t="s">
        <v>470</v>
      </c>
      <c r="C188" s="405" t="str">
        <f>C166</f>
        <v>All</v>
      </c>
      <c r="D188" s="405" t="str">
        <f>D166</f>
        <v>All</v>
      </c>
      <c r="E188" s="294">
        <f t="shared" si="71"/>
        <v>31.8035041585639</v>
      </c>
      <c r="F188" s="294">
        <f t="shared" si="71"/>
        <v>24.39730741307288</v>
      </c>
      <c r="G188" s="294"/>
      <c r="H188" s="294"/>
      <c r="I188" s="294"/>
      <c r="J188" s="297"/>
      <c r="K188" s="297"/>
      <c r="L188" s="297"/>
      <c r="M188" s="297"/>
      <c r="N188" s="297"/>
    </row>
    <row r="189" spans="2:16" ht="13" x14ac:dyDescent="0.3">
      <c r="B189" s="398" t="s">
        <v>471</v>
      </c>
      <c r="C189" s="405" t="str">
        <f>C168</f>
        <v>100-300 m</v>
      </c>
      <c r="D189" s="282" t="s">
        <v>154</v>
      </c>
      <c r="E189" s="294">
        <f t="shared" si="71"/>
        <v>291.79972635539599</v>
      </c>
      <c r="F189" s="294">
        <f t="shared" si="71"/>
        <v>169.30718458014624</v>
      </c>
      <c r="G189" s="294"/>
      <c r="H189" s="294"/>
      <c r="I189" s="294"/>
      <c r="J189" s="297"/>
      <c r="K189" s="297"/>
      <c r="L189" s="297"/>
      <c r="M189" s="297"/>
      <c r="N189" s="297"/>
    </row>
    <row r="190" spans="2:16" x14ac:dyDescent="0.25">
      <c r="B190" s="199" t="s">
        <v>472</v>
      </c>
      <c r="C190" s="401" t="s">
        <v>21</v>
      </c>
      <c r="D190" s="199" t="s">
        <v>55</v>
      </c>
      <c r="E190" s="294">
        <f t="shared" si="71"/>
        <v>160.01978787738781</v>
      </c>
      <c r="F190" s="294">
        <f t="shared" si="71"/>
        <v>140.09884690145475</v>
      </c>
      <c r="G190" s="294"/>
      <c r="H190" s="294"/>
      <c r="I190" s="294"/>
      <c r="J190" s="297"/>
      <c r="K190" s="297"/>
      <c r="L190" s="297"/>
      <c r="M190" s="297"/>
      <c r="N190" s="297"/>
    </row>
    <row r="191" spans="2:16" x14ac:dyDescent="0.25">
      <c r="B191" s="203" t="s">
        <v>473</v>
      </c>
      <c r="C191" s="405" t="s">
        <v>22</v>
      </c>
      <c r="D191" s="203" t="s">
        <v>137</v>
      </c>
      <c r="E191" s="294">
        <f t="shared" si="71"/>
        <v>253.19068527507093</v>
      </c>
      <c r="F191" s="294">
        <f t="shared" si="71"/>
        <v>262.79055146339874</v>
      </c>
      <c r="G191" s="294"/>
      <c r="H191" s="294"/>
      <c r="I191" s="294"/>
      <c r="J191" s="297"/>
      <c r="K191" s="297"/>
      <c r="L191" s="297"/>
      <c r="M191" s="297"/>
      <c r="N191" s="297"/>
    </row>
    <row r="192" spans="2:16" x14ac:dyDescent="0.25">
      <c r="B192" s="797" t="s">
        <v>474</v>
      </c>
      <c r="C192" s="805" t="s">
        <v>23</v>
      </c>
      <c r="D192" s="402" t="s">
        <v>146</v>
      </c>
      <c r="E192" s="294">
        <f t="shared" si="71"/>
        <v>4569.894941368153</v>
      </c>
      <c r="F192" s="294">
        <f t="shared" si="71"/>
        <v>5251.681208639473</v>
      </c>
      <c r="G192" s="294"/>
      <c r="H192" s="294"/>
      <c r="I192" s="294"/>
      <c r="J192" s="297"/>
      <c r="K192" s="297"/>
      <c r="L192" s="297"/>
      <c r="M192" s="297"/>
      <c r="N192" s="297"/>
    </row>
    <row r="193" spans="2:16" ht="25" x14ac:dyDescent="0.25">
      <c r="B193" s="798"/>
      <c r="C193" s="806"/>
      <c r="D193" s="404" t="s">
        <v>147</v>
      </c>
      <c r="E193" s="294">
        <f t="shared" si="71"/>
        <v>377.60055209491952</v>
      </c>
      <c r="F193" s="294">
        <f t="shared" si="71"/>
        <v>343.5254726908467</v>
      </c>
      <c r="G193" s="294"/>
      <c r="H193" s="294"/>
      <c r="I193" s="294"/>
      <c r="J193" s="297"/>
      <c r="K193" s="297"/>
      <c r="L193" s="297"/>
      <c r="M193" s="297"/>
      <c r="N193" s="297"/>
    </row>
    <row r="194" spans="2:16" x14ac:dyDescent="0.25">
      <c r="B194" s="798"/>
      <c r="C194" s="405" t="s">
        <v>24</v>
      </c>
      <c r="D194" s="202" t="s">
        <v>20</v>
      </c>
      <c r="E194" s="294">
        <f t="shared" si="71"/>
        <v>442.62134347999188</v>
      </c>
      <c r="F194" s="294">
        <f t="shared" si="71"/>
        <v>407.69244069388674</v>
      </c>
      <c r="G194" s="294"/>
      <c r="H194" s="294"/>
      <c r="I194" s="294"/>
      <c r="J194" s="297"/>
      <c r="K194" s="297"/>
      <c r="L194" s="297"/>
      <c r="M194" s="297"/>
      <c r="N194" s="297"/>
    </row>
    <row r="195" spans="2:16" x14ac:dyDescent="0.25">
      <c r="B195" s="799"/>
      <c r="C195" s="170" t="s">
        <v>25</v>
      </c>
      <c r="D195" s="203" t="str">
        <f t="shared" ref="D195:D202" si="72">D173</f>
        <v>All</v>
      </c>
      <c r="E195" s="294">
        <f t="shared" si="71"/>
        <v>1673.0572324239708</v>
      </c>
      <c r="F195" s="294">
        <f t="shared" si="71"/>
        <v>1459.2330281290015</v>
      </c>
      <c r="G195" s="294"/>
      <c r="H195" s="294"/>
      <c r="I195" s="294"/>
      <c r="J195" s="297"/>
      <c r="K195" s="297"/>
      <c r="L195" s="297"/>
      <c r="M195" s="297"/>
      <c r="N195" s="297"/>
    </row>
    <row r="196" spans="2:16" x14ac:dyDescent="0.25">
      <c r="B196" s="403" t="str">
        <f>B174</f>
        <v>50 G</v>
      </c>
      <c r="C196" s="405" t="str">
        <f>C174</f>
        <v>all</v>
      </c>
      <c r="D196" s="203" t="str">
        <f t="shared" si="72"/>
        <v>All</v>
      </c>
      <c r="E196" s="294">
        <f t="shared" si="71"/>
        <v>0</v>
      </c>
      <c r="F196" s="294">
        <f t="shared" si="71"/>
        <v>0</v>
      </c>
      <c r="G196" s="294"/>
      <c r="H196" s="294"/>
      <c r="I196" s="294"/>
      <c r="J196" s="297"/>
      <c r="K196" s="297"/>
      <c r="L196" s="297"/>
      <c r="M196" s="297"/>
      <c r="N196" s="297"/>
    </row>
    <row r="197" spans="2:16" x14ac:dyDescent="0.25">
      <c r="B197" s="802" t="str">
        <f>B175</f>
        <v>100 G</v>
      </c>
      <c r="C197" s="401" t="str">
        <f>C175</f>
        <v>100-300 m</v>
      </c>
      <c r="D197" s="203" t="str">
        <f t="shared" si="72"/>
        <v>All</v>
      </c>
      <c r="E197" s="294">
        <f t="shared" ref="E197:L202" si="73">IF(E175=0,,E218*10^6/E175)</f>
        <v>329.57163623968637</v>
      </c>
      <c r="F197" s="294">
        <f t="shared" si="73"/>
        <v>197.23036134511864</v>
      </c>
      <c r="G197" s="294"/>
      <c r="H197" s="294"/>
      <c r="I197" s="294"/>
      <c r="J197" s="297"/>
      <c r="K197" s="297"/>
      <c r="L197" s="297"/>
      <c r="M197" s="297"/>
      <c r="N197" s="297"/>
    </row>
    <row r="198" spans="2:16" x14ac:dyDescent="0.25">
      <c r="B198" s="803"/>
      <c r="C198" s="401" t="s">
        <v>22</v>
      </c>
      <c r="D198" s="203" t="str">
        <f t="shared" si="72"/>
        <v>QSFP28</v>
      </c>
      <c r="E198" s="294">
        <f t="shared" si="73"/>
        <v>425.16634945630972</v>
      </c>
      <c r="F198" s="294">
        <f t="shared" si="73"/>
        <v>334.15581081805504</v>
      </c>
      <c r="G198" s="294"/>
      <c r="H198" s="294"/>
      <c r="I198" s="294"/>
      <c r="J198" s="297"/>
      <c r="K198" s="297"/>
      <c r="L198" s="297"/>
      <c r="M198" s="297"/>
      <c r="N198" s="297"/>
    </row>
    <row r="199" spans="2:16" x14ac:dyDescent="0.25">
      <c r="B199" s="803"/>
      <c r="C199" s="405" t="str">
        <f>C177</f>
        <v>2 km</v>
      </c>
      <c r="D199" s="404" t="str">
        <f t="shared" si="72"/>
        <v>QSFP28</v>
      </c>
      <c r="E199" s="294">
        <f t="shared" si="73"/>
        <v>825</v>
      </c>
      <c r="F199" s="294">
        <f t="shared" si="73"/>
        <v>650</v>
      </c>
      <c r="G199" s="294"/>
      <c r="H199" s="294"/>
      <c r="I199" s="294"/>
      <c r="J199" s="297"/>
      <c r="K199" s="297"/>
      <c r="L199" s="297"/>
      <c r="M199" s="297"/>
      <c r="N199" s="297"/>
    </row>
    <row r="200" spans="2:16" x14ac:dyDescent="0.25">
      <c r="B200" s="803"/>
      <c r="C200" s="405" t="str">
        <f>C178</f>
        <v>10-20 km</v>
      </c>
      <c r="D200" s="399" t="str">
        <f t="shared" si="72"/>
        <v>All</v>
      </c>
      <c r="E200" s="294">
        <f t="shared" si="73"/>
        <v>2833.0920357851001</v>
      </c>
      <c r="F200" s="294">
        <f t="shared" si="73"/>
        <v>1467.0336337292676</v>
      </c>
      <c r="G200" s="294"/>
      <c r="H200" s="294"/>
      <c r="I200" s="294"/>
      <c r="J200" s="297"/>
      <c r="K200" s="297"/>
      <c r="L200" s="297"/>
      <c r="M200" s="297"/>
      <c r="N200" s="297"/>
    </row>
    <row r="201" spans="2:16" x14ac:dyDescent="0.25">
      <c r="B201" s="804"/>
      <c r="C201" s="170" t="str">
        <f>C179</f>
        <v>40 km</v>
      </c>
      <c r="D201" s="199" t="str">
        <f t="shared" si="72"/>
        <v>All</v>
      </c>
      <c r="E201" s="294">
        <f t="shared" si="73"/>
        <v>8992.3605424008583</v>
      </c>
      <c r="F201" s="294">
        <f t="shared" si="73"/>
        <v>6042.927196558162</v>
      </c>
      <c r="G201" s="294"/>
      <c r="H201" s="294"/>
      <c r="I201" s="294"/>
      <c r="J201" s="297"/>
      <c r="K201" s="297"/>
      <c r="L201" s="297"/>
      <c r="M201" s="297"/>
      <c r="N201" s="297"/>
    </row>
    <row r="202" spans="2:16" x14ac:dyDescent="0.25">
      <c r="B202" s="201" t="str">
        <f>B180</f>
        <v>200 G</v>
      </c>
      <c r="C202" s="203" t="str">
        <f>C180</f>
        <v>All</v>
      </c>
      <c r="D202" s="203" t="str">
        <f t="shared" si="72"/>
        <v>All</v>
      </c>
      <c r="E202" s="294">
        <f t="shared" si="73"/>
        <v>0</v>
      </c>
      <c r="F202" s="294">
        <f t="shared" si="73"/>
        <v>0</v>
      </c>
      <c r="G202" s="294"/>
      <c r="H202" s="294"/>
      <c r="I202" s="294"/>
      <c r="J202" s="296"/>
      <c r="K202" s="296"/>
      <c r="L202" s="296"/>
      <c r="M202" s="296"/>
      <c r="N202" s="296"/>
    </row>
    <row r="203" spans="2:16" x14ac:dyDescent="0.25">
      <c r="B203" s="201" t="s">
        <v>478</v>
      </c>
      <c r="C203" s="203" t="s">
        <v>20</v>
      </c>
      <c r="D203" s="203" t="s">
        <v>20</v>
      </c>
      <c r="E203" s="295">
        <f t="shared" ref="E203:L204" si="74">IF(E181=0,,E224*10^6/E181)</f>
        <v>0</v>
      </c>
      <c r="F203" s="295">
        <f t="shared" si="74"/>
        <v>15149.438202247189</v>
      </c>
      <c r="G203" s="295"/>
      <c r="H203" s="295"/>
      <c r="I203" s="295"/>
      <c r="J203" s="296"/>
      <c r="K203" s="296"/>
      <c r="L203" s="296"/>
      <c r="M203" s="296"/>
      <c r="N203" s="296"/>
    </row>
    <row r="204" spans="2:16" x14ac:dyDescent="0.25">
      <c r="B204" s="201" t="s">
        <v>480</v>
      </c>
      <c r="C204" s="203" t="s">
        <v>20</v>
      </c>
      <c r="D204" s="203" t="s">
        <v>20</v>
      </c>
      <c r="E204" s="295">
        <f t="shared" si="74"/>
        <v>0</v>
      </c>
      <c r="F204" s="295">
        <f t="shared" si="74"/>
        <v>0</v>
      </c>
      <c r="G204" s="295"/>
      <c r="H204" s="295"/>
      <c r="I204" s="295"/>
      <c r="J204" s="296"/>
      <c r="K204" s="296"/>
      <c r="L204" s="296"/>
      <c r="M204" s="296"/>
      <c r="N204" s="296"/>
    </row>
    <row r="205" spans="2:16" x14ac:dyDescent="0.25">
      <c r="C205" s="160"/>
      <c r="D205" s="207"/>
      <c r="E205" s="2"/>
      <c r="F205" s="2"/>
      <c r="G205" s="2"/>
      <c r="H205" s="2"/>
      <c r="I205" s="2"/>
      <c r="J205" s="2"/>
      <c r="K205" s="2"/>
      <c r="L205" s="2"/>
      <c r="M205" s="2"/>
      <c r="N205" s="2"/>
    </row>
    <row r="206" spans="2:16" ht="14.5" x14ac:dyDescent="0.35">
      <c r="B206" s="220" t="s">
        <v>1</v>
      </c>
      <c r="C206" s="273" t="str">
        <f>C163</f>
        <v>Ethernet total-Global</v>
      </c>
      <c r="D206" s="198"/>
      <c r="E206" s="627" t="str">
        <f>E163</f>
        <v>this table is calculated as the sum of the Cloud, Telecom, and Enterprise numbers</v>
      </c>
      <c r="L206" s="221" t="str">
        <f>B206</f>
        <v>Sales ($M)</v>
      </c>
      <c r="N206" s="571" t="str">
        <f>C206</f>
        <v>Ethernet total-Global</v>
      </c>
      <c r="O206" s="184"/>
    </row>
    <row r="207" spans="2:16" x14ac:dyDescent="0.25">
      <c r="B207" s="225" t="s">
        <v>10</v>
      </c>
      <c r="C207" s="7" t="s">
        <v>11</v>
      </c>
      <c r="D207" s="226" t="s">
        <v>12</v>
      </c>
      <c r="E207" s="129">
        <v>2016</v>
      </c>
      <c r="F207" s="129">
        <v>2017</v>
      </c>
      <c r="G207" s="129">
        <v>2018</v>
      </c>
      <c r="H207" s="129">
        <v>2019</v>
      </c>
      <c r="I207" s="129">
        <v>2020</v>
      </c>
      <c r="J207" s="129">
        <v>2021</v>
      </c>
      <c r="K207" s="129">
        <v>2022</v>
      </c>
      <c r="L207" s="129">
        <v>2023</v>
      </c>
      <c r="M207" s="129">
        <v>2024</v>
      </c>
      <c r="N207" s="129">
        <v>2025</v>
      </c>
      <c r="O207" s="663"/>
      <c r="P207" s="184"/>
    </row>
    <row r="208" spans="2:16" x14ac:dyDescent="0.25">
      <c r="B208" s="398" t="s">
        <v>469</v>
      </c>
      <c r="C208" s="405" t="str">
        <f>C165</f>
        <v>All</v>
      </c>
      <c r="D208" s="405" t="str">
        <f>D165</f>
        <v>All</v>
      </c>
      <c r="E208" s="294">
        <f>'Ethernet-Cloud'!E208+'Ethernet-Telecom'!E208+'Ethernet-Enterprise'!E208</f>
        <v>154.16513112975395</v>
      </c>
      <c r="F208" s="294">
        <f>'Ethernet-Cloud'!F208+'Ethernet-Telecom'!F208+'Ethernet-Enterprise'!F208</f>
        <v>110.62740763127242</v>
      </c>
      <c r="G208" s="294"/>
      <c r="H208" s="294"/>
      <c r="I208" s="294"/>
      <c r="J208" s="294"/>
      <c r="K208" s="294"/>
      <c r="L208" s="296"/>
      <c r="M208" s="296"/>
      <c r="N208" s="296"/>
      <c r="O208" s="663"/>
      <c r="P208" s="184"/>
    </row>
    <row r="209" spans="2:16" x14ac:dyDescent="0.25">
      <c r="B209" s="398" t="s">
        <v>479</v>
      </c>
      <c r="C209" s="167" t="str">
        <f>C166</f>
        <v>All</v>
      </c>
      <c r="D209" s="167" t="str">
        <f>D166</f>
        <v>All</v>
      </c>
      <c r="E209" s="297">
        <f>'Ethernet-Cloud'!E209+'Ethernet-Telecom'!E209+'Ethernet-Enterprise'!E209</f>
        <v>588.89972784362976</v>
      </c>
      <c r="F209" s="297">
        <f>'Ethernet-Cloud'!F209+'Ethernet-Telecom'!F209+'Ethernet-Enterprise'!F209</f>
        <v>486.60483553423245</v>
      </c>
      <c r="G209" s="297"/>
      <c r="H209" s="297"/>
      <c r="I209" s="297"/>
      <c r="J209" s="297"/>
      <c r="K209" s="297"/>
      <c r="L209" s="297"/>
      <c r="M209" s="297"/>
      <c r="N209" s="297"/>
      <c r="O209" s="663"/>
      <c r="P209" s="184"/>
    </row>
    <row r="210" spans="2:16" ht="13" x14ac:dyDescent="0.3">
      <c r="B210" s="203" t="s">
        <v>471</v>
      </c>
      <c r="C210" s="405" t="s">
        <v>20</v>
      </c>
      <c r="D210" s="282" t="s">
        <v>154</v>
      </c>
      <c r="E210" s="297">
        <f>'Ethernet-Cloud'!E210+'Ethernet-Telecom'!E210+'Ethernet-Enterprise'!E210</f>
        <v>3.4123060000000005</v>
      </c>
      <c r="F210" s="297">
        <f>'Ethernet-Cloud'!F210+'Ethernet-Telecom'!F210+'Ethernet-Enterprise'!F210</f>
        <v>19.187075306914231</v>
      </c>
      <c r="G210" s="297"/>
      <c r="H210" s="297"/>
      <c r="I210" s="297"/>
      <c r="J210" s="297"/>
      <c r="K210" s="297"/>
      <c r="L210" s="297"/>
      <c r="M210" s="297"/>
      <c r="N210" s="297"/>
      <c r="O210" s="663"/>
      <c r="P210" s="662"/>
    </row>
    <row r="211" spans="2:16" x14ac:dyDescent="0.25">
      <c r="B211" s="199" t="s">
        <v>472</v>
      </c>
      <c r="C211" s="401" t="str">
        <f>C189</f>
        <v>100-300 m</v>
      </c>
      <c r="D211" s="199" t="s">
        <v>137</v>
      </c>
      <c r="E211" s="692">
        <f>'Ethernet-Cloud'!E211+'Ethernet-Telecom'!E211+'Ethernet-Enterprise'!E211</f>
        <v>244.74994551888892</v>
      </c>
      <c r="F211" s="692">
        <f>'Ethernet-Cloud'!F211+'Ethernet-Telecom'!F211+'Ethernet-Enterprise'!F211</f>
        <v>281.72000787334071</v>
      </c>
      <c r="G211" s="692"/>
      <c r="H211" s="692"/>
      <c r="I211" s="692"/>
      <c r="J211" s="692"/>
      <c r="K211" s="692"/>
      <c r="L211" s="692"/>
      <c r="M211" s="692"/>
      <c r="N211" s="692"/>
      <c r="O211" s="67"/>
    </row>
    <row r="212" spans="2:16" x14ac:dyDescent="0.25">
      <c r="B212" s="203" t="s">
        <v>473</v>
      </c>
      <c r="C212" s="405" t="s">
        <v>22</v>
      </c>
      <c r="D212" s="203" t="s">
        <v>137</v>
      </c>
      <c r="E212" s="297">
        <f>'Ethernet-Cloud'!E212+'Ethernet-Telecom'!E212+'Ethernet-Enterprise'!E212</f>
        <v>206.04404776999999</v>
      </c>
      <c r="F212" s="297">
        <f>'Ethernet-Cloud'!F212+'Ethernet-Telecom'!F212+'Ethernet-Enterprise'!F212</f>
        <v>161.25879399999999</v>
      </c>
      <c r="G212" s="297"/>
      <c r="H212" s="297"/>
      <c r="I212" s="297"/>
      <c r="J212" s="297"/>
      <c r="K212" s="297"/>
      <c r="L212" s="297"/>
      <c r="M212" s="297"/>
      <c r="N212" s="297"/>
    </row>
    <row r="213" spans="2:16" x14ac:dyDescent="0.25">
      <c r="B213" s="797" t="s">
        <v>474</v>
      </c>
      <c r="C213" s="805" t="s">
        <v>23</v>
      </c>
      <c r="D213" s="298" t="s">
        <v>146</v>
      </c>
      <c r="E213" s="297">
        <f>'Ethernet-Cloud'!E213+'Ethernet-Telecom'!E213+'Ethernet-Enterprise'!E213</f>
        <v>3.6147868986222091</v>
      </c>
      <c r="F213" s="297">
        <f>'Ethernet-Cloud'!F213+'Ethernet-Telecom'!F213+'Ethernet-Enterprise'!F213</f>
        <v>2.1111758458730683</v>
      </c>
      <c r="G213" s="297"/>
      <c r="H213" s="297"/>
      <c r="I213" s="297"/>
      <c r="J213" s="297"/>
      <c r="K213" s="297"/>
      <c r="L213" s="297"/>
      <c r="M213" s="297"/>
      <c r="N213" s="297"/>
    </row>
    <row r="214" spans="2:16" ht="16" customHeight="1" x14ac:dyDescent="0.25">
      <c r="B214" s="798"/>
      <c r="C214" s="806"/>
      <c r="D214" s="270" t="s">
        <v>147</v>
      </c>
      <c r="E214" s="297">
        <f>'Ethernet-Cloud'!E214+'Ethernet-Telecom'!E214+'Ethernet-Enterprise'!E214</f>
        <v>177.55117799999999</v>
      </c>
      <c r="F214" s="297">
        <f>'Ethernet-Cloud'!F214+'Ethernet-Telecom'!F214+'Ethernet-Enterprise'!F214</f>
        <v>277.09314268000003</v>
      </c>
      <c r="G214" s="297"/>
      <c r="H214" s="297"/>
      <c r="I214" s="297"/>
      <c r="J214" s="297"/>
      <c r="K214" s="297"/>
      <c r="L214" s="297"/>
      <c r="M214" s="297"/>
      <c r="N214" s="297"/>
    </row>
    <row r="215" spans="2:16" x14ac:dyDescent="0.25">
      <c r="B215" s="798"/>
      <c r="C215" s="405" t="s">
        <v>24</v>
      </c>
      <c r="D215" s="398" t="str">
        <f t="shared" ref="D215:D225" si="75">D172</f>
        <v>All</v>
      </c>
      <c r="E215" s="297">
        <f>'Ethernet-Cloud'!E215+'Ethernet-Telecom'!E215+'Ethernet-Enterprise'!E215</f>
        <v>147.78506988916058</v>
      </c>
      <c r="F215" s="297">
        <f>'Ethernet-Cloud'!F215+'Ethernet-Telecom'!F215+'Ethernet-Enterprise'!F215</f>
        <v>174.16784143419119</v>
      </c>
      <c r="G215" s="297"/>
      <c r="H215" s="297"/>
      <c r="I215" s="297"/>
      <c r="J215" s="297"/>
      <c r="K215" s="297"/>
      <c r="L215" s="297"/>
      <c r="M215" s="297"/>
      <c r="N215" s="297"/>
    </row>
    <row r="216" spans="2:16" x14ac:dyDescent="0.25">
      <c r="B216" s="799"/>
      <c r="C216" s="170" t="s">
        <v>25</v>
      </c>
      <c r="D216" s="398" t="str">
        <f t="shared" si="75"/>
        <v>All</v>
      </c>
      <c r="E216" s="297">
        <f>'Ethernet-Cloud'!E216+'Ethernet-Telecom'!E216+'Ethernet-Enterprise'!E216</f>
        <v>8.1879420954829136</v>
      </c>
      <c r="F216" s="297">
        <f>'Ethernet-Cloud'!F216+'Ethernet-Telecom'!F216+'Ethernet-Enterprise'!F216</f>
        <v>7.9265538087967355</v>
      </c>
      <c r="G216" s="297"/>
      <c r="H216" s="297"/>
      <c r="I216" s="297"/>
      <c r="J216" s="297"/>
      <c r="K216" s="297"/>
      <c r="L216" s="297"/>
      <c r="M216" s="297"/>
      <c r="N216" s="297"/>
    </row>
    <row r="217" spans="2:16" x14ac:dyDescent="0.25">
      <c r="B217" s="403" t="str">
        <f>B174</f>
        <v>50 G</v>
      </c>
      <c r="C217" s="405" t="str">
        <f>C174</f>
        <v>all</v>
      </c>
      <c r="D217" s="398" t="str">
        <f t="shared" si="75"/>
        <v>All</v>
      </c>
      <c r="E217" s="297">
        <f>'Ethernet-Cloud'!E217+'Ethernet-Telecom'!E217+'Ethernet-Enterprise'!E217</f>
        <v>0</v>
      </c>
      <c r="F217" s="297">
        <f>'Ethernet-Cloud'!F217+'Ethernet-Telecom'!F217+'Ethernet-Enterprise'!F217</f>
        <v>0</v>
      </c>
      <c r="G217" s="297"/>
      <c r="H217" s="297"/>
      <c r="I217" s="297"/>
      <c r="J217" s="297"/>
      <c r="K217" s="297"/>
      <c r="L217" s="297"/>
      <c r="M217" s="297"/>
      <c r="N217" s="297"/>
    </row>
    <row r="218" spans="2:16" x14ac:dyDescent="0.25">
      <c r="B218" s="802" t="str">
        <f>B175</f>
        <v>100 G</v>
      </c>
      <c r="C218" s="401" t="str">
        <f>C175</f>
        <v>100-300 m</v>
      </c>
      <c r="D218" s="398" t="str">
        <f t="shared" si="75"/>
        <v>All</v>
      </c>
      <c r="E218" s="297">
        <f>'Ethernet-Cloud'!E218+'Ethernet-Telecom'!E218+'Ethernet-Enterprise'!E218</f>
        <v>98.621345999999988</v>
      </c>
      <c r="F218" s="297">
        <f>'Ethernet-Cloud'!F218+'Ethernet-Telecom'!F218+'Ethernet-Enterprise'!F218</f>
        <v>124.64446038072001</v>
      </c>
      <c r="G218" s="297"/>
      <c r="H218" s="297"/>
      <c r="I218" s="297"/>
      <c r="J218" s="297"/>
      <c r="K218" s="297"/>
      <c r="L218" s="297"/>
      <c r="M218" s="297"/>
      <c r="N218" s="297"/>
    </row>
    <row r="219" spans="2:16" x14ac:dyDescent="0.25">
      <c r="B219" s="803"/>
      <c r="C219" s="405" t="str">
        <f t="shared" ref="C219:C225" si="76">C176</f>
        <v>500 m</v>
      </c>
      <c r="D219" s="270" t="str">
        <f t="shared" si="75"/>
        <v>QSFP28</v>
      </c>
      <c r="E219" s="297">
        <f>'Ethernet-Cloud'!E219+'Ethernet-Telecom'!E219+'Ethernet-Enterprise'!E219</f>
        <v>122.89926524000001</v>
      </c>
      <c r="F219" s="297">
        <f>'Ethernet-Cloud'!F219+'Ethernet-Telecom'!F219+'Ethernet-Enterprise'!F219</f>
        <v>465.62944799999997</v>
      </c>
      <c r="G219" s="297"/>
      <c r="H219" s="297"/>
      <c r="I219" s="297"/>
      <c r="J219" s="297"/>
      <c r="K219" s="297"/>
      <c r="L219" s="297"/>
      <c r="M219" s="297"/>
      <c r="N219" s="297"/>
    </row>
    <row r="220" spans="2:16" x14ac:dyDescent="0.25">
      <c r="B220" s="803"/>
      <c r="C220" s="405" t="str">
        <f t="shared" si="76"/>
        <v>2 km</v>
      </c>
      <c r="D220" s="404" t="str">
        <f t="shared" si="75"/>
        <v>QSFP28</v>
      </c>
      <c r="E220" s="297">
        <f>'Ethernet-Cloud'!E220+'Ethernet-Telecom'!E220+'Ethernet-Enterprise'!E220</f>
        <v>25.566254999999995</v>
      </c>
      <c r="F220" s="297">
        <f>'Ethernet-Cloud'!F220+'Ethernet-Telecom'!F220+'Ethernet-Enterprise'!F220</f>
        <v>190.37908500000003</v>
      </c>
      <c r="G220" s="297"/>
      <c r="H220" s="297"/>
      <c r="I220" s="297"/>
      <c r="J220" s="297"/>
      <c r="K220" s="297"/>
      <c r="L220" s="297"/>
      <c r="M220" s="297"/>
      <c r="N220" s="297"/>
    </row>
    <row r="221" spans="2:16" x14ac:dyDescent="0.25">
      <c r="B221" s="803"/>
      <c r="C221" s="405" t="str">
        <f t="shared" si="76"/>
        <v>10-20 km</v>
      </c>
      <c r="D221" s="399" t="str">
        <f t="shared" si="75"/>
        <v>All</v>
      </c>
      <c r="E221" s="297">
        <f>'Ethernet-Cloud'!E221+'Ethernet-Telecom'!E221+'Ethernet-Enterprise'!E221</f>
        <v>829.02505769550748</v>
      </c>
      <c r="F221" s="297">
        <f>'Ethernet-Cloud'!F221+'Ethernet-Telecom'!F221+'Ethernet-Enterprise'!F221</f>
        <v>811.12729718981325</v>
      </c>
      <c r="G221" s="297"/>
      <c r="H221" s="297"/>
      <c r="I221" s="297"/>
      <c r="J221" s="297"/>
      <c r="K221" s="297"/>
      <c r="L221" s="297"/>
      <c r="M221" s="297"/>
      <c r="N221" s="297"/>
    </row>
    <row r="222" spans="2:16" x14ac:dyDescent="0.25">
      <c r="B222" s="804"/>
      <c r="C222" s="170" t="str">
        <f t="shared" si="76"/>
        <v>40 km</v>
      </c>
      <c r="D222" s="199" t="str">
        <f t="shared" si="75"/>
        <v>All</v>
      </c>
      <c r="E222" s="297">
        <f>'Ethernet-Cloud'!E222+'Ethernet-Telecom'!E222+'Ethernet-Enterprise'!E222</f>
        <v>67.047040204140799</v>
      </c>
      <c r="F222" s="297">
        <f>'Ethernet-Cloud'!F222+'Ethernet-Telecom'!F222+'Ethernet-Enterprise'!F222</f>
        <v>62.072948163045446</v>
      </c>
      <c r="G222" s="297"/>
      <c r="H222" s="297"/>
      <c r="I222" s="297"/>
      <c r="J222" s="297"/>
      <c r="K222" s="297"/>
      <c r="L222" s="297"/>
      <c r="M222" s="297"/>
      <c r="N222" s="297"/>
    </row>
    <row r="223" spans="2:16" x14ac:dyDescent="0.25">
      <c r="B223" s="201" t="str">
        <f>B180</f>
        <v>200 G</v>
      </c>
      <c r="C223" s="203" t="str">
        <f t="shared" si="76"/>
        <v>All</v>
      </c>
      <c r="D223" s="203" t="str">
        <f t="shared" si="75"/>
        <v>All</v>
      </c>
      <c r="E223" s="297">
        <f>'Ethernet-Cloud'!E223+'Ethernet-Telecom'!E223+'Ethernet-Enterprise'!E223</f>
        <v>0</v>
      </c>
      <c r="F223" s="297">
        <f>'Ethernet-Cloud'!F223+'Ethernet-Telecom'!F223+'Ethernet-Enterprise'!F223</f>
        <v>0</v>
      </c>
      <c r="G223" s="297"/>
      <c r="H223" s="297"/>
      <c r="I223" s="297"/>
      <c r="J223" s="297"/>
      <c r="K223" s="297"/>
      <c r="L223" s="297"/>
      <c r="M223" s="297"/>
      <c r="N223" s="297"/>
    </row>
    <row r="224" spans="2:16" x14ac:dyDescent="0.25">
      <c r="B224" s="201" t="s">
        <v>478</v>
      </c>
      <c r="C224" s="203" t="str">
        <f t="shared" si="76"/>
        <v>All</v>
      </c>
      <c r="D224" s="203" t="str">
        <f t="shared" si="75"/>
        <v>All</v>
      </c>
      <c r="E224" s="297">
        <f>'Ethernet-Cloud'!E224+'Ethernet-Telecom'!E224+'Ethernet-Enterprise'!E224</f>
        <v>0</v>
      </c>
      <c r="F224" s="297">
        <f>'Ethernet-Cloud'!F224+'Ethernet-Telecom'!F224+'Ethernet-Enterprise'!F224</f>
        <v>1.3482999999999998</v>
      </c>
      <c r="G224" s="297"/>
      <c r="H224" s="297"/>
      <c r="I224" s="297"/>
      <c r="J224" s="297"/>
      <c r="K224" s="297"/>
      <c r="L224" s="297"/>
      <c r="M224" s="297"/>
      <c r="N224" s="297"/>
    </row>
    <row r="225" spans="2:14" x14ac:dyDescent="0.25">
      <c r="B225" s="201" t="s">
        <v>480</v>
      </c>
      <c r="C225" s="203" t="str">
        <f t="shared" si="76"/>
        <v>All</v>
      </c>
      <c r="D225" s="203" t="str">
        <f t="shared" si="75"/>
        <v>All</v>
      </c>
      <c r="E225" s="297">
        <f>'Ethernet-Cloud'!E225+'Ethernet-Telecom'!E225+'Ethernet-Enterprise'!E225</f>
        <v>0</v>
      </c>
      <c r="F225" s="297">
        <f>'Ethernet-Cloud'!F225+'Ethernet-Telecom'!F225+'Ethernet-Enterprise'!F225</f>
        <v>0</v>
      </c>
      <c r="G225" s="297"/>
      <c r="H225" s="297"/>
      <c r="I225" s="297"/>
      <c r="J225" s="297"/>
      <c r="K225" s="297"/>
      <c r="L225" s="297"/>
      <c r="M225" s="297"/>
      <c r="N225" s="297"/>
    </row>
    <row r="226" spans="2:14" x14ac:dyDescent="0.25">
      <c r="B226" s="206" t="s">
        <v>9</v>
      </c>
      <c r="C226" s="203" t="str">
        <f>C183</f>
        <v>All</v>
      </c>
      <c r="D226" s="203" t="str">
        <f>D183</f>
        <v>All</v>
      </c>
      <c r="E226" s="416">
        <f>SUM(E208:E225)</f>
        <v>2677.5690992851869</v>
      </c>
      <c r="F226" s="416">
        <f t="shared" ref="F226:N226" si="77">SUM(F208:F225)</f>
        <v>3175.8983728481999</v>
      </c>
      <c r="G226" s="416"/>
      <c r="H226" s="416"/>
      <c r="I226" s="416"/>
      <c r="J226" s="416"/>
      <c r="K226" s="416"/>
      <c r="L226" s="416"/>
      <c r="M226" s="416"/>
      <c r="N226" s="416"/>
    </row>
    <row r="227" spans="2:14" x14ac:dyDescent="0.25">
      <c r="C227" s="160"/>
      <c r="E227" s="8"/>
      <c r="F227" s="8">
        <f t="shared" ref="F227:N227" si="78">IF(E226=0,"",F226/E226-1)</f>
        <v>0.18611257266751724</v>
      </c>
      <c r="G227" s="8"/>
      <c r="H227" s="8"/>
      <c r="I227" s="8"/>
      <c r="J227" s="8"/>
      <c r="K227" s="8"/>
      <c r="L227" s="8"/>
      <c r="M227" s="8"/>
      <c r="N227" s="8"/>
    </row>
    <row r="228" spans="2:14" x14ac:dyDescent="0.25">
      <c r="C228" s="160"/>
      <c r="D228" s="160"/>
    </row>
    <row r="229" spans="2:14" x14ac:dyDescent="0.25">
      <c r="D229" s="160"/>
    </row>
  </sheetData>
  <mergeCells count="30">
    <mergeCell ref="C35:C36"/>
    <mergeCell ref="B40:B44"/>
    <mergeCell ref="B129:B133"/>
    <mergeCell ref="B57:B60"/>
    <mergeCell ref="C57:C58"/>
    <mergeCell ref="B62:B66"/>
    <mergeCell ref="B78:B81"/>
    <mergeCell ref="C78:C79"/>
    <mergeCell ref="B83:B87"/>
    <mergeCell ref="B102:B105"/>
    <mergeCell ref="C102:C103"/>
    <mergeCell ref="B107:B111"/>
    <mergeCell ref="B124:B127"/>
    <mergeCell ref="C124:C125"/>
    <mergeCell ref="B13:B16"/>
    <mergeCell ref="C13:C14"/>
    <mergeCell ref="B18:B22"/>
    <mergeCell ref="B218:B222"/>
    <mergeCell ref="B145:B148"/>
    <mergeCell ref="C145:C146"/>
    <mergeCell ref="B150:B154"/>
    <mergeCell ref="B170:B173"/>
    <mergeCell ref="C170:C171"/>
    <mergeCell ref="B175:B179"/>
    <mergeCell ref="B192:B195"/>
    <mergeCell ref="C192:C193"/>
    <mergeCell ref="B197:B201"/>
    <mergeCell ref="B213:B216"/>
    <mergeCell ref="C213:C214"/>
    <mergeCell ref="B35:B38"/>
  </mergeCells>
  <printOptions headings="1"/>
  <pageMargins left="0.7" right="0.7" top="0.75" bottom="0.75" header="0.3" footer="0.3"/>
  <pageSetup scale="1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2:AB319"/>
  <sheetViews>
    <sheetView showGridLines="0" zoomScale="70" zoomScaleNormal="70" zoomScalePageLayoutView="70" workbookViewId="0">
      <selection activeCell="AB275" sqref="U257:AB275"/>
    </sheetView>
  </sheetViews>
  <sheetFormatPr defaultColWidth="9.1796875" defaultRowHeight="12.5" x14ac:dyDescent="0.25"/>
  <cols>
    <col min="1" max="1" width="4.453125" style="160" customWidth="1"/>
    <col min="2" max="2" width="12.1796875" style="163" customWidth="1"/>
    <col min="3" max="3" width="12.81640625" style="163" customWidth="1"/>
    <col min="4" max="4" width="17.453125" style="163" customWidth="1"/>
    <col min="5" max="11" width="11.36328125" style="160" customWidth="1"/>
    <col min="12" max="13" width="11.6328125" style="160" customWidth="1"/>
    <col min="14" max="14" width="13.453125" style="160" customWidth="1"/>
    <col min="15" max="15" width="14.453125" style="160" customWidth="1"/>
    <col min="16" max="16384" width="9.1796875" style="160"/>
  </cols>
  <sheetData>
    <row r="2" spans="2:14" ht="18" x14ac:dyDescent="0.4">
      <c r="B2" s="481" t="str">
        <f>Introduction!B2</f>
        <v>LightCounting Optical Components Market Forecast for China</v>
      </c>
    </row>
    <row r="3" spans="2:14" ht="15.5" x14ac:dyDescent="0.35">
      <c r="B3" s="482" t="str">
        <f>Introduction!B3</f>
        <v>January 25, 2021 - sample only - for illustrative purposes</v>
      </c>
    </row>
    <row r="4" spans="2:14" ht="15.5" x14ac:dyDescent="0.35">
      <c r="B4" s="483" t="s">
        <v>123</v>
      </c>
      <c r="D4" s="278" t="s">
        <v>138</v>
      </c>
    </row>
    <row r="5" spans="2:14" ht="15.5" x14ac:dyDescent="0.35">
      <c r="B5" s="483"/>
      <c r="D5" s="278"/>
    </row>
    <row r="6" spans="2:14" ht="15.5" x14ac:dyDescent="0.35">
      <c r="B6" s="221" t="s">
        <v>237</v>
      </c>
      <c r="C6" s="160"/>
      <c r="D6" s="198"/>
      <c r="E6" s="371"/>
    </row>
    <row r="7" spans="2:14" x14ac:dyDescent="0.25">
      <c r="B7" s="225" t="s">
        <v>10</v>
      </c>
      <c r="C7" s="7" t="s">
        <v>11</v>
      </c>
      <c r="D7" s="226" t="s">
        <v>12</v>
      </c>
      <c r="E7" s="39">
        <v>2016</v>
      </c>
      <c r="F7" s="7">
        <v>2017</v>
      </c>
      <c r="G7" s="7">
        <v>2018</v>
      </c>
      <c r="H7" s="7">
        <v>2019</v>
      </c>
      <c r="I7" s="7">
        <v>2020</v>
      </c>
      <c r="J7" s="7">
        <v>2021</v>
      </c>
      <c r="K7" s="7">
        <v>2022</v>
      </c>
      <c r="L7" s="7">
        <v>2023</v>
      </c>
      <c r="M7" s="7">
        <v>2024</v>
      </c>
      <c r="N7" s="7">
        <v>2025</v>
      </c>
    </row>
    <row r="8" spans="2:14" x14ac:dyDescent="0.25">
      <c r="B8" s="398" t="s">
        <v>469</v>
      </c>
      <c r="C8" s="405" t="s">
        <v>20</v>
      </c>
      <c r="D8" s="203" t="s">
        <v>20</v>
      </c>
      <c r="E8" s="411">
        <v>0.41219505627641539</v>
      </c>
      <c r="F8" s="411">
        <v>0.44</v>
      </c>
      <c r="G8" s="411"/>
      <c r="H8" s="411"/>
      <c r="I8" s="411"/>
      <c r="J8" s="411"/>
      <c r="K8" s="411"/>
      <c r="L8" s="412"/>
      <c r="M8" s="412"/>
      <c r="N8" s="412"/>
    </row>
    <row r="9" spans="2:14" x14ac:dyDescent="0.25">
      <c r="B9" s="398" t="s">
        <v>470</v>
      </c>
      <c r="C9" s="405" t="s">
        <v>20</v>
      </c>
      <c r="D9" s="203" t="s">
        <v>20</v>
      </c>
      <c r="E9" s="411">
        <v>0.21999999999999997</v>
      </c>
      <c r="F9" s="411">
        <v>0.23999999999999996</v>
      </c>
      <c r="G9" s="411"/>
      <c r="H9" s="411"/>
      <c r="I9" s="411"/>
      <c r="J9" s="411"/>
      <c r="K9" s="411"/>
      <c r="L9" s="412"/>
      <c r="M9" s="412"/>
      <c r="N9" s="412"/>
    </row>
    <row r="10" spans="2:14" ht="13" x14ac:dyDescent="0.3">
      <c r="B10" s="398" t="s">
        <v>471</v>
      </c>
      <c r="C10" s="405" t="s">
        <v>20</v>
      </c>
      <c r="D10" s="282" t="s">
        <v>154</v>
      </c>
      <c r="E10" s="412"/>
      <c r="F10" s="412"/>
      <c r="G10" s="412"/>
      <c r="H10" s="412"/>
      <c r="I10" s="412"/>
      <c r="J10" s="412"/>
      <c r="K10" s="412"/>
      <c r="L10" s="412"/>
      <c r="M10" s="412"/>
      <c r="N10" s="412"/>
    </row>
    <row r="11" spans="2:14" x14ac:dyDescent="0.25">
      <c r="B11" s="199" t="s">
        <v>472</v>
      </c>
      <c r="C11" s="321" t="s">
        <v>161</v>
      </c>
      <c r="D11" s="199" t="s">
        <v>137</v>
      </c>
      <c r="E11" s="413">
        <v>0.35</v>
      </c>
      <c r="F11" s="413">
        <v>0.37</v>
      </c>
      <c r="G11" s="413"/>
      <c r="H11" s="413"/>
      <c r="I11" s="413"/>
      <c r="J11" s="413"/>
      <c r="K11" s="413"/>
      <c r="L11" s="414"/>
      <c r="M11" s="414"/>
      <c r="N11" s="414"/>
    </row>
    <row r="12" spans="2:14" x14ac:dyDescent="0.25">
      <c r="B12" s="203" t="s">
        <v>473</v>
      </c>
      <c r="C12" s="401" t="s">
        <v>22</v>
      </c>
      <c r="D12" s="203" t="s">
        <v>137</v>
      </c>
      <c r="E12" s="411">
        <v>6.0000000000000005E-2</v>
      </c>
      <c r="F12" s="411">
        <v>0.08</v>
      </c>
      <c r="G12" s="411"/>
      <c r="H12" s="411"/>
      <c r="I12" s="411"/>
      <c r="J12" s="411"/>
      <c r="K12" s="411"/>
      <c r="L12" s="412"/>
      <c r="M12" s="412"/>
      <c r="N12" s="412"/>
    </row>
    <row r="13" spans="2:14" x14ac:dyDescent="0.25">
      <c r="B13" s="797" t="s">
        <v>474</v>
      </c>
      <c r="C13" s="800" t="s">
        <v>23</v>
      </c>
      <c r="D13" s="298" t="s">
        <v>146</v>
      </c>
      <c r="E13" s="412"/>
      <c r="F13" s="412"/>
      <c r="G13" s="412"/>
      <c r="H13" s="412"/>
      <c r="I13" s="412"/>
      <c r="J13" s="412"/>
      <c r="K13" s="412"/>
      <c r="L13" s="412"/>
      <c r="M13" s="412"/>
      <c r="N13" s="412"/>
    </row>
    <row r="14" spans="2:14" ht="13.5" customHeight="1" x14ac:dyDescent="0.25">
      <c r="B14" s="798"/>
      <c r="C14" s="801"/>
      <c r="D14" s="299" t="s">
        <v>147</v>
      </c>
      <c r="E14" s="412">
        <v>0.11</v>
      </c>
      <c r="F14" s="412">
        <v>0.16</v>
      </c>
      <c r="G14" s="412"/>
      <c r="H14" s="412"/>
      <c r="I14" s="412"/>
      <c r="J14" s="412"/>
      <c r="K14" s="412"/>
      <c r="L14" s="412"/>
      <c r="M14" s="412"/>
      <c r="N14" s="412"/>
    </row>
    <row r="15" spans="2:14" x14ac:dyDescent="0.25">
      <c r="B15" s="798"/>
      <c r="C15" s="401" t="s">
        <v>24</v>
      </c>
      <c r="D15" s="202" t="s">
        <v>20</v>
      </c>
      <c r="E15" s="412">
        <v>0.08</v>
      </c>
      <c r="F15" s="412">
        <v>0.13</v>
      </c>
      <c r="G15" s="412"/>
      <c r="H15" s="412"/>
      <c r="I15" s="412"/>
      <c r="J15" s="412"/>
      <c r="K15" s="412"/>
      <c r="L15" s="412"/>
      <c r="M15" s="412"/>
      <c r="N15" s="412"/>
    </row>
    <row r="16" spans="2:14" x14ac:dyDescent="0.25">
      <c r="B16" s="799"/>
      <c r="C16" s="171" t="s">
        <v>25</v>
      </c>
      <c r="D16" s="202" t="s">
        <v>20</v>
      </c>
      <c r="E16" s="412">
        <v>0.16000000000000003</v>
      </c>
      <c r="F16" s="412">
        <v>0.18000000000000002</v>
      </c>
      <c r="G16" s="412"/>
      <c r="H16" s="412"/>
      <c r="I16" s="412"/>
      <c r="J16" s="412"/>
      <c r="K16" s="412"/>
      <c r="L16" s="412"/>
      <c r="M16" s="412"/>
      <c r="N16" s="412"/>
    </row>
    <row r="17" spans="2:15" x14ac:dyDescent="0.25">
      <c r="B17" s="403" t="s">
        <v>475</v>
      </c>
      <c r="C17" s="401" t="s">
        <v>60</v>
      </c>
      <c r="D17" s="202" t="s">
        <v>20</v>
      </c>
      <c r="E17" s="412"/>
      <c r="F17" s="412"/>
      <c r="G17" s="412"/>
      <c r="H17" s="412"/>
      <c r="I17" s="412"/>
      <c r="J17" s="412"/>
      <c r="K17" s="412"/>
      <c r="L17" s="412"/>
      <c r="M17" s="412"/>
      <c r="N17" s="412"/>
    </row>
    <row r="18" spans="2:15" x14ac:dyDescent="0.25">
      <c r="B18" s="802" t="s">
        <v>476</v>
      </c>
      <c r="C18" s="401" t="s">
        <v>161</v>
      </c>
      <c r="D18" s="202" t="s">
        <v>20</v>
      </c>
      <c r="E18" s="412">
        <v>0.1</v>
      </c>
      <c r="F18" s="412">
        <v>0.2</v>
      </c>
      <c r="G18" s="412"/>
      <c r="H18" s="412"/>
      <c r="I18" s="412"/>
      <c r="J18" s="412"/>
      <c r="K18" s="412"/>
      <c r="L18" s="412"/>
      <c r="M18" s="412"/>
      <c r="N18" s="412"/>
    </row>
    <row r="19" spans="2:15" x14ac:dyDescent="0.25">
      <c r="B19" s="803"/>
      <c r="C19" s="405" t="s">
        <v>22</v>
      </c>
      <c r="D19" s="203" t="s">
        <v>162</v>
      </c>
      <c r="E19" s="414"/>
      <c r="F19" s="414">
        <v>0.02</v>
      </c>
      <c r="G19" s="414"/>
      <c r="H19" s="414"/>
      <c r="I19" s="414"/>
      <c r="J19" s="414"/>
      <c r="K19" s="414"/>
      <c r="L19" s="414"/>
      <c r="M19" s="414"/>
      <c r="N19" s="414"/>
    </row>
    <row r="20" spans="2:15" x14ac:dyDescent="0.25">
      <c r="B20" s="803"/>
      <c r="C20" s="401" t="s">
        <v>23</v>
      </c>
      <c r="D20" s="404" t="s">
        <v>162</v>
      </c>
      <c r="E20" s="414"/>
      <c r="F20" s="414">
        <v>0.02</v>
      </c>
      <c r="G20" s="414"/>
      <c r="H20" s="414"/>
      <c r="I20" s="414"/>
      <c r="J20" s="414"/>
      <c r="K20" s="414"/>
      <c r="L20" s="414"/>
      <c r="M20" s="414"/>
      <c r="N20" s="414"/>
    </row>
    <row r="21" spans="2:15" x14ac:dyDescent="0.25">
      <c r="B21" s="803"/>
      <c r="C21" s="401" t="s">
        <v>163</v>
      </c>
      <c r="D21" s="202" t="s">
        <v>20</v>
      </c>
      <c r="E21" s="415"/>
      <c r="F21" s="415">
        <v>0.02</v>
      </c>
      <c r="G21" s="415"/>
      <c r="H21" s="415"/>
      <c r="I21" s="415"/>
      <c r="J21" s="415"/>
      <c r="K21" s="415"/>
      <c r="L21" s="412"/>
      <c r="M21" s="412"/>
      <c r="N21" s="412"/>
    </row>
    <row r="22" spans="2:15" x14ac:dyDescent="0.25">
      <c r="B22" s="804"/>
      <c r="C22" s="171" t="s">
        <v>25</v>
      </c>
      <c r="D22" s="199" t="s">
        <v>20</v>
      </c>
      <c r="E22" s="413"/>
      <c r="F22" s="413">
        <v>0.02</v>
      </c>
      <c r="G22" s="413"/>
      <c r="H22" s="413"/>
      <c r="I22" s="413"/>
      <c r="J22" s="413"/>
      <c r="K22" s="413"/>
      <c r="L22" s="414"/>
      <c r="M22" s="414"/>
      <c r="N22" s="414"/>
    </row>
    <row r="23" spans="2:15" x14ac:dyDescent="0.25">
      <c r="B23" s="400" t="s">
        <v>477</v>
      </c>
      <c r="C23" s="203" t="s">
        <v>20</v>
      </c>
      <c r="D23" s="203" t="s">
        <v>20</v>
      </c>
      <c r="E23" s="414"/>
      <c r="F23" s="414"/>
      <c r="G23" s="414"/>
      <c r="H23" s="414"/>
      <c r="I23" s="414"/>
      <c r="J23" s="414"/>
      <c r="K23" s="414"/>
      <c r="L23" s="414"/>
      <c r="M23" s="414"/>
      <c r="N23" s="414"/>
    </row>
    <row r="24" spans="2:15" x14ac:dyDescent="0.25">
      <c r="B24" s="203" t="s">
        <v>478</v>
      </c>
      <c r="C24" s="203" t="s">
        <v>20</v>
      </c>
      <c r="D24" s="203" t="s">
        <v>20</v>
      </c>
      <c r="E24" s="414"/>
      <c r="F24" s="414"/>
      <c r="G24" s="414"/>
      <c r="H24" s="414"/>
      <c r="I24" s="414"/>
      <c r="J24" s="414"/>
      <c r="K24" s="414"/>
      <c r="L24" s="414"/>
      <c r="M24" s="414"/>
      <c r="N24" s="414"/>
    </row>
    <row r="25" spans="2:15" x14ac:dyDescent="0.25">
      <c r="B25" s="203" t="s">
        <v>480</v>
      </c>
      <c r="C25" s="203" t="s">
        <v>20</v>
      </c>
      <c r="D25" s="203" t="s">
        <v>20</v>
      </c>
      <c r="E25" s="414"/>
      <c r="F25" s="414"/>
      <c r="G25" s="414"/>
      <c r="H25" s="414"/>
      <c r="I25" s="414"/>
      <c r="J25" s="414"/>
      <c r="K25" s="414"/>
      <c r="L25" s="414"/>
      <c r="M25" s="414"/>
      <c r="N25" s="414"/>
      <c r="O25" s="360"/>
    </row>
    <row r="26" spans="2:15" ht="15.5" x14ac:dyDescent="0.35">
      <c r="B26" s="483"/>
      <c r="D26" s="278"/>
    </row>
    <row r="27" spans="2:15" ht="15.5" x14ac:dyDescent="0.35">
      <c r="B27" s="483"/>
      <c r="D27" s="278"/>
    </row>
    <row r="28" spans="2:15" ht="14.5" x14ac:dyDescent="0.35">
      <c r="B28" s="221" t="s">
        <v>0</v>
      </c>
      <c r="C28" s="479" t="s">
        <v>234</v>
      </c>
      <c r="D28" s="4"/>
      <c r="E28" s="575" t="s">
        <v>233</v>
      </c>
      <c r="L28" s="222" t="str">
        <f>B28</f>
        <v>Units</v>
      </c>
      <c r="N28" s="361" t="str">
        <f>C28</f>
        <v>China-Cloud segment</v>
      </c>
    </row>
    <row r="29" spans="2:15" x14ac:dyDescent="0.25">
      <c r="B29" s="7" t="s">
        <v>10</v>
      </c>
      <c r="C29" s="7" t="s">
        <v>11</v>
      </c>
      <c r="D29" s="1" t="s">
        <v>12</v>
      </c>
      <c r="E29" s="39">
        <v>2016</v>
      </c>
      <c r="F29" s="7">
        <v>2017</v>
      </c>
      <c r="G29" s="7">
        <v>2018</v>
      </c>
      <c r="H29" s="7">
        <v>2019</v>
      </c>
      <c r="I29" s="7">
        <v>2020</v>
      </c>
      <c r="J29" s="7">
        <v>2021</v>
      </c>
      <c r="K29" s="7">
        <v>2022</v>
      </c>
      <c r="L29" s="7">
        <v>2023</v>
      </c>
      <c r="M29" s="7">
        <v>2024</v>
      </c>
      <c r="N29" s="7">
        <v>2025</v>
      </c>
    </row>
    <row r="30" spans="2:15" ht="12.75" customHeight="1" x14ac:dyDescent="0.25">
      <c r="B30" s="467" t="s">
        <v>469</v>
      </c>
      <c r="C30" s="470" t="s">
        <v>20</v>
      </c>
      <c r="D30" s="264" t="s">
        <v>20</v>
      </c>
      <c r="E30" s="409">
        <f t="shared" ref="E30:M30" si="0">E8*E165</f>
        <v>172987.87533062306</v>
      </c>
      <c r="F30" s="409">
        <f t="shared" si="0"/>
        <v>112853.8576</v>
      </c>
      <c r="G30" s="409"/>
      <c r="H30" s="409"/>
      <c r="I30" s="409"/>
      <c r="J30" s="409"/>
      <c r="K30" s="409"/>
      <c r="L30" s="410"/>
      <c r="M30" s="410"/>
      <c r="N30" s="410"/>
    </row>
    <row r="31" spans="2:15" x14ac:dyDescent="0.25">
      <c r="B31" s="467" t="s">
        <v>470</v>
      </c>
      <c r="C31" s="470" t="s">
        <v>20</v>
      </c>
      <c r="D31" s="264" t="s">
        <v>20</v>
      </c>
      <c r="E31" s="409">
        <f t="shared" ref="E31:M31" si="1">E9*E166</f>
        <v>1591019.5166183696</v>
      </c>
      <c r="F31" s="409">
        <f t="shared" si="1"/>
        <v>1834497.3707182698</v>
      </c>
      <c r="G31" s="409"/>
      <c r="H31" s="409"/>
      <c r="I31" s="409"/>
      <c r="J31" s="409"/>
      <c r="K31" s="409"/>
      <c r="L31" s="410"/>
      <c r="M31" s="410"/>
      <c r="N31" s="410"/>
    </row>
    <row r="32" spans="2:15" ht="13" x14ac:dyDescent="0.3">
      <c r="B32" s="467" t="s">
        <v>471</v>
      </c>
      <c r="C32" s="470" t="s">
        <v>20</v>
      </c>
      <c r="D32" s="282" t="s">
        <v>154</v>
      </c>
      <c r="E32" s="409">
        <f t="shared" ref="E32:M32" si="2">E10*E167</f>
        <v>0</v>
      </c>
      <c r="F32" s="409">
        <f t="shared" si="2"/>
        <v>0</v>
      </c>
      <c r="G32" s="409"/>
      <c r="H32" s="409"/>
      <c r="I32" s="409"/>
      <c r="J32" s="409"/>
      <c r="K32" s="409"/>
      <c r="L32" s="410"/>
      <c r="M32" s="410"/>
      <c r="N32" s="410"/>
    </row>
    <row r="33" spans="2:14" x14ac:dyDescent="0.25">
      <c r="B33" s="171" t="s">
        <v>472</v>
      </c>
      <c r="C33" s="321" t="s">
        <v>161</v>
      </c>
      <c r="D33" s="171" t="s">
        <v>137</v>
      </c>
      <c r="E33" s="409">
        <f t="shared" ref="E33:M33" si="3">E11*E168</f>
        <v>272273.19</v>
      </c>
      <c r="F33" s="409">
        <f t="shared" si="3"/>
        <v>396379.13149999996</v>
      </c>
      <c r="G33" s="409"/>
      <c r="H33" s="409"/>
      <c r="I33" s="409"/>
      <c r="J33" s="409"/>
      <c r="K33" s="409"/>
      <c r="L33" s="410"/>
      <c r="M33" s="410"/>
      <c r="N33" s="410"/>
    </row>
    <row r="34" spans="2:14" ht="13" customHeight="1" x14ac:dyDescent="0.25">
      <c r="B34" s="264" t="s">
        <v>473</v>
      </c>
      <c r="C34" s="467" t="s">
        <v>22</v>
      </c>
      <c r="D34" s="264" t="s">
        <v>137</v>
      </c>
      <c r="E34" s="409">
        <f t="shared" ref="E34:M34" si="4">E12*E169</f>
        <v>48827.4</v>
      </c>
      <c r="F34" s="409">
        <f t="shared" si="4"/>
        <v>49091.200000000004</v>
      </c>
      <c r="G34" s="409"/>
      <c r="H34" s="409"/>
      <c r="I34" s="409"/>
      <c r="J34" s="409"/>
      <c r="K34" s="409"/>
      <c r="L34" s="410"/>
      <c r="M34" s="410"/>
      <c r="N34" s="410"/>
    </row>
    <row r="35" spans="2:14" x14ac:dyDescent="0.25">
      <c r="B35" s="811" t="s">
        <v>474</v>
      </c>
      <c r="C35" s="800" t="s">
        <v>23</v>
      </c>
      <c r="D35" s="484" t="s">
        <v>146</v>
      </c>
      <c r="E35" s="409">
        <f t="shared" ref="E35:M35" si="5">E13*E170</f>
        <v>0</v>
      </c>
      <c r="F35" s="409">
        <f t="shared" si="5"/>
        <v>0</v>
      </c>
      <c r="G35" s="409"/>
      <c r="H35" s="409"/>
      <c r="I35" s="409"/>
      <c r="J35" s="409"/>
      <c r="K35" s="409"/>
      <c r="L35" s="410"/>
      <c r="M35" s="410"/>
      <c r="N35" s="410"/>
    </row>
    <row r="36" spans="2:14" ht="12" customHeight="1" x14ac:dyDescent="0.25">
      <c r="B36" s="812"/>
      <c r="C36" s="801"/>
      <c r="D36" s="255" t="s">
        <v>147</v>
      </c>
      <c r="E36" s="409">
        <f t="shared" ref="E36:M36" si="6">E14*E171</f>
        <v>51722.99</v>
      </c>
      <c r="F36" s="409">
        <f t="shared" si="6"/>
        <v>129058.56</v>
      </c>
      <c r="G36" s="409"/>
      <c r="H36" s="409"/>
      <c r="I36" s="409"/>
      <c r="J36" s="409"/>
      <c r="K36" s="409"/>
      <c r="L36" s="410"/>
      <c r="M36" s="410"/>
      <c r="N36" s="410"/>
    </row>
    <row r="37" spans="2:14" x14ac:dyDescent="0.25">
      <c r="B37" s="812"/>
      <c r="C37" s="467" t="s">
        <v>24</v>
      </c>
      <c r="D37" s="485" t="s">
        <v>20</v>
      </c>
      <c r="E37" s="409">
        <f t="shared" ref="E37:M37" si="7">E15*E172</f>
        <v>20969.404000000002</v>
      </c>
      <c r="F37" s="409">
        <f t="shared" si="7"/>
        <v>44151.731</v>
      </c>
      <c r="G37" s="409"/>
      <c r="H37" s="409"/>
      <c r="I37" s="409"/>
      <c r="J37" s="409"/>
      <c r="K37" s="409"/>
      <c r="L37" s="410"/>
      <c r="M37" s="410"/>
      <c r="N37" s="410"/>
    </row>
    <row r="38" spans="2:14" x14ac:dyDescent="0.25">
      <c r="B38" s="813"/>
      <c r="C38" s="171" t="s">
        <v>25</v>
      </c>
      <c r="D38" s="485" t="s">
        <v>20</v>
      </c>
      <c r="E38" s="409">
        <f t="shared" ref="E38:M38" si="8">E16*E173</f>
        <v>195.76000000000005</v>
      </c>
      <c r="F38" s="409">
        <f t="shared" si="8"/>
        <v>244.44000000000003</v>
      </c>
      <c r="G38" s="409"/>
      <c r="H38" s="409"/>
      <c r="I38" s="409"/>
      <c r="J38" s="409"/>
      <c r="K38" s="409"/>
      <c r="L38" s="410"/>
      <c r="M38" s="410"/>
      <c r="N38" s="410"/>
    </row>
    <row r="39" spans="2:14" x14ac:dyDescent="0.25">
      <c r="B39" s="486" t="s">
        <v>475</v>
      </c>
      <c r="C39" s="467" t="s">
        <v>60</v>
      </c>
      <c r="D39" s="485" t="s">
        <v>20</v>
      </c>
      <c r="E39" s="409">
        <f t="shared" ref="E39:M39" si="9">E17*E174</f>
        <v>0</v>
      </c>
      <c r="F39" s="409">
        <f t="shared" si="9"/>
        <v>0</v>
      </c>
      <c r="G39" s="409"/>
      <c r="H39" s="409"/>
      <c r="I39" s="409"/>
      <c r="J39" s="409"/>
      <c r="K39" s="409"/>
      <c r="L39" s="410"/>
      <c r="M39" s="410"/>
      <c r="N39" s="410"/>
    </row>
    <row r="40" spans="2:14" x14ac:dyDescent="0.25">
      <c r="B40" s="800" t="s">
        <v>476</v>
      </c>
      <c r="C40" s="467" t="s">
        <v>161</v>
      </c>
      <c r="D40" s="485" t="s">
        <v>20</v>
      </c>
      <c r="E40" s="409">
        <f t="shared" ref="E40:M40" si="10">E18*E175</f>
        <v>28005.800000000003</v>
      </c>
      <c r="F40" s="409">
        <f t="shared" si="10"/>
        <v>124558.40000000001</v>
      </c>
      <c r="G40" s="409"/>
      <c r="H40" s="409"/>
      <c r="I40" s="409"/>
      <c r="J40" s="409"/>
      <c r="K40" s="409"/>
      <c r="L40" s="410"/>
      <c r="M40" s="410"/>
      <c r="N40" s="410"/>
    </row>
    <row r="41" spans="2:14" x14ac:dyDescent="0.25">
      <c r="B41" s="810"/>
      <c r="C41" s="470" t="s">
        <v>22</v>
      </c>
      <c r="D41" s="264" t="s">
        <v>162</v>
      </c>
      <c r="E41" s="409">
        <f t="shared" ref="E41:M41" si="11">E19*E176</f>
        <v>0</v>
      </c>
      <c r="F41" s="409">
        <f t="shared" si="11"/>
        <v>27869.002000000004</v>
      </c>
      <c r="G41" s="409"/>
      <c r="H41" s="409"/>
      <c r="I41" s="409"/>
      <c r="J41" s="409"/>
      <c r="K41" s="409"/>
      <c r="L41" s="410"/>
      <c r="M41" s="410"/>
      <c r="N41" s="410"/>
    </row>
    <row r="42" spans="2:14" x14ac:dyDescent="0.25">
      <c r="B42" s="810"/>
      <c r="C42" s="467" t="s">
        <v>23</v>
      </c>
      <c r="D42" s="487" t="s">
        <v>162</v>
      </c>
      <c r="E42" s="409">
        <f t="shared" ref="E42:M42" si="12">E20*E177</f>
        <v>0</v>
      </c>
      <c r="F42" s="409">
        <f t="shared" si="12"/>
        <v>5857.8180000000002</v>
      </c>
      <c r="G42" s="409"/>
      <c r="H42" s="409"/>
      <c r="I42" s="409"/>
      <c r="J42" s="409"/>
      <c r="K42" s="409"/>
      <c r="L42" s="410"/>
      <c r="M42" s="410"/>
      <c r="N42" s="410"/>
    </row>
    <row r="43" spans="2:14" x14ac:dyDescent="0.25">
      <c r="B43" s="810"/>
      <c r="C43" s="467" t="s">
        <v>163</v>
      </c>
      <c r="D43" s="485" t="s">
        <v>20</v>
      </c>
      <c r="E43" s="409">
        <f t="shared" ref="E43:M43" si="13">E21*E178</f>
        <v>0</v>
      </c>
      <c r="F43" s="409">
        <f t="shared" si="13"/>
        <v>5882.9280000000008</v>
      </c>
      <c r="G43" s="409"/>
      <c r="H43" s="409"/>
      <c r="I43" s="409"/>
      <c r="J43" s="409"/>
      <c r="K43" s="409"/>
      <c r="L43" s="410"/>
      <c r="M43" s="410"/>
      <c r="N43" s="410"/>
    </row>
    <row r="44" spans="2:14" x14ac:dyDescent="0.25">
      <c r="B44" s="801"/>
      <c r="C44" s="171" t="s">
        <v>25</v>
      </c>
      <c r="D44" s="171" t="s">
        <v>20</v>
      </c>
      <c r="E44" s="409">
        <f t="shared" ref="E44:M44" si="14">E22*E179</f>
        <v>0</v>
      </c>
      <c r="F44" s="409">
        <f t="shared" si="14"/>
        <v>0</v>
      </c>
      <c r="G44" s="409"/>
      <c r="H44" s="409"/>
      <c r="I44" s="409"/>
      <c r="J44" s="409"/>
      <c r="K44" s="409"/>
      <c r="L44" s="410"/>
      <c r="M44" s="410"/>
      <c r="N44" s="410"/>
    </row>
    <row r="45" spans="2:14" x14ac:dyDescent="0.25">
      <c r="B45" s="469" t="s">
        <v>477</v>
      </c>
      <c r="C45" s="264" t="s">
        <v>20</v>
      </c>
      <c r="D45" s="264" t="s">
        <v>20</v>
      </c>
      <c r="E45" s="409">
        <f t="shared" ref="E45:M45" si="15">E23*E180</f>
        <v>0</v>
      </c>
      <c r="F45" s="409">
        <f t="shared" si="15"/>
        <v>0</v>
      </c>
      <c r="G45" s="409"/>
      <c r="H45" s="409"/>
      <c r="I45" s="409"/>
      <c r="J45" s="409"/>
      <c r="K45" s="409"/>
      <c r="L45" s="410"/>
      <c r="M45" s="410"/>
      <c r="N45" s="410"/>
    </row>
    <row r="46" spans="2:14" x14ac:dyDescent="0.25">
      <c r="B46" s="264" t="s">
        <v>478</v>
      </c>
      <c r="C46" s="264" t="s">
        <v>20</v>
      </c>
      <c r="D46" s="264" t="s">
        <v>20</v>
      </c>
      <c r="E46" s="409">
        <f t="shared" ref="E46:N46" si="16">E24*E181</f>
        <v>0</v>
      </c>
      <c r="F46" s="409">
        <f t="shared" si="16"/>
        <v>0</v>
      </c>
      <c r="G46" s="409"/>
      <c r="H46" s="409"/>
      <c r="I46" s="409"/>
      <c r="J46" s="409"/>
      <c r="K46" s="409"/>
      <c r="L46" s="410"/>
      <c r="M46" s="410"/>
      <c r="N46" s="410"/>
    </row>
    <row r="47" spans="2:14" x14ac:dyDescent="0.25">
      <c r="B47" s="264" t="s">
        <v>480</v>
      </c>
      <c r="C47" s="264" t="s">
        <v>20</v>
      </c>
      <c r="D47" s="264" t="s">
        <v>20</v>
      </c>
      <c r="E47" s="409">
        <f t="shared" ref="E47:N47" si="17">E25*E182</f>
        <v>0</v>
      </c>
      <c r="F47" s="409">
        <f t="shared" si="17"/>
        <v>0</v>
      </c>
      <c r="G47" s="409"/>
      <c r="H47" s="409"/>
      <c r="I47" s="409"/>
      <c r="J47" s="409"/>
      <c r="K47" s="409"/>
      <c r="L47" s="410"/>
      <c r="M47" s="410"/>
      <c r="N47" s="410"/>
    </row>
    <row r="48" spans="2:14" x14ac:dyDescent="0.25">
      <c r="B48" s="170" t="s">
        <v>9</v>
      </c>
      <c r="C48" s="264" t="s">
        <v>20</v>
      </c>
      <c r="D48" s="264" t="s">
        <v>20</v>
      </c>
      <c r="E48" s="235">
        <f>SUM(E30:E47)</f>
        <v>2186001.9359489921</v>
      </c>
      <c r="F48" s="235">
        <f t="shared" ref="F48:M48" si="18">SUM(F30:F47)</f>
        <v>2730444.4388182699</v>
      </c>
      <c r="G48" s="235"/>
      <c r="H48" s="235"/>
      <c r="I48" s="235"/>
      <c r="J48" s="235"/>
      <c r="K48" s="235"/>
      <c r="L48" s="235"/>
      <c r="M48" s="235"/>
      <c r="N48" s="235"/>
    </row>
    <row r="49" spans="2:14" x14ac:dyDescent="0.25">
      <c r="D49" s="49"/>
      <c r="E49" s="8"/>
      <c r="F49" s="8">
        <f t="shared" ref="F49:N49" si="19">IF(E48=0,"",F48/E48-1)</f>
        <v>0.24905856390878411</v>
      </c>
      <c r="G49" s="8">
        <f t="shared" si="19"/>
        <v>-1</v>
      </c>
      <c r="H49" s="8" t="str">
        <f t="shared" si="19"/>
        <v/>
      </c>
      <c r="I49" s="8" t="str">
        <f t="shared" si="19"/>
        <v/>
      </c>
      <c r="J49" s="8" t="str">
        <f t="shared" si="19"/>
        <v/>
      </c>
      <c r="K49" s="8" t="str">
        <f t="shared" si="19"/>
        <v/>
      </c>
      <c r="L49" s="8" t="str">
        <f t="shared" si="19"/>
        <v/>
      </c>
      <c r="M49" s="8" t="str">
        <f t="shared" si="19"/>
        <v/>
      </c>
      <c r="N49" s="8" t="str">
        <f t="shared" si="19"/>
        <v/>
      </c>
    </row>
    <row r="50" spans="2:14" ht="13" x14ac:dyDescent="0.3">
      <c r="B50" s="220" t="s">
        <v>53</v>
      </c>
      <c r="C50" s="479" t="str">
        <f>C28</f>
        <v>China-Cloud segment</v>
      </c>
      <c r="D50" s="4"/>
      <c r="E50" s="283"/>
      <c r="F50" s="283"/>
      <c r="G50" s="283"/>
      <c r="H50" s="283"/>
      <c r="I50" s="283"/>
      <c r="L50" s="222" t="str">
        <f>B50</f>
        <v>ASP ($)</v>
      </c>
      <c r="N50" s="361" t="str">
        <f>C50</f>
        <v>China-Cloud segment</v>
      </c>
    </row>
    <row r="51" spans="2:14" x14ac:dyDescent="0.25">
      <c r="B51" s="129" t="s">
        <v>10</v>
      </c>
      <c r="C51" s="129" t="s">
        <v>11</v>
      </c>
      <c r="D51" s="123" t="s">
        <v>12</v>
      </c>
      <c r="E51" s="136">
        <v>2016</v>
      </c>
      <c r="F51" s="129">
        <v>2017</v>
      </c>
      <c r="G51" s="129">
        <v>2018</v>
      </c>
      <c r="H51" s="129">
        <v>2019</v>
      </c>
      <c r="I51" s="129">
        <v>2020</v>
      </c>
      <c r="J51" s="129">
        <v>2021</v>
      </c>
      <c r="K51" s="129">
        <v>2022</v>
      </c>
      <c r="L51" s="129">
        <v>2023</v>
      </c>
      <c r="M51" s="129">
        <v>2024</v>
      </c>
      <c r="N51" s="129">
        <v>2025</v>
      </c>
    </row>
    <row r="52" spans="2:14" x14ac:dyDescent="0.25">
      <c r="B52" s="467" t="s">
        <v>469</v>
      </c>
      <c r="C52" s="470" t="str">
        <f>C30</f>
        <v>All</v>
      </c>
      <c r="D52" s="470" t="str">
        <f>D30</f>
        <v>All</v>
      </c>
      <c r="E52" s="294">
        <f t="shared" ref="E52:L67" si="20">E187</f>
        <v>11.313150064475876</v>
      </c>
      <c r="F52" s="294">
        <f t="shared" si="20"/>
        <v>9.7279618337487541</v>
      </c>
      <c r="G52" s="294"/>
      <c r="H52" s="294"/>
      <c r="I52" s="294"/>
      <c r="J52" s="297"/>
      <c r="K52" s="297"/>
      <c r="L52" s="297"/>
      <c r="M52" s="297"/>
      <c r="N52" s="297"/>
    </row>
    <row r="53" spans="2:14" x14ac:dyDescent="0.25">
      <c r="B53" s="467" t="s">
        <v>470</v>
      </c>
      <c r="C53" s="470" t="str">
        <f>C31</f>
        <v>All</v>
      </c>
      <c r="D53" s="470" t="str">
        <f>D31</f>
        <v>All</v>
      </c>
      <c r="E53" s="294">
        <f t="shared" si="20"/>
        <v>24.426532962471157</v>
      </c>
      <c r="F53" s="294">
        <f t="shared" si="20"/>
        <v>19.396784765421103</v>
      </c>
      <c r="G53" s="294"/>
      <c r="H53" s="294"/>
      <c r="I53" s="294"/>
      <c r="J53" s="297"/>
      <c r="K53" s="297"/>
      <c r="L53" s="297"/>
      <c r="M53" s="297"/>
      <c r="N53" s="297"/>
    </row>
    <row r="54" spans="2:14" ht="13" x14ac:dyDescent="0.3">
      <c r="B54" s="467" t="s">
        <v>471</v>
      </c>
      <c r="C54" s="470" t="str">
        <f>C33</f>
        <v>100-300 m</v>
      </c>
      <c r="D54" s="282" t="s">
        <v>154</v>
      </c>
      <c r="E54" s="294">
        <f t="shared" si="20"/>
        <v>0</v>
      </c>
      <c r="F54" s="294">
        <f t="shared" si="20"/>
        <v>0</v>
      </c>
      <c r="G54" s="294"/>
      <c r="H54" s="294"/>
      <c r="I54" s="294"/>
      <c r="J54" s="297"/>
      <c r="K54" s="297"/>
      <c r="L54" s="297"/>
      <c r="M54" s="297"/>
      <c r="N54" s="297"/>
    </row>
    <row r="55" spans="2:14" x14ac:dyDescent="0.25">
      <c r="B55" s="171" t="s">
        <v>472</v>
      </c>
      <c r="C55" s="467" t="s">
        <v>21</v>
      </c>
      <c r="D55" s="171" t="s">
        <v>55</v>
      </c>
      <c r="E55" s="294">
        <f t="shared" si="20"/>
        <v>99.624177253255993</v>
      </c>
      <c r="F55" s="294">
        <f t="shared" si="20"/>
        <v>80.609108343448838</v>
      </c>
      <c r="G55" s="294"/>
      <c r="H55" s="294"/>
      <c r="I55" s="294"/>
      <c r="J55" s="297"/>
      <c r="K55" s="297"/>
      <c r="L55" s="296"/>
      <c r="M55" s="296"/>
      <c r="N55" s="296"/>
    </row>
    <row r="56" spans="2:14" ht="15.5" customHeight="1" x14ac:dyDescent="0.25">
      <c r="B56" s="264" t="s">
        <v>473</v>
      </c>
      <c r="C56" s="470" t="s">
        <v>22</v>
      </c>
      <c r="D56" s="264" t="s">
        <v>137</v>
      </c>
      <c r="E56" s="294">
        <f t="shared" si="20"/>
        <v>253.19068527507093</v>
      </c>
      <c r="F56" s="294">
        <f t="shared" si="20"/>
        <v>262.79055146339874</v>
      </c>
      <c r="G56" s="294"/>
      <c r="H56" s="294"/>
      <c r="I56" s="294"/>
      <c r="J56" s="297"/>
      <c r="K56" s="297"/>
      <c r="L56" s="297"/>
      <c r="M56" s="297"/>
      <c r="N56" s="297"/>
    </row>
    <row r="57" spans="2:14" x14ac:dyDescent="0.25">
      <c r="B57" s="811" t="s">
        <v>474</v>
      </c>
      <c r="C57" s="805" t="s">
        <v>23</v>
      </c>
      <c r="D57" s="488" t="s">
        <v>146</v>
      </c>
      <c r="E57" s="294">
        <f t="shared" si="20"/>
        <v>0</v>
      </c>
      <c r="F57" s="294">
        <f t="shared" si="20"/>
        <v>0</v>
      </c>
      <c r="G57" s="294"/>
      <c r="H57" s="294"/>
      <c r="I57" s="294"/>
      <c r="J57" s="297"/>
      <c r="K57" s="297"/>
      <c r="L57" s="297"/>
      <c r="M57" s="297"/>
      <c r="N57" s="297"/>
    </row>
    <row r="58" spans="2:14" ht="14" customHeight="1" x14ac:dyDescent="0.25">
      <c r="B58" s="812"/>
      <c r="C58" s="806"/>
      <c r="D58" s="255" t="s">
        <v>147</v>
      </c>
      <c r="E58" s="294">
        <f t="shared" si="20"/>
        <v>377.60055209491952</v>
      </c>
      <c r="F58" s="294">
        <f t="shared" si="20"/>
        <v>343.5254726908467</v>
      </c>
      <c r="G58" s="294"/>
      <c r="H58" s="294"/>
      <c r="I58" s="294"/>
      <c r="J58" s="297"/>
      <c r="K58" s="297"/>
      <c r="L58" s="297"/>
      <c r="M58" s="297"/>
      <c r="N58" s="297"/>
    </row>
    <row r="59" spans="2:14" x14ac:dyDescent="0.25">
      <c r="B59" s="812"/>
      <c r="C59" s="470" t="s">
        <v>24</v>
      </c>
      <c r="D59" s="485" t="s">
        <v>20</v>
      </c>
      <c r="E59" s="294">
        <f t="shared" si="20"/>
        <v>428.67602419686165</v>
      </c>
      <c r="F59" s="294">
        <f t="shared" si="20"/>
        <v>401.76456705736007</v>
      </c>
      <c r="G59" s="294"/>
      <c r="H59" s="294"/>
      <c r="I59" s="294"/>
      <c r="J59" s="297"/>
      <c r="K59" s="297"/>
      <c r="L59" s="297"/>
      <c r="M59" s="297"/>
      <c r="N59" s="297"/>
    </row>
    <row r="60" spans="2:14" x14ac:dyDescent="0.25">
      <c r="B60" s="813"/>
      <c r="C60" s="170" t="s">
        <v>25</v>
      </c>
      <c r="D60" s="264" t="str">
        <f t="shared" ref="D60:D67" si="21">D38</f>
        <v>All</v>
      </c>
      <c r="E60" s="294">
        <f t="shared" si="20"/>
        <v>1673.0572324239708</v>
      </c>
      <c r="F60" s="294">
        <f t="shared" si="20"/>
        <v>1459.2330281290015</v>
      </c>
      <c r="G60" s="294"/>
      <c r="H60" s="294"/>
      <c r="I60" s="294"/>
      <c r="J60" s="297"/>
      <c r="K60" s="297"/>
      <c r="L60" s="297"/>
      <c r="M60" s="297"/>
      <c r="N60" s="297"/>
    </row>
    <row r="61" spans="2:14" x14ac:dyDescent="0.25">
      <c r="B61" s="486" t="str">
        <f>B39</f>
        <v>50 G</v>
      </c>
      <c r="C61" s="470" t="str">
        <f>C39</f>
        <v>all</v>
      </c>
      <c r="D61" s="264" t="str">
        <f t="shared" si="21"/>
        <v>All</v>
      </c>
      <c r="E61" s="294">
        <f t="shared" si="20"/>
        <v>0</v>
      </c>
      <c r="F61" s="294">
        <f t="shared" si="20"/>
        <v>0</v>
      </c>
      <c r="G61" s="294"/>
      <c r="H61" s="294"/>
      <c r="I61" s="294"/>
      <c r="J61" s="297"/>
      <c r="K61" s="297"/>
      <c r="L61" s="297"/>
      <c r="M61" s="297"/>
      <c r="N61" s="297"/>
    </row>
    <row r="62" spans="2:14" x14ac:dyDescent="0.25">
      <c r="B62" s="800" t="str">
        <f>B40</f>
        <v>100 G</v>
      </c>
      <c r="C62" s="467" t="str">
        <f>C40</f>
        <v>100-300 m</v>
      </c>
      <c r="D62" s="264" t="str">
        <f t="shared" si="21"/>
        <v>All</v>
      </c>
      <c r="E62" s="294">
        <f t="shared" si="20"/>
        <v>258.09426618771823</v>
      </c>
      <c r="F62" s="294">
        <f t="shared" si="20"/>
        <v>182.02277386466108</v>
      </c>
      <c r="G62" s="294"/>
      <c r="H62" s="294"/>
      <c r="I62" s="294"/>
      <c r="J62" s="297"/>
      <c r="K62" s="297"/>
      <c r="L62" s="297"/>
      <c r="M62" s="297"/>
      <c r="N62" s="297"/>
    </row>
    <row r="63" spans="2:14" x14ac:dyDescent="0.25">
      <c r="B63" s="810"/>
      <c r="C63" s="467" t="s">
        <v>22</v>
      </c>
      <c r="D63" s="264" t="str">
        <f t="shared" si="21"/>
        <v>QSFP28</v>
      </c>
      <c r="E63" s="294">
        <f t="shared" si="20"/>
        <v>425.16634945630972</v>
      </c>
      <c r="F63" s="294">
        <f t="shared" si="20"/>
        <v>334.15581081805504</v>
      </c>
      <c r="G63" s="294"/>
      <c r="H63" s="294"/>
      <c r="I63" s="294"/>
      <c r="J63" s="297"/>
      <c r="K63" s="297"/>
      <c r="L63" s="297"/>
      <c r="M63" s="297"/>
      <c r="N63" s="297"/>
    </row>
    <row r="64" spans="2:14" ht="12.75" customHeight="1" x14ac:dyDescent="0.25">
      <c r="B64" s="810"/>
      <c r="C64" s="470" t="str">
        <f>C42</f>
        <v>2 km</v>
      </c>
      <c r="D64" s="487" t="str">
        <f t="shared" si="21"/>
        <v>QSFP28</v>
      </c>
      <c r="E64" s="294">
        <f t="shared" si="20"/>
        <v>825</v>
      </c>
      <c r="F64" s="294">
        <f t="shared" si="20"/>
        <v>650</v>
      </c>
      <c r="G64" s="294"/>
      <c r="H64" s="294"/>
      <c r="I64" s="294"/>
      <c r="J64" s="297"/>
      <c r="K64" s="297"/>
      <c r="L64" s="297"/>
      <c r="M64" s="297"/>
      <c r="N64" s="297"/>
    </row>
    <row r="65" spans="2:14" x14ac:dyDescent="0.25">
      <c r="B65" s="810"/>
      <c r="C65" s="470" t="str">
        <f>C43</f>
        <v>10-20 km</v>
      </c>
      <c r="D65" s="468" t="str">
        <f t="shared" si="21"/>
        <v>All</v>
      </c>
      <c r="E65" s="294">
        <f t="shared" si="20"/>
        <v>1938.1501024552808</v>
      </c>
      <c r="F65" s="294">
        <f t="shared" si="20"/>
        <v>1103.6194221652891</v>
      </c>
      <c r="G65" s="294"/>
      <c r="H65" s="294"/>
      <c r="I65" s="294"/>
      <c r="J65" s="297"/>
      <c r="K65" s="297"/>
      <c r="L65" s="297"/>
      <c r="M65" s="297"/>
      <c r="N65" s="297"/>
    </row>
    <row r="66" spans="2:14" x14ac:dyDescent="0.25">
      <c r="B66" s="801"/>
      <c r="C66" s="170" t="str">
        <f>C44</f>
        <v>40 km</v>
      </c>
      <c r="D66" s="171" t="str">
        <f t="shared" si="21"/>
        <v>All</v>
      </c>
      <c r="E66" s="294">
        <f t="shared" si="20"/>
        <v>0</v>
      </c>
      <c r="F66" s="294">
        <f t="shared" si="20"/>
        <v>0</v>
      </c>
      <c r="G66" s="294"/>
      <c r="H66" s="294"/>
      <c r="I66" s="294"/>
      <c r="J66" s="297"/>
      <c r="K66" s="297"/>
      <c r="L66" s="297"/>
      <c r="M66" s="297"/>
      <c r="N66" s="297"/>
    </row>
    <row r="67" spans="2:14" x14ac:dyDescent="0.25">
      <c r="B67" s="471" t="str">
        <f>B45</f>
        <v>200 G</v>
      </c>
      <c r="C67" s="264" t="str">
        <f>C45</f>
        <v>All</v>
      </c>
      <c r="D67" s="264" t="str">
        <f t="shared" si="21"/>
        <v>All</v>
      </c>
      <c r="E67" s="294">
        <f t="shared" si="20"/>
        <v>0</v>
      </c>
      <c r="F67" s="294">
        <f t="shared" si="20"/>
        <v>0</v>
      </c>
      <c r="G67" s="294"/>
      <c r="H67" s="294"/>
      <c r="I67" s="294"/>
      <c r="J67" s="296"/>
      <c r="K67" s="296"/>
      <c r="L67" s="296"/>
      <c r="M67" s="296"/>
      <c r="N67" s="296"/>
    </row>
    <row r="68" spans="2:14" x14ac:dyDescent="0.25">
      <c r="B68" s="471" t="s">
        <v>478</v>
      </c>
      <c r="C68" s="264" t="s">
        <v>20</v>
      </c>
      <c r="D68" s="264" t="s">
        <v>20</v>
      </c>
      <c r="E68" s="295">
        <f t="shared" ref="E68:L69" si="22">E203</f>
        <v>0</v>
      </c>
      <c r="F68" s="295">
        <f t="shared" si="22"/>
        <v>11614.285714285714</v>
      </c>
      <c r="G68" s="295"/>
      <c r="H68" s="295"/>
      <c r="I68" s="295"/>
      <c r="J68" s="296"/>
      <c r="K68" s="296"/>
      <c r="L68" s="296"/>
      <c r="M68" s="296"/>
      <c r="N68" s="296"/>
    </row>
    <row r="69" spans="2:14" x14ac:dyDescent="0.25">
      <c r="B69" s="471" t="s">
        <v>480</v>
      </c>
      <c r="C69" s="264" t="s">
        <v>20</v>
      </c>
      <c r="D69" s="264" t="s">
        <v>20</v>
      </c>
      <c r="E69" s="295">
        <f t="shared" si="22"/>
        <v>0</v>
      </c>
      <c r="F69" s="295">
        <f t="shared" si="22"/>
        <v>0</v>
      </c>
      <c r="G69" s="295"/>
      <c r="H69" s="295"/>
      <c r="I69" s="295"/>
      <c r="J69" s="296"/>
      <c r="K69" s="296"/>
      <c r="L69" s="296"/>
      <c r="M69" s="296"/>
      <c r="N69" s="296"/>
    </row>
    <row r="70" spans="2:14" x14ac:dyDescent="0.25">
      <c r="D70" s="49"/>
      <c r="E70" s="2"/>
      <c r="F70" s="2"/>
      <c r="G70" s="2"/>
      <c r="H70" s="2"/>
      <c r="I70" s="2"/>
      <c r="J70" s="2"/>
      <c r="K70" s="2"/>
      <c r="L70" s="2"/>
      <c r="M70" s="2"/>
      <c r="N70" s="2"/>
    </row>
    <row r="71" spans="2:14" ht="14.5" x14ac:dyDescent="0.35">
      <c r="B71" s="220" t="s">
        <v>1</v>
      </c>
      <c r="C71" s="479" t="str">
        <f>C28</f>
        <v>China-Cloud segment</v>
      </c>
      <c r="D71" s="4"/>
      <c r="E71" s="575" t="str">
        <f>E28</f>
        <v>this table is calculated as the Global segment total (below) times the factors in the table at right</v>
      </c>
      <c r="L71" s="222" t="str">
        <f>B71</f>
        <v>Sales ($M)</v>
      </c>
      <c r="N71" s="361" t="str">
        <f>C71</f>
        <v>China-Cloud segment</v>
      </c>
    </row>
    <row r="72" spans="2:14" x14ac:dyDescent="0.25">
      <c r="B72" s="7" t="s">
        <v>10</v>
      </c>
      <c r="C72" s="7" t="s">
        <v>11</v>
      </c>
      <c r="D72" s="1" t="s">
        <v>12</v>
      </c>
      <c r="E72" s="129">
        <v>2016</v>
      </c>
      <c r="F72" s="129">
        <v>2017</v>
      </c>
      <c r="G72" s="129">
        <v>2018</v>
      </c>
      <c r="H72" s="129">
        <v>2019</v>
      </c>
      <c r="I72" s="129">
        <v>2020</v>
      </c>
      <c r="J72" s="129">
        <v>2021</v>
      </c>
      <c r="K72" s="129">
        <v>2022</v>
      </c>
      <c r="L72" s="129">
        <v>2023</v>
      </c>
      <c r="M72" s="129">
        <v>2024</v>
      </c>
      <c r="N72" s="129">
        <v>2025</v>
      </c>
    </row>
    <row r="73" spans="2:14" x14ac:dyDescent="0.25">
      <c r="B73" s="467" t="s">
        <v>469</v>
      </c>
      <c r="C73" s="470" t="str">
        <f>C30</f>
        <v>All</v>
      </c>
      <c r="D73" s="470" t="str">
        <f>D30</f>
        <v>All</v>
      </c>
      <c r="E73" s="294">
        <f t="shared" ref="E73:N73" si="23">E52*E30/10^6</f>
        <v>1.9570377929501832</v>
      </c>
      <c r="F73" s="294">
        <f t="shared" si="23"/>
        <v>1.0978380195241169</v>
      </c>
      <c r="G73" s="294"/>
      <c r="H73" s="294"/>
      <c r="I73" s="294"/>
      <c r="J73" s="294"/>
      <c r="K73" s="294"/>
      <c r="L73" s="294"/>
      <c r="M73" s="294"/>
      <c r="N73" s="294"/>
    </row>
    <row r="74" spans="2:14" x14ac:dyDescent="0.25">
      <c r="B74" s="467" t="s">
        <v>479</v>
      </c>
      <c r="C74" s="167" t="str">
        <f>C31</f>
        <v>All</v>
      </c>
      <c r="D74" s="167" t="str">
        <f>D31</f>
        <v>All</v>
      </c>
      <c r="E74" s="294">
        <f t="shared" ref="E74:I83" si="24">E53*E31/10^6</f>
        <v>38.863090666613537</v>
      </c>
      <c r="F74" s="294">
        <f t="shared" si="24"/>
        <v>35.583350652553207</v>
      </c>
      <c r="G74" s="294"/>
      <c r="H74" s="294"/>
      <c r="I74" s="294"/>
      <c r="J74" s="294"/>
      <c r="K74" s="294"/>
      <c r="L74" s="294"/>
      <c r="M74" s="294"/>
      <c r="N74" s="294"/>
    </row>
    <row r="75" spans="2:14" ht="13" x14ac:dyDescent="0.3">
      <c r="B75" s="264" t="s">
        <v>471</v>
      </c>
      <c r="C75" s="470" t="s">
        <v>20</v>
      </c>
      <c r="D75" s="282" t="s">
        <v>154</v>
      </c>
      <c r="E75" s="294">
        <f t="shared" si="24"/>
        <v>0</v>
      </c>
      <c r="F75" s="294">
        <f t="shared" si="24"/>
        <v>0</v>
      </c>
      <c r="G75" s="294"/>
      <c r="H75" s="294"/>
      <c r="I75" s="294"/>
      <c r="J75" s="294"/>
      <c r="K75" s="294"/>
      <c r="L75" s="294"/>
      <c r="M75" s="294"/>
      <c r="N75" s="294"/>
    </row>
    <row r="76" spans="2:14" x14ac:dyDescent="0.25">
      <c r="B76" s="171" t="s">
        <v>472</v>
      </c>
      <c r="C76" s="467" t="str">
        <f>C54</f>
        <v>100-300 m</v>
      </c>
      <c r="D76" s="171" t="s">
        <v>137</v>
      </c>
      <c r="E76" s="294">
        <f t="shared" si="24"/>
        <v>27.124992541869446</v>
      </c>
      <c r="F76" s="294">
        <f t="shared" si="24"/>
        <v>31.951768356165651</v>
      </c>
      <c r="G76" s="294"/>
      <c r="H76" s="294"/>
      <c r="I76" s="294"/>
      <c r="J76" s="294"/>
      <c r="K76" s="294"/>
      <c r="L76" s="294"/>
      <c r="M76" s="294"/>
      <c r="N76" s="294"/>
    </row>
    <row r="77" spans="2:14" ht="14.5" customHeight="1" x14ac:dyDescent="0.25">
      <c r="B77" s="264" t="s">
        <v>473</v>
      </c>
      <c r="C77" s="470" t="s">
        <v>22</v>
      </c>
      <c r="D77" s="264" t="s">
        <v>137</v>
      </c>
      <c r="E77" s="294">
        <f t="shared" si="24"/>
        <v>12.362642866199998</v>
      </c>
      <c r="F77" s="294">
        <f t="shared" si="24"/>
        <v>12.900703520000002</v>
      </c>
      <c r="G77" s="294"/>
      <c r="H77" s="294"/>
      <c r="I77" s="294"/>
      <c r="J77" s="294"/>
      <c r="K77" s="294"/>
      <c r="L77" s="294"/>
      <c r="M77" s="294"/>
      <c r="N77" s="294"/>
    </row>
    <row r="78" spans="2:14" x14ac:dyDescent="0.25">
      <c r="B78" s="811" t="s">
        <v>474</v>
      </c>
      <c r="C78" s="805" t="s">
        <v>23</v>
      </c>
      <c r="D78" s="484" t="s">
        <v>146</v>
      </c>
      <c r="E78" s="294">
        <f t="shared" si="24"/>
        <v>0</v>
      </c>
      <c r="F78" s="294">
        <f t="shared" si="24"/>
        <v>0</v>
      </c>
      <c r="G78" s="294"/>
      <c r="H78" s="294"/>
      <c r="I78" s="294"/>
      <c r="J78" s="294"/>
      <c r="K78" s="294"/>
      <c r="L78" s="294"/>
      <c r="M78" s="294"/>
      <c r="N78" s="294"/>
    </row>
    <row r="79" spans="2:14" ht="13" customHeight="1" x14ac:dyDescent="0.25">
      <c r="B79" s="812"/>
      <c r="C79" s="806"/>
      <c r="D79" s="255" t="s">
        <v>147</v>
      </c>
      <c r="E79" s="294">
        <f t="shared" si="24"/>
        <v>19.530629580000003</v>
      </c>
      <c r="F79" s="294">
        <f t="shared" si="24"/>
        <v>44.334902828799997</v>
      </c>
      <c r="G79" s="294"/>
      <c r="H79" s="294"/>
      <c r="I79" s="294"/>
      <c r="J79" s="294"/>
      <c r="K79" s="294"/>
      <c r="L79" s="294"/>
      <c r="M79" s="294"/>
      <c r="N79" s="294"/>
    </row>
    <row r="80" spans="2:14" x14ac:dyDescent="0.25">
      <c r="B80" s="812"/>
      <c r="C80" s="470" t="s">
        <v>24</v>
      </c>
      <c r="D80" s="467" t="str">
        <f t="shared" ref="D80:D90" si="25">D37</f>
        <v>All</v>
      </c>
      <c r="E80" s="294">
        <f t="shared" si="24"/>
        <v>8.989080736497769</v>
      </c>
      <c r="F80" s="294">
        <f t="shared" si="24"/>
        <v>17.738601090048022</v>
      </c>
      <c r="G80" s="294"/>
      <c r="H80" s="294"/>
      <c r="I80" s="294"/>
      <c r="J80" s="294"/>
      <c r="K80" s="294"/>
      <c r="L80" s="294"/>
      <c r="M80" s="294"/>
      <c r="N80" s="294"/>
    </row>
    <row r="81" spans="2:14" x14ac:dyDescent="0.25">
      <c r="B81" s="813"/>
      <c r="C81" s="170" t="s">
        <v>25</v>
      </c>
      <c r="D81" s="467" t="str">
        <f t="shared" si="25"/>
        <v>All</v>
      </c>
      <c r="E81" s="448">
        <f t="shared" si="24"/>
        <v>0.32751768381931662</v>
      </c>
      <c r="F81" s="448">
        <f t="shared" si="24"/>
        <v>0.35669492139585318</v>
      </c>
      <c r="G81" s="448"/>
      <c r="H81" s="448"/>
      <c r="I81" s="448"/>
      <c r="J81" s="448"/>
      <c r="K81" s="448"/>
      <c r="L81" s="448"/>
      <c r="M81" s="448"/>
      <c r="N81" s="448"/>
    </row>
    <row r="82" spans="2:14" x14ac:dyDescent="0.25">
      <c r="B82" s="486" t="str">
        <f>B39</f>
        <v>50 G</v>
      </c>
      <c r="C82" s="470" t="str">
        <f>C39</f>
        <v>all</v>
      </c>
      <c r="D82" s="467" t="str">
        <f t="shared" si="25"/>
        <v>All</v>
      </c>
      <c r="E82" s="294">
        <f t="shared" si="24"/>
        <v>0</v>
      </c>
      <c r="F82" s="294">
        <f t="shared" si="24"/>
        <v>0</v>
      </c>
      <c r="G82" s="294"/>
      <c r="H82" s="294"/>
      <c r="I82" s="294"/>
      <c r="J82" s="294"/>
      <c r="K82" s="294"/>
      <c r="L82" s="294"/>
      <c r="M82" s="294"/>
      <c r="N82" s="294"/>
    </row>
    <row r="83" spans="2:14" x14ac:dyDescent="0.25">
      <c r="B83" s="800" t="str">
        <f>B40</f>
        <v>100 G</v>
      </c>
      <c r="C83" s="467" t="str">
        <f>C40</f>
        <v>100-300 m</v>
      </c>
      <c r="D83" s="467" t="str">
        <f t="shared" si="25"/>
        <v>All</v>
      </c>
      <c r="E83" s="294">
        <f t="shared" si="24"/>
        <v>7.2281364000000004</v>
      </c>
      <c r="F83" s="294">
        <f t="shared" si="24"/>
        <v>22.672465476144001</v>
      </c>
      <c r="G83" s="294"/>
      <c r="H83" s="294"/>
      <c r="I83" s="294"/>
      <c r="J83" s="294"/>
      <c r="K83" s="294"/>
      <c r="L83" s="294"/>
      <c r="M83" s="294"/>
      <c r="N83" s="294"/>
    </row>
    <row r="84" spans="2:14" x14ac:dyDescent="0.25">
      <c r="B84" s="810"/>
      <c r="C84" s="470" t="str">
        <f t="shared" ref="C84:C90" si="26">C41</f>
        <v>500 m</v>
      </c>
      <c r="D84" s="255" t="str">
        <f t="shared" si="25"/>
        <v>QSFP28</v>
      </c>
      <c r="E84" s="294">
        <f t="shared" ref="E84:I90" si="27">E63*E41/10^6</f>
        <v>0</v>
      </c>
      <c r="F84" s="294">
        <f t="shared" si="27"/>
        <v>9.3125889599999994</v>
      </c>
      <c r="G84" s="294"/>
      <c r="H84" s="294"/>
      <c r="I84" s="294"/>
      <c r="J84" s="294"/>
      <c r="K84" s="294"/>
      <c r="L84" s="294"/>
      <c r="M84" s="294"/>
      <c r="N84" s="294"/>
    </row>
    <row r="85" spans="2:14" ht="12.75" customHeight="1" x14ac:dyDescent="0.25">
      <c r="B85" s="810"/>
      <c r="C85" s="470" t="str">
        <f t="shared" si="26"/>
        <v>2 km</v>
      </c>
      <c r="D85" s="487" t="str">
        <f t="shared" si="25"/>
        <v>QSFP28</v>
      </c>
      <c r="E85" s="294">
        <f t="shared" si="27"/>
        <v>0</v>
      </c>
      <c r="F85" s="294">
        <f t="shared" si="27"/>
        <v>3.8075817000000001</v>
      </c>
      <c r="G85" s="294"/>
      <c r="H85" s="294"/>
      <c r="I85" s="294"/>
      <c r="J85" s="294"/>
      <c r="K85" s="294"/>
      <c r="L85" s="294"/>
      <c r="M85" s="294"/>
      <c r="N85" s="294"/>
    </row>
    <row r="86" spans="2:14" x14ac:dyDescent="0.25">
      <c r="B86" s="810"/>
      <c r="C86" s="470" t="str">
        <f t="shared" si="26"/>
        <v>10-20 km</v>
      </c>
      <c r="D86" s="468" t="str">
        <f t="shared" si="25"/>
        <v>All</v>
      </c>
      <c r="E86" s="294">
        <f t="shared" si="27"/>
        <v>0</v>
      </c>
      <c r="F86" s="294">
        <f t="shared" si="27"/>
        <v>6.4925136000000006</v>
      </c>
      <c r="G86" s="294"/>
      <c r="H86" s="294"/>
      <c r="I86" s="294"/>
      <c r="J86" s="294"/>
      <c r="K86" s="294"/>
      <c r="L86" s="294"/>
      <c r="M86" s="294"/>
      <c r="N86" s="294"/>
    </row>
    <row r="87" spans="2:14" x14ac:dyDescent="0.25">
      <c r="B87" s="801"/>
      <c r="C87" s="170" t="str">
        <f t="shared" si="26"/>
        <v>40 km</v>
      </c>
      <c r="D87" s="171" t="str">
        <f t="shared" si="25"/>
        <v>All</v>
      </c>
      <c r="E87" s="294">
        <f t="shared" si="27"/>
        <v>0</v>
      </c>
      <c r="F87" s="294">
        <f t="shared" si="27"/>
        <v>0</v>
      </c>
      <c r="G87" s="294"/>
      <c r="H87" s="294"/>
      <c r="I87" s="294"/>
      <c r="J87" s="294"/>
      <c r="K87" s="294"/>
      <c r="L87" s="294"/>
      <c r="M87" s="294"/>
      <c r="N87" s="294"/>
    </row>
    <row r="88" spans="2:14" x14ac:dyDescent="0.25">
      <c r="B88" s="471" t="str">
        <f>B45</f>
        <v>200 G</v>
      </c>
      <c r="C88" s="264" t="str">
        <f t="shared" si="26"/>
        <v>All</v>
      </c>
      <c r="D88" s="264" t="str">
        <f t="shared" si="25"/>
        <v>All</v>
      </c>
      <c r="E88" s="294">
        <f t="shared" si="27"/>
        <v>0</v>
      </c>
      <c r="F88" s="294">
        <f t="shared" si="27"/>
        <v>0</v>
      </c>
      <c r="G88" s="294"/>
      <c r="H88" s="294"/>
      <c r="I88" s="294"/>
      <c r="J88" s="294"/>
      <c r="K88" s="294"/>
      <c r="L88" s="294"/>
      <c r="M88" s="294"/>
      <c r="N88" s="294"/>
    </row>
    <row r="89" spans="2:14" x14ac:dyDescent="0.25">
      <c r="B89" s="471" t="s">
        <v>478</v>
      </c>
      <c r="C89" s="264" t="str">
        <f t="shared" si="26"/>
        <v>All</v>
      </c>
      <c r="D89" s="264" t="str">
        <f t="shared" si="25"/>
        <v>All</v>
      </c>
      <c r="E89" s="294">
        <f t="shared" si="27"/>
        <v>0</v>
      </c>
      <c r="F89" s="294">
        <f t="shared" si="27"/>
        <v>0</v>
      </c>
      <c r="G89" s="294"/>
      <c r="H89" s="294"/>
      <c r="I89" s="294"/>
      <c r="J89" s="294"/>
      <c r="K89" s="294"/>
      <c r="L89" s="294"/>
      <c r="M89" s="294"/>
      <c r="N89" s="294"/>
    </row>
    <row r="90" spans="2:14" x14ac:dyDescent="0.25">
      <c r="B90" s="471" t="s">
        <v>480</v>
      </c>
      <c r="C90" s="264" t="str">
        <f t="shared" si="26"/>
        <v>All</v>
      </c>
      <c r="D90" s="264" t="str">
        <f t="shared" si="25"/>
        <v>All</v>
      </c>
      <c r="E90" s="294">
        <f t="shared" si="27"/>
        <v>0</v>
      </c>
      <c r="F90" s="294">
        <f t="shared" si="27"/>
        <v>0</v>
      </c>
      <c r="G90" s="294"/>
      <c r="H90" s="294"/>
      <c r="I90" s="294"/>
      <c r="J90" s="294"/>
      <c r="K90" s="294"/>
      <c r="L90" s="294"/>
      <c r="M90" s="294"/>
      <c r="N90" s="294"/>
    </row>
    <row r="91" spans="2:14" x14ac:dyDescent="0.25">
      <c r="B91" s="170" t="s">
        <v>9</v>
      </c>
      <c r="C91" s="264" t="str">
        <f>C48</f>
        <v>All</v>
      </c>
      <c r="D91" s="264" t="str">
        <f>D48</f>
        <v>All</v>
      </c>
      <c r="E91" s="290">
        <f>SUM(E73:E90)</f>
        <v>116.38312826795026</v>
      </c>
      <c r="F91" s="290">
        <f>SUM(F73:F90)</f>
        <v>186.24900912463085</v>
      </c>
      <c r="G91" s="290"/>
      <c r="H91" s="290"/>
      <c r="I91" s="290"/>
      <c r="J91" s="290"/>
      <c r="K91" s="290"/>
      <c r="L91" s="290"/>
      <c r="M91" s="290"/>
      <c r="N91" s="290"/>
    </row>
    <row r="92" spans="2:14" x14ac:dyDescent="0.25">
      <c r="E92" s="8"/>
      <c r="F92" s="8">
        <f t="shared" ref="F92:N92" si="28">IF(E91=0,"",F91/E91-1)</f>
        <v>0.60030935666059393</v>
      </c>
      <c r="G92" s="8">
        <f t="shared" si="28"/>
        <v>-1</v>
      </c>
      <c r="H92" s="8" t="str">
        <f t="shared" si="28"/>
        <v/>
      </c>
      <c r="I92" s="8" t="str">
        <f t="shared" si="28"/>
        <v/>
      </c>
      <c r="J92" s="8" t="str">
        <f t="shared" si="28"/>
        <v/>
      </c>
      <c r="K92" s="8" t="str">
        <f t="shared" si="28"/>
        <v/>
      </c>
      <c r="L92" s="8" t="str">
        <f t="shared" si="28"/>
        <v/>
      </c>
      <c r="M92" s="8" t="str">
        <f t="shared" si="28"/>
        <v/>
      </c>
      <c r="N92" s="8" t="str">
        <f t="shared" si="28"/>
        <v/>
      </c>
    </row>
    <row r="94" spans="2:14" x14ac:dyDescent="0.25">
      <c r="B94" s="489"/>
      <c r="C94" s="489"/>
      <c r="D94" s="489"/>
      <c r="E94" s="446"/>
      <c r="F94" s="446"/>
      <c r="G94" s="446"/>
      <c r="H94" s="446"/>
      <c r="I94" s="446"/>
      <c r="J94" s="446"/>
      <c r="K94" s="446"/>
      <c r="L94" s="446"/>
      <c r="M94" s="446"/>
      <c r="N94" s="446"/>
    </row>
    <row r="95" spans="2:14" ht="14.5" x14ac:dyDescent="0.35">
      <c r="B95" s="221" t="s">
        <v>0</v>
      </c>
      <c r="C95" s="221" t="s">
        <v>235</v>
      </c>
      <c r="D95" s="4"/>
      <c r="E95" s="575" t="s">
        <v>232</v>
      </c>
      <c r="L95" s="222" t="str">
        <f>B95</f>
        <v>Units</v>
      </c>
      <c r="N95" s="361" t="str">
        <f>C95</f>
        <v>Rest of World-Cloud segment</v>
      </c>
    </row>
    <row r="96" spans="2:14" x14ac:dyDescent="0.25">
      <c r="B96" s="7" t="s">
        <v>10</v>
      </c>
      <c r="C96" s="7" t="s">
        <v>11</v>
      </c>
      <c r="D96" s="1" t="s">
        <v>12</v>
      </c>
      <c r="E96" s="39">
        <v>2016</v>
      </c>
      <c r="F96" s="7">
        <v>2017</v>
      </c>
      <c r="G96" s="7">
        <v>2018</v>
      </c>
      <c r="H96" s="7">
        <v>2019</v>
      </c>
      <c r="I96" s="7">
        <v>2020</v>
      </c>
      <c r="J96" s="7">
        <v>2021</v>
      </c>
      <c r="K96" s="7">
        <v>2022</v>
      </c>
      <c r="L96" s="7">
        <v>2023</v>
      </c>
      <c r="M96" s="7">
        <v>2024</v>
      </c>
      <c r="N96" s="7">
        <v>2025</v>
      </c>
    </row>
    <row r="97" spans="2:14" x14ac:dyDescent="0.25">
      <c r="B97" s="467" t="s">
        <v>469</v>
      </c>
      <c r="C97" s="470" t="s">
        <v>20</v>
      </c>
      <c r="D97" s="264" t="s">
        <v>20</v>
      </c>
      <c r="E97" s="373">
        <f t="shared" ref="E97:L97" si="29">E165-E30</f>
        <v>246686.91866937699</v>
      </c>
      <c r="F97" s="373">
        <f t="shared" si="29"/>
        <v>143632.18239999999</v>
      </c>
      <c r="G97" s="373"/>
      <c r="H97" s="373"/>
      <c r="I97" s="373"/>
      <c r="J97" s="373"/>
      <c r="K97" s="373"/>
      <c r="L97" s="378"/>
      <c r="M97" s="378"/>
      <c r="N97" s="378"/>
    </row>
    <row r="98" spans="2:14" x14ac:dyDescent="0.25">
      <c r="B98" s="467" t="s">
        <v>470</v>
      </c>
      <c r="C98" s="470" t="s">
        <v>20</v>
      </c>
      <c r="D98" s="264" t="s">
        <v>20</v>
      </c>
      <c r="E98" s="374">
        <f t="shared" ref="E98:L98" si="30">E166-E31</f>
        <v>5640887.377101494</v>
      </c>
      <c r="F98" s="374">
        <f t="shared" si="30"/>
        <v>5809241.6739411894</v>
      </c>
      <c r="G98" s="374"/>
      <c r="H98" s="374"/>
      <c r="I98" s="374"/>
      <c r="J98" s="374"/>
      <c r="K98" s="374"/>
      <c r="L98" s="375"/>
      <c r="M98" s="375"/>
      <c r="N98" s="375"/>
    </row>
    <row r="99" spans="2:14" ht="13" x14ac:dyDescent="0.3">
      <c r="B99" s="467" t="s">
        <v>471</v>
      </c>
      <c r="C99" s="470" t="s">
        <v>20</v>
      </c>
      <c r="D99" s="282" t="s">
        <v>154</v>
      </c>
      <c r="E99" s="375">
        <f t="shared" ref="E99:L99" si="31">E167-E32</f>
        <v>0</v>
      </c>
      <c r="F99" s="375">
        <f t="shared" si="31"/>
        <v>0</v>
      </c>
      <c r="G99" s="375"/>
      <c r="H99" s="375"/>
      <c r="I99" s="375"/>
      <c r="J99" s="375"/>
      <c r="K99" s="375"/>
      <c r="L99" s="375"/>
      <c r="M99" s="375"/>
      <c r="N99" s="375"/>
    </row>
    <row r="100" spans="2:14" x14ac:dyDescent="0.25">
      <c r="B100" s="171" t="s">
        <v>472</v>
      </c>
      <c r="C100" s="321" t="s">
        <v>161</v>
      </c>
      <c r="D100" s="171" t="s">
        <v>137</v>
      </c>
      <c r="E100" s="376">
        <f t="shared" ref="E100:L100" si="32">E168-E33</f>
        <v>505650.21</v>
      </c>
      <c r="F100" s="376">
        <f t="shared" si="32"/>
        <v>674915.81850000005</v>
      </c>
      <c r="G100" s="376"/>
      <c r="H100" s="376"/>
      <c r="I100" s="376"/>
      <c r="J100" s="376"/>
      <c r="K100" s="376"/>
      <c r="L100" s="275"/>
      <c r="M100" s="275"/>
      <c r="N100" s="275"/>
    </row>
    <row r="101" spans="2:14" x14ac:dyDescent="0.25">
      <c r="B101" s="264" t="s">
        <v>473</v>
      </c>
      <c r="C101" s="467" t="s">
        <v>22</v>
      </c>
      <c r="D101" s="264" t="s">
        <v>137</v>
      </c>
      <c r="E101" s="374">
        <f t="shared" ref="E101:L101" si="33">E169-E34</f>
        <v>764962.6</v>
      </c>
      <c r="F101" s="374">
        <f t="shared" si="33"/>
        <v>564548.80000000005</v>
      </c>
      <c r="G101" s="374"/>
      <c r="H101" s="374"/>
      <c r="I101" s="374"/>
      <c r="J101" s="374"/>
      <c r="K101" s="374"/>
      <c r="L101" s="375"/>
      <c r="M101" s="375"/>
      <c r="N101" s="375"/>
    </row>
    <row r="102" spans="2:14" x14ac:dyDescent="0.25">
      <c r="B102" s="811" t="s">
        <v>474</v>
      </c>
      <c r="C102" s="800" t="s">
        <v>23</v>
      </c>
      <c r="D102" s="484" t="s">
        <v>146</v>
      </c>
      <c r="E102" s="375">
        <f t="shared" ref="E102:L102" si="34">E170-E35</f>
        <v>0</v>
      </c>
      <c r="F102" s="375">
        <f t="shared" si="34"/>
        <v>0</v>
      </c>
      <c r="G102" s="375"/>
      <c r="H102" s="375"/>
      <c r="I102" s="375"/>
      <c r="J102" s="375"/>
      <c r="K102" s="375"/>
      <c r="L102" s="375"/>
      <c r="M102" s="375"/>
      <c r="N102" s="375"/>
    </row>
    <row r="103" spans="2:14" ht="14" customHeight="1" x14ac:dyDescent="0.25">
      <c r="B103" s="812"/>
      <c r="C103" s="801"/>
      <c r="D103" s="255" t="s">
        <v>147</v>
      </c>
      <c r="E103" s="375">
        <f t="shared" ref="E103:L103" si="35">E171-E36</f>
        <v>418486.01</v>
      </c>
      <c r="F103" s="375">
        <f t="shared" si="35"/>
        <v>677557.44</v>
      </c>
      <c r="G103" s="375"/>
      <c r="H103" s="375"/>
      <c r="I103" s="375"/>
      <c r="J103" s="375"/>
      <c r="K103" s="375"/>
      <c r="L103" s="375"/>
      <c r="M103" s="375"/>
      <c r="N103" s="375"/>
    </row>
    <row r="104" spans="2:14" x14ac:dyDescent="0.25">
      <c r="B104" s="812"/>
      <c r="C104" s="467" t="s">
        <v>24</v>
      </c>
      <c r="D104" s="485" t="s">
        <v>20</v>
      </c>
      <c r="E104" s="375">
        <f t="shared" ref="E104:L104" si="36">E172-E37</f>
        <v>241148.14600000001</v>
      </c>
      <c r="F104" s="375">
        <f t="shared" si="36"/>
        <v>295476.96900000004</v>
      </c>
      <c r="G104" s="375"/>
      <c r="H104" s="375"/>
      <c r="I104" s="375"/>
      <c r="J104" s="375"/>
      <c r="K104" s="375"/>
      <c r="L104" s="375"/>
      <c r="M104" s="375"/>
      <c r="N104" s="375"/>
    </row>
    <row r="105" spans="2:14" x14ac:dyDescent="0.25">
      <c r="B105" s="813"/>
      <c r="C105" s="171" t="s">
        <v>25</v>
      </c>
      <c r="D105" s="485" t="s">
        <v>20</v>
      </c>
      <c r="E105" s="375">
        <f t="shared" ref="E105:L105" si="37">E173-E38</f>
        <v>1027.74</v>
      </c>
      <c r="F105" s="375">
        <f t="shared" si="37"/>
        <v>1113.56</v>
      </c>
      <c r="G105" s="375"/>
      <c r="H105" s="375"/>
      <c r="I105" s="375"/>
      <c r="J105" s="375"/>
      <c r="K105" s="375"/>
      <c r="L105" s="375"/>
      <c r="M105" s="375"/>
      <c r="N105" s="375"/>
    </row>
    <row r="106" spans="2:14" x14ac:dyDescent="0.25">
      <c r="B106" s="486" t="s">
        <v>475</v>
      </c>
      <c r="C106" s="467" t="s">
        <v>60</v>
      </c>
      <c r="D106" s="485" t="s">
        <v>20</v>
      </c>
      <c r="E106" s="375">
        <f t="shared" ref="E106:L106" si="38">E174-E39</f>
        <v>0</v>
      </c>
      <c r="F106" s="375">
        <f t="shared" si="38"/>
        <v>0</v>
      </c>
      <c r="G106" s="375"/>
      <c r="H106" s="375"/>
      <c r="I106" s="375"/>
      <c r="J106" s="375"/>
      <c r="K106" s="375"/>
      <c r="L106" s="375"/>
      <c r="M106" s="375"/>
      <c r="N106" s="375"/>
    </row>
    <row r="107" spans="2:14" x14ac:dyDescent="0.25">
      <c r="B107" s="800" t="s">
        <v>476</v>
      </c>
      <c r="C107" s="467" t="s">
        <v>161</v>
      </c>
      <c r="D107" s="485" t="s">
        <v>20</v>
      </c>
      <c r="E107" s="375">
        <f t="shared" ref="E107:L107" si="39">E175-E40</f>
        <v>252052.2</v>
      </c>
      <c r="F107" s="375">
        <f t="shared" si="39"/>
        <v>498233.59999999998</v>
      </c>
      <c r="G107" s="375"/>
      <c r="H107" s="375"/>
      <c r="I107" s="375"/>
      <c r="J107" s="375"/>
      <c r="K107" s="375"/>
      <c r="L107" s="375"/>
      <c r="M107" s="375"/>
      <c r="N107" s="375"/>
    </row>
    <row r="108" spans="2:14" x14ac:dyDescent="0.25">
      <c r="B108" s="810"/>
      <c r="C108" s="470" t="s">
        <v>22</v>
      </c>
      <c r="D108" s="264" t="s">
        <v>162</v>
      </c>
      <c r="E108" s="275">
        <f t="shared" ref="E108:L108" si="40">E176-E41</f>
        <v>289061.59999999998</v>
      </c>
      <c r="F108" s="275">
        <f t="shared" si="40"/>
        <v>1365581.098</v>
      </c>
      <c r="G108" s="275"/>
      <c r="H108" s="275"/>
      <c r="I108" s="275"/>
      <c r="J108" s="275"/>
      <c r="K108" s="275"/>
      <c r="L108" s="275"/>
      <c r="M108" s="275"/>
      <c r="N108" s="275"/>
    </row>
    <row r="109" spans="2:14" x14ac:dyDescent="0.25">
      <c r="B109" s="810"/>
      <c r="C109" s="467" t="s">
        <v>23</v>
      </c>
      <c r="D109" s="487" t="s">
        <v>162</v>
      </c>
      <c r="E109" s="275">
        <f t="shared" ref="E109:L109" si="41">E177-E42</f>
        <v>30989.399999999994</v>
      </c>
      <c r="F109" s="275">
        <f t="shared" si="41"/>
        <v>287033.08199999999</v>
      </c>
      <c r="G109" s="275"/>
      <c r="H109" s="275"/>
      <c r="I109" s="275"/>
      <c r="J109" s="275"/>
      <c r="K109" s="275"/>
      <c r="L109" s="275"/>
      <c r="M109" s="275"/>
      <c r="N109" s="275"/>
    </row>
    <row r="110" spans="2:14" x14ac:dyDescent="0.25">
      <c r="B110" s="810"/>
      <c r="C110" s="467" t="s">
        <v>163</v>
      </c>
      <c r="D110" s="485" t="s">
        <v>20</v>
      </c>
      <c r="E110" s="377">
        <f t="shared" ref="E110:L110" si="42">E178-E43</f>
        <v>72354.400000000009</v>
      </c>
      <c r="F110" s="377">
        <f t="shared" si="42"/>
        <v>288263.47200000001</v>
      </c>
      <c r="G110" s="377"/>
      <c r="H110" s="377"/>
      <c r="I110" s="377"/>
      <c r="J110" s="377"/>
      <c r="K110" s="377"/>
      <c r="L110" s="375"/>
      <c r="M110" s="375"/>
      <c r="N110" s="375"/>
    </row>
    <row r="111" spans="2:14" x14ac:dyDescent="0.25">
      <c r="B111" s="801"/>
      <c r="C111" s="171" t="s">
        <v>25</v>
      </c>
      <c r="D111" s="171" t="s">
        <v>20</v>
      </c>
      <c r="E111" s="376">
        <f t="shared" ref="E111:L111" si="43">E179-E44</f>
        <v>0</v>
      </c>
      <c r="F111" s="376">
        <f t="shared" si="43"/>
        <v>0</v>
      </c>
      <c r="G111" s="376"/>
      <c r="H111" s="376"/>
      <c r="I111" s="376"/>
      <c r="J111" s="376"/>
      <c r="K111" s="376"/>
      <c r="L111" s="275"/>
      <c r="M111" s="275"/>
      <c r="N111" s="275"/>
    </row>
    <row r="112" spans="2:14" x14ac:dyDescent="0.25">
      <c r="B112" s="469" t="s">
        <v>477</v>
      </c>
      <c r="C112" s="264" t="s">
        <v>20</v>
      </c>
      <c r="D112" s="264" t="s">
        <v>20</v>
      </c>
      <c r="E112" s="275">
        <f t="shared" ref="E112:L112" si="44">E180-E45</f>
        <v>0</v>
      </c>
      <c r="F112" s="275">
        <f t="shared" si="44"/>
        <v>0</v>
      </c>
      <c r="G112" s="275"/>
      <c r="H112" s="275"/>
      <c r="I112" s="275"/>
      <c r="J112" s="275"/>
      <c r="K112" s="275"/>
      <c r="L112" s="275"/>
      <c r="M112" s="275"/>
      <c r="N112" s="275"/>
    </row>
    <row r="113" spans="2:14" x14ac:dyDescent="0.25">
      <c r="B113" s="264" t="s">
        <v>478</v>
      </c>
      <c r="C113" s="264" t="s">
        <v>20</v>
      </c>
      <c r="D113" s="264" t="s">
        <v>20</v>
      </c>
      <c r="E113" s="275">
        <f t="shared" ref="E113:N113" si="45">E181-E46</f>
        <v>0</v>
      </c>
      <c r="F113" s="275">
        <f t="shared" si="45"/>
        <v>7</v>
      </c>
      <c r="G113" s="275"/>
      <c r="H113" s="275"/>
      <c r="I113" s="275"/>
      <c r="J113" s="275"/>
      <c r="K113" s="275"/>
      <c r="L113" s="275"/>
      <c r="M113" s="275"/>
      <c r="N113" s="275"/>
    </row>
    <row r="114" spans="2:14" x14ac:dyDescent="0.25">
      <c r="B114" s="264" t="s">
        <v>480</v>
      </c>
      <c r="C114" s="264" t="s">
        <v>20</v>
      </c>
      <c r="D114" s="264" t="s">
        <v>20</v>
      </c>
      <c r="E114" s="275">
        <f t="shared" ref="E114:N114" si="46">E182-E47</f>
        <v>0</v>
      </c>
      <c r="F114" s="275">
        <f t="shared" si="46"/>
        <v>0</v>
      </c>
      <c r="G114" s="275"/>
      <c r="H114" s="275"/>
      <c r="I114" s="275"/>
      <c r="J114" s="275"/>
      <c r="K114" s="275"/>
      <c r="L114" s="275"/>
      <c r="M114" s="275"/>
      <c r="N114" s="275"/>
    </row>
    <row r="115" spans="2:14" x14ac:dyDescent="0.25">
      <c r="B115" s="170" t="s">
        <v>9</v>
      </c>
      <c r="C115" s="264" t="s">
        <v>20</v>
      </c>
      <c r="D115" s="264" t="s">
        <v>20</v>
      </c>
      <c r="E115" s="235">
        <f>SUM(E97:E114)</f>
        <v>8463306.6017708704</v>
      </c>
      <c r="F115" s="235">
        <f t="shared" ref="F115:M115" si="47">SUM(F97:F114)</f>
        <v>10605604.695841189</v>
      </c>
      <c r="G115" s="235"/>
      <c r="H115" s="235"/>
      <c r="I115" s="235"/>
      <c r="J115" s="235"/>
      <c r="K115" s="235"/>
      <c r="L115" s="235"/>
      <c r="M115" s="235"/>
      <c r="N115" s="235"/>
    </row>
    <row r="116" spans="2:14" x14ac:dyDescent="0.25">
      <c r="D116" s="49"/>
      <c r="E116" s="8"/>
      <c r="F116" s="8">
        <f t="shared" ref="F116:N116" si="48">IF(E115=0,"",F115/E115-1)</f>
        <v>0.25312778974852002</v>
      </c>
      <c r="G116" s="8"/>
      <c r="H116" s="8"/>
      <c r="I116" s="8"/>
      <c r="J116" s="8"/>
      <c r="K116" s="8"/>
      <c r="L116" s="8"/>
      <c r="M116" s="8"/>
      <c r="N116" s="8"/>
    </row>
    <row r="117" spans="2:14" ht="13" x14ac:dyDescent="0.3">
      <c r="B117" s="221" t="s">
        <v>53</v>
      </c>
      <c r="C117" s="221" t="str">
        <f>C95</f>
        <v>Rest of World-Cloud segment</v>
      </c>
      <c r="D117" s="4"/>
      <c r="E117" s="283"/>
      <c r="F117" s="283"/>
      <c r="G117" s="283"/>
      <c r="H117" s="283"/>
      <c r="I117" s="283"/>
      <c r="L117" s="222" t="str">
        <f>B117</f>
        <v>ASP ($)</v>
      </c>
      <c r="N117" s="361" t="str">
        <f>C117</f>
        <v>Rest of World-Cloud segment</v>
      </c>
    </row>
    <row r="118" spans="2:14" x14ac:dyDescent="0.25">
      <c r="B118" s="129" t="s">
        <v>10</v>
      </c>
      <c r="C118" s="129" t="s">
        <v>11</v>
      </c>
      <c r="D118" s="123" t="s">
        <v>12</v>
      </c>
      <c r="E118" s="136">
        <v>2016</v>
      </c>
      <c r="F118" s="129">
        <v>2017</v>
      </c>
      <c r="G118" s="129">
        <v>2018</v>
      </c>
      <c r="H118" s="129">
        <v>2019</v>
      </c>
      <c r="I118" s="129">
        <v>2020</v>
      </c>
      <c r="J118" s="129">
        <v>2021</v>
      </c>
      <c r="K118" s="129">
        <v>2022</v>
      </c>
      <c r="L118" s="129">
        <v>2023</v>
      </c>
      <c r="M118" s="129">
        <v>2024</v>
      </c>
      <c r="N118" s="129">
        <v>2025</v>
      </c>
    </row>
    <row r="119" spans="2:14" x14ac:dyDescent="0.25">
      <c r="B119" s="467" t="s">
        <v>469</v>
      </c>
      <c r="C119" s="470" t="str">
        <f>C97</f>
        <v>All</v>
      </c>
      <c r="D119" s="470" t="str">
        <f>D97</f>
        <v>All</v>
      </c>
      <c r="E119" s="294">
        <f t="shared" ref="E119:L134" si="49">E187</f>
        <v>11.313150064475876</v>
      </c>
      <c r="F119" s="294">
        <f t="shared" si="49"/>
        <v>9.7279618337487541</v>
      </c>
      <c r="G119" s="294"/>
      <c r="H119" s="294"/>
      <c r="I119" s="294"/>
      <c r="J119" s="297"/>
      <c r="K119" s="297"/>
      <c r="L119" s="297"/>
      <c r="M119" s="297"/>
      <c r="N119" s="297"/>
    </row>
    <row r="120" spans="2:14" x14ac:dyDescent="0.25">
      <c r="B120" s="467" t="s">
        <v>470</v>
      </c>
      <c r="C120" s="470" t="str">
        <f>C98</f>
        <v>All</v>
      </c>
      <c r="D120" s="470" t="str">
        <f>D98</f>
        <v>All</v>
      </c>
      <c r="E120" s="294">
        <f t="shared" si="49"/>
        <v>24.426532962471157</v>
      </c>
      <c r="F120" s="294">
        <f t="shared" si="49"/>
        <v>19.396784765421103</v>
      </c>
      <c r="G120" s="294"/>
      <c r="H120" s="294"/>
      <c r="I120" s="294"/>
      <c r="J120" s="297"/>
      <c r="K120" s="297"/>
      <c r="L120" s="297"/>
      <c r="M120" s="297"/>
      <c r="N120" s="297"/>
    </row>
    <row r="121" spans="2:14" ht="13" x14ac:dyDescent="0.3">
      <c r="B121" s="467" t="s">
        <v>471</v>
      </c>
      <c r="C121" s="470" t="str">
        <f>C100</f>
        <v>100-300 m</v>
      </c>
      <c r="D121" s="282" t="s">
        <v>154</v>
      </c>
      <c r="E121" s="294">
        <f t="shared" si="49"/>
        <v>0</v>
      </c>
      <c r="F121" s="294">
        <f t="shared" si="49"/>
        <v>0</v>
      </c>
      <c r="G121" s="294"/>
      <c r="H121" s="294"/>
      <c r="I121" s="294"/>
      <c r="J121" s="297"/>
      <c r="K121" s="297"/>
      <c r="L121" s="297"/>
      <c r="M121" s="297"/>
      <c r="N121" s="297"/>
    </row>
    <row r="122" spans="2:14" x14ac:dyDescent="0.25">
      <c r="B122" s="171" t="s">
        <v>472</v>
      </c>
      <c r="C122" s="467" t="s">
        <v>21</v>
      </c>
      <c r="D122" s="171" t="s">
        <v>55</v>
      </c>
      <c r="E122" s="294">
        <f t="shared" si="49"/>
        <v>99.624177253255993</v>
      </c>
      <c r="F122" s="294">
        <f t="shared" si="49"/>
        <v>80.609108343448838</v>
      </c>
      <c r="G122" s="294"/>
      <c r="H122" s="294"/>
      <c r="I122" s="294"/>
      <c r="J122" s="297"/>
      <c r="K122" s="297"/>
      <c r="L122" s="297"/>
      <c r="M122" s="297"/>
      <c r="N122" s="297"/>
    </row>
    <row r="123" spans="2:14" x14ac:dyDescent="0.25">
      <c r="B123" s="264" t="s">
        <v>473</v>
      </c>
      <c r="C123" s="470" t="s">
        <v>22</v>
      </c>
      <c r="D123" s="264" t="s">
        <v>137</v>
      </c>
      <c r="E123" s="294">
        <f t="shared" si="49"/>
        <v>253.19068527507093</v>
      </c>
      <c r="F123" s="294">
        <f t="shared" si="49"/>
        <v>262.79055146339874</v>
      </c>
      <c r="G123" s="294"/>
      <c r="H123" s="294"/>
      <c r="I123" s="294"/>
      <c r="J123" s="297"/>
      <c r="K123" s="297"/>
      <c r="L123" s="297"/>
      <c r="M123" s="297"/>
      <c r="N123" s="297"/>
    </row>
    <row r="124" spans="2:14" x14ac:dyDescent="0.25">
      <c r="B124" s="811" t="s">
        <v>474</v>
      </c>
      <c r="C124" s="805" t="s">
        <v>23</v>
      </c>
      <c r="D124" s="488" t="s">
        <v>146</v>
      </c>
      <c r="E124" s="294">
        <f t="shared" si="49"/>
        <v>0</v>
      </c>
      <c r="F124" s="294">
        <f t="shared" si="49"/>
        <v>0</v>
      </c>
      <c r="G124" s="294"/>
      <c r="H124" s="294"/>
      <c r="I124" s="294"/>
      <c r="J124" s="297"/>
      <c r="K124" s="297"/>
      <c r="L124" s="297"/>
      <c r="M124" s="297"/>
      <c r="N124" s="297"/>
    </row>
    <row r="125" spans="2:14" ht="14" customHeight="1" x14ac:dyDescent="0.25">
      <c r="B125" s="812"/>
      <c r="C125" s="806"/>
      <c r="D125" s="255" t="s">
        <v>147</v>
      </c>
      <c r="E125" s="294">
        <f t="shared" si="49"/>
        <v>377.60055209491952</v>
      </c>
      <c r="F125" s="294">
        <f t="shared" si="49"/>
        <v>343.5254726908467</v>
      </c>
      <c r="G125" s="294"/>
      <c r="H125" s="294"/>
      <c r="I125" s="294"/>
      <c r="J125" s="297"/>
      <c r="K125" s="297"/>
      <c r="L125" s="297"/>
      <c r="M125" s="297"/>
      <c r="N125" s="297"/>
    </row>
    <row r="126" spans="2:14" x14ac:dyDescent="0.25">
      <c r="B126" s="812"/>
      <c r="C126" s="470" t="s">
        <v>24</v>
      </c>
      <c r="D126" s="485" t="s">
        <v>20</v>
      </c>
      <c r="E126" s="294">
        <f t="shared" si="49"/>
        <v>428.67602419686165</v>
      </c>
      <c r="F126" s="294">
        <f t="shared" si="49"/>
        <v>401.76456705736007</v>
      </c>
      <c r="G126" s="294"/>
      <c r="H126" s="294"/>
      <c r="I126" s="294"/>
      <c r="J126" s="297"/>
      <c r="K126" s="297"/>
      <c r="L126" s="297"/>
      <c r="M126" s="297"/>
      <c r="N126" s="297"/>
    </row>
    <row r="127" spans="2:14" x14ac:dyDescent="0.25">
      <c r="B127" s="813"/>
      <c r="C127" s="170" t="s">
        <v>25</v>
      </c>
      <c r="D127" s="264" t="str">
        <f t="shared" ref="D127:D134" si="50">D105</f>
        <v>All</v>
      </c>
      <c r="E127" s="294">
        <f t="shared" si="49"/>
        <v>1673.0572324239708</v>
      </c>
      <c r="F127" s="294">
        <f t="shared" si="49"/>
        <v>1459.2330281290015</v>
      </c>
      <c r="G127" s="294"/>
      <c r="H127" s="294"/>
      <c r="I127" s="294"/>
      <c r="J127" s="297"/>
      <c r="K127" s="297"/>
      <c r="L127" s="297"/>
      <c r="M127" s="297"/>
      <c r="N127" s="297"/>
    </row>
    <row r="128" spans="2:14" x14ac:dyDescent="0.25">
      <c r="B128" s="486" t="str">
        <f>B106</f>
        <v>50 G</v>
      </c>
      <c r="C128" s="470" t="str">
        <f>C106</f>
        <v>all</v>
      </c>
      <c r="D128" s="264" t="str">
        <f t="shared" si="50"/>
        <v>All</v>
      </c>
      <c r="E128" s="294">
        <f t="shared" si="49"/>
        <v>0</v>
      </c>
      <c r="F128" s="294">
        <f t="shared" si="49"/>
        <v>0</v>
      </c>
      <c r="G128" s="294"/>
      <c r="H128" s="294"/>
      <c r="I128" s="294"/>
      <c r="J128" s="297"/>
      <c r="K128" s="297"/>
      <c r="L128" s="297"/>
      <c r="M128" s="297"/>
      <c r="N128" s="297"/>
    </row>
    <row r="129" spans="2:14" x14ac:dyDescent="0.25">
      <c r="B129" s="800" t="str">
        <f>B107</f>
        <v>100 G</v>
      </c>
      <c r="C129" s="467" t="str">
        <f>C107</f>
        <v>100-300 m</v>
      </c>
      <c r="D129" s="264" t="str">
        <f t="shared" si="50"/>
        <v>All</v>
      </c>
      <c r="E129" s="294">
        <f t="shared" si="49"/>
        <v>258.09426618771823</v>
      </c>
      <c r="F129" s="294">
        <f t="shared" si="49"/>
        <v>182.02277386466108</v>
      </c>
      <c r="G129" s="294"/>
      <c r="H129" s="294"/>
      <c r="I129" s="294"/>
      <c r="J129" s="297"/>
      <c r="K129" s="297"/>
      <c r="L129" s="297"/>
      <c r="M129" s="297"/>
      <c r="N129" s="297"/>
    </row>
    <row r="130" spans="2:14" x14ac:dyDescent="0.25">
      <c r="B130" s="810"/>
      <c r="C130" s="467" t="s">
        <v>22</v>
      </c>
      <c r="D130" s="264" t="str">
        <f t="shared" si="50"/>
        <v>QSFP28</v>
      </c>
      <c r="E130" s="294">
        <f t="shared" si="49"/>
        <v>425.16634945630972</v>
      </c>
      <c r="F130" s="294">
        <f t="shared" si="49"/>
        <v>334.15581081805504</v>
      </c>
      <c r="G130" s="294"/>
      <c r="H130" s="294"/>
      <c r="I130" s="294"/>
      <c r="J130" s="297"/>
      <c r="K130" s="297"/>
      <c r="L130" s="297"/>
      <c r="M130" s="297"/>
      <c r="N130" s="297"/>
    </row>
    <row r="131" spans="2:14" x14ac:dyDescent="0.25">
      <c r="B131" s="810"/>
      <c r="C131" s="470" t="str">
        <f>C109</f>
        <v>2 km</v>
      </c>
      <c r="D131" s="487" t="str">
        <f t="shared" si="50"/>
        <v>QSFP28</v>
      </c>
      <c r="E131" s="294">
        <f t="shared" si="49"/>
        <v>825</v>
      </c>
      <c r="F131" s="294">
        <f t="shared" si="49"/>
        <v>650</v>
      </c>
      <c r="G131" s="294"/>
      <c r="H131" s="294"/>
      <c r="I131" s="294"/>
      <c r="J131" s="297"/>
      <c r="K131" s="297"/>
      <c r="L131" s="297"/>
      <c r="M131" s="297"/>
      <c r="N131" s="297"/>
    </row>
    <row r="132" spans="2:14" x14ac:dyDescent="0.25">
      <c r="B132" s="810"/>
      <c r="C132" s="470" t="str">
        <f>C110</f>
        <v>10-20 km</v>
      </c>
      <c r="D132" s="468" t="str">
        <f t="shared" si="50"/>
        <v>All</v>
      </c>
      <c r="E132" s="294">
        <f t="shared" si="49"/>
        <v>1938.1501024552808</v>
      </c>
      <c r="F132" s="294">
        <f t="shared" si="49"/>
        <v>1103.6194221652891</v>
      </c>
      <c r="G132" s="294"/>
      <c r="H132" s="294"/>
      <c r="I132" s="294"/>
      <c r="J132" s="297"/>
      <c r="K132" s="297"/>
      <c r="L132" s="297"/>
      <c r="M132" s="297"/>
      <c r="N132" s="297"/>
    </row>
    <row r="133" spans="2:14" x14ac:dyDescent="0.25">
      <c r="B133" s="801"/>
      <c r="C133" s="170" t="str">
        <f>C111</f>
        <v>40 km</v>
      </c>
      <c r="D133" s="171" t="str">
        <f t="shared" si="50"/>
        <v>All</v>
      </c>
      <c r="E133" s="294">
        <f t="shared" si="49"/>
        <v>0</v>
      </c>
      <c r="F133" s="294">
        <f t="shared" si="49"/>
        <v>0</v>
      </c>
      <c r="G133" s="294"/>
      <c r="H133" s="294"/>
      <c r="I133" s="294"/>
      <c r="J133" s="297"/>
      <c r="K133" s="297"/>
      <c r="L133" s="297"/>
      <c r="M133" s="297"/>
      <c r="N133" s="297"/>
    </row>
    <row r="134" spans="2:14" x14ac:dyDescent="0.25">
      <c r="B134" s="471" t="str">
        <f>B112</f>
        <v>200 G</v>
      </c>
      <c r="C134" s="264" t="str">
        <f>C112</f>
        <v>All</v>
      </c>
      <c r="D134" s="264" t="str">
        <f t="shared" si="50"/>
        <v>All</v>
      </c>
      <c r="E134" s="294">
        <f t="shared" si="49"/>
        <v>0</v>
      </c>
      <c r="F134" s="294">
        <f t="shared" si="49"/>
        <v>0</v>
      </c>
      <c r="G134" s="294"/>
      <c r="H134" s="294"/>
      <c r="I134" s="294"/>
      <c r="J134" s="296"/>
      <c r="K134" s="296"/>
      <c r="L134" s="296"/>
      <c r="M134" s="296"/>
      <c r="N134" s="296"/>
    </row>
    <row r="135" spans="2:14" x14ac:dyDescent="0.25">
      <c r="B135" s="471" t="s">
        <v>478</v>
      </c>
      <c r="C135" s="264" t="s">
        <v>20</v>
      </c>
      <c r="D135" s="264" t="s">
        <v>20</v>
      </c>
      <c r="E135" s="295">
        <f t="shared" ref="E135:L136" si="51">E203</f>
        <v>0</v>
      </c>
      <c r="F135" s="295">
        <f t="shared" si="51"/>
        <v>11614.285714285714</v>
      </c>
      <c r="G135" s="295"/>
      <c r="H135" s="295"/>
      <c r="I135" s="295"/>
      <c r="J135" s="296"/>
      <c r="K135" s="296"/>
      <c r="L135" s="296"/>
      <c r="M135" s="296"/>
      <c r="N135" s="296"/>
    </row>
    <row r="136" spans="2:14" x14ac:dyDescent="0.25">
      <c r="B136" s="471" t="s">
        <v>480</v>
      </c>
      <c r="C136" s="264" t="s">
        <v>20</v>
      </c>
      <c r="D136" s="264" t="s">
        <v>20</v>
      </c>
      <c r="E136" s="295">
        <f t="shared" si="51"/>
        <v>0</v>
      </c>
      <c r="F136" s="295">
        <f t="shared" si="51"/>
        <v>0</v>
      </c>
      <c r="G136" s="295"/>
      <c r="H136" s="295"/>
      <c r="I136" s="295"/>
      <c r="J136" s="296"/>
      <c r="K136" s="296"/>
      <c r="L136" s="296"/>
      <c r="M136" s="296"/>
      <c r="N136" s="296"/>
    </row>
    <row r="137" spans="2:14" x14ac:dyDescent="0.25">
      <c r="D137" s="49"/>
      <c r="E137" s="2"/>
      <c r="F137" s="2"/>
      <c r="G137" s="2"/>
      <c r="H137" s="2"/>
      <c r="I137" s="2"/>
      <c r="J137" s="2"/>
      <c r="K137" s="2"/>
      <c r="L137" s="2"/>
      <c r="M137" s="2"/>
      <c r="N137" s="2"/>
    </row>
    <row r="138" spans="2:14" ht="14.5" x14ac:dyDescent="0.35">
      <c r="B138" s="221" t="s">
        <v>1</v>
      </c>
      <c r="C138" s="221" t="str">
        <f>C117</f>
        <v>Rest of World-Cloud segment</v>
      </c>
      <c r="D138" s="4"/>
      <c r="E138" s="575" t="str">
        <f>E95</f>
        <v>this table is calculated as the difference between Global (below) and China (above)</v>
      </c>
      <c r="L138" s="222" t="str">
        <f>B138</f>
        <v>Sales ($M)</v>
      </c>
      <c r="N138" s="361" t="str">
        <f>C138</f>
        <v>Rest of World-Cloud segment</v>
      </c>
    </row>
    <row r="139" spans="2:14" x14ac:dyDescent="0.25">
      <c r="B139" s="7" t="s">
        <v>10</v>
      </c>
      <c r="C139" s="7" t="s">
        <v>11</v>
      </c>
      <c r="D139" s="1" t="s">
        <v>12</v>
      </c>
      <c r="E139" s="129">
        <v>2016</v>
      </c>
      <c r="F139" s="129">
        <v>2017</v>
      </c>
      <c r="G139" s="129">
        <v>2018</v>
      </c>
      <c r="H139" s="129">
        <v>2019</v>
      </c>
      <c r="I139" s="129">
        <v>2020</v>
      </c>
      <c r="J139" s="129">
        <v>2021</v>
      </c>
      <c r="K139" s="129">
        <v>2022</v>
      </c>
      <c r="L139" s="129">
        <v>2023</v>
      </c>
      <c r="M139" s="129">
        <v>2024</v>
      </c>
      <c r="N139" s="129">
        <v>2025</v>
      </c>
    </row>
    <row r="140" spans="2:14" x14ac:dyDescent="0.25">
      <c r="B140" s="467" t="s">
        <v>469</v>
      </c>
      <c r="C140" s="470" t="str">
        <f>C97</f>
        <v>All</v>
      </c>
      <c r="D140" s="470" t="str">
        <f>D97</f>
        <v>All</v>
      </c>
      <c r="E140" s="294">
        <f t="shared" ref="E140:L140" si="52">E119*E97/10^6</f>
        <v>2.790806129849817</v>
      </c>
      <c r="F140" s="294">
        <f t="shared" si="52"/>
        <v>1.3972483884852394</v>
      </c>
      <c r="G140" s="294"/>
      <c r="H140" s="294"/>
      <c r="I140" s="294"/>
      <c r="J140" s="294"/>
      <c r="K140" s="294"/>
      <c r="L140" s="297"/>
      <c r="M140" s="297"/>
      <c r="N140" s="297"/>
    </row>
    <row r="141" spans="2:14" x14ac:dyDescent="0.25">
      <c r="B141" s="467" t="s">
        <v>479</v>
      </c>
      <c r="C141" s="167" t="str">
        <f>C98</f>
        <v>All</v>
      </c>
      <c r="D141" s="167" t="str">
        <f>D98</f>
        <v>All</v>
      </c>
      <c r="E141" s="294">
        <f t="shared" ref="E141:L150" si="53">E120*E98/10^6</f>
        <v>137.78732145435711</v>
      </c>
      <c r="F141" s="294">
        <f t="shared" si="53"/>
        <v>112.68061039975184</v>
      </c>
      <c r="G141" s="294"/>
      <c r="H141" s="294"/>
      <c r="I141" s="294"/>
      <c r="J141" s="294"/>
      <c r="K141" s="294"/>
      <c r="L141" s="297"/>
      <c r="M141" s="297"/>
      <c r="N141" s="297"/>
    </row>
    <row r="142" spans="2:14" ht="13" x14ac:dyDescent="0.3">
      <c r="B142" s="264" t="s">
        <v>471</v>
      </c>
      <c r="C142" s="470" t="s">
        <v>20</v>
      </c>
      <c r="D142" s="282" t="s">
        <v>154</v>
      </c>
      <c r="E142" s="294">
        <f t="shared" si="53"/>
        <v>0</v>
      </c>
      <c r="F142" s="294">
        <f t="shared" si="53"/>
        <v>0</v>
      </c>
      <c r="G142" s="294"/>
      <c r="H142" s="294"/>
      <c r="I142" s="294"/>
      <c r="J142" s="294"/>
      <c r="K142" s="294"/>
      <c r="L142" s="297"/>
      <c r="M142" s="297"/>
      <c r="N142" s="297"/>
    </row>
    <row r="143" spans="2:14" x14ac:dyDescent="0.25">
      <c r="B143" s="171" t="s">
        <v>472</v>
      </c>
      <c r="C143" s="467" t="str">
        <f>C121</f>
        <v>100-300 m</v>
      </c>
      <c r="D143" s="171" t="s">
        <v>137</v>
      </c>
      <c r="E143" s="294">
        <f t="shared" si="53"/>
        <v>50.374986149186121</v>
      </c>
      <c r="F143" s="294">
        <f t="shared" si="53"/>
        <v>54.404362336173961</v>
      </c>
      <c r="G143" s="294"/>
      <c r="H143" s="294"/>
      <c r="I143" s="294"/>
      <c r="J143" s="294"/>
      <c r="K143" s="294"/>
      <c r="L143" s="297"/>
      <c r="M143" s="297"/>
      <c r="N143" s="297"/>
    </row>
    <row r="144" spans="2:14" x14ac:dyDescent="0.25">
      <c r="B144" s="264" t="s">
        <v>473</v>
      </c>
      <c r="C144" s="470" t="s">
        <v>22</v>
      </c>
      <c r="D144" s="264" t="s">
        <v>137</v>
      </c>
      <c r="E144" s="294">
        <f t="shared" si="53"/>
        <v>193.68140490379997</v>
      </c>
      <c r="F144" s="294">
        <f t="shared" si="53"/>
        <v>148.35809048000002</v>
      </c>
      <c r="G144" s="294"/>
      <c r="H144" s="294"/>
      <c r="I144" s="294"/>
      <c r="J144" s="294"/>
      <c r="K144" s="294"/>
      <c r="L144" s="297"/>
      <c r="M144" s="297"/>
      <c r="N144" s="297"/>
    </row>
    <row r="145" spans="2:14" x14ac:dyDescent="0.25">
      <c r="B145" s="811" t="s">
        <v>474</v>
      </c>
      <c r="C145" s="805" t="s">
        <v>23</v>
      </c>
      <c r="D145" s="484" t="s">
        <v>146</v>
      </c>
      <c r="E145" s="294">
        <f t="shared" si="53"/>
        <v>0</v>
      </c>
      <c r="F145" s="294">
        <f t="shared" si="53"/>
        <v>0</v>
      </c>
      <c r="G145" s="294"/>
      <c r="H145" s="294"/>
      <c r="I145" s="294"/>
      <c r="J145" s="294"/>
      <c r="K145" s="294"/>
      <c r="L145" s="297"/>
      <c r="M145" s="297"/>
      <c r="N145" s="297"/>
    </row>
    <row r="146" spans="2:14" ht="15" customHeight="1" x14ac:dyDescent="0.25">
      <c r="B146" s="812"/>
      <c r="C146" s="806"/>
      <c r="D146" s="255" t="s">
        <v>147</v>
      </c>
      <c r="E146" s="294">
        <f t="shared" si="53"/>
        <v>158.02054842000001</v>
      </c>
      <c r="F146" s="294">
        <f t="shared" si="53"/>
        <v>232.75823985119999</v>
      </c>
      <c r="G146" s="294"/>
      <c r="H146" s="294"/>
      <c r="I146" s="294"/>
      <c r="J146" s="294"/>
      <c r="K146" s="294"/>
      <c r="L146" s="297"/>
      <c r="M146" s="297"/>
      <c r="N146" s="297"/>
    </row>
    <row r="147" spans="2:14" x14ac:dyDescent="0.25">
      <c r="B147" s="812"/>
      <c r="C147" s="470" t="s">
        <v>24</v>
      </c>
      <c r="D147" s="467" t="str">
        <f t="shared" ref="D147:D157" si="54">D104</f>
        <v>All</v>
      </c>
      <c r="E147" s="294">
        <f t="shared" si="53"/>
        <v>103.37442846972432</v>
      </c>
      <c r="F147" s="294">
        <f t="shared" si="53"/>
        <v>118.71217652570603</v>
      </c>
      <c r="G147" s="294"/>
      <c r="H147" s="294"/>
      <c r="I147" s="294"/>
      <c r="J147" s="294"/>
      <c r="K147" s="294"/>
      <c r="L147" s="297"/>
      <c r="M147" s="297"/>
      <c r="N147" s="297"/>
    </row>
    <row r="148" spans="2:14" x14ac:dyDescent="0.25">
      <c r="B148" s="813"/>
      <c r="C148" s="170" t="s">
        <v>25</v>
      </c>
      <c r="D148" s="467" t="str">
        <f t="shared" si="54"/>
        <v>All</v>
      </c>
      <c r="E148" s="294">
        <f t="shared" si="53"/>
        <v>1.7194678400514118</v>
      </c>
      <c r="F148" s="294">
        <f t="shared" si="53"/>
        <v>1.6249435308033306</v>
      </c>
      <c r="G148" s="294"/>
      <c r="H148" s="294"/>
      <c r="I148" s="294"/>
      <c r="J148" s="294"/>
      <c r="K148" s="294"/>
      <c r="L148" s="297"/>
      <c r="M148" s="297"/>
      <c r="N148" s="297"/>
    </row>
    <row r="149" spans="2:14" x14ac:dyDescent="0.25">
      <c r="B149" s="486" t="str">
        <f>B106</f>
        <v>50 G</v>
      </c>
      <c r="C149" s="470" t="str">
        <f>C106</f>
        <v>all</v>
      </c>
      <c r="D149" s="467" t="str">
        <f t="shared" si="54"/>
        <v>All</v>
      </c>
      <c r="E149" s="294">
        <f t="shared" si="53"/>
        <v>0</v>
      </c>
      <c r="F149" s="294">
        <f t="shared" si="53"/>
        <v>0</v>
      </c>
      <c r="G149" s="294"/>
      <c r="H149" s="294"/>
      <c r="I149" s="294"/>
      <c r="J149" s="294"/>
      <c r="K149" s="294"/>
      <c r="L149" s="297"/>
      <c r="M149" s="297"/>
      <c r="N149" s="297"/>
    </row>
    <row r="150" spans="2:14" x14ac:dyDescent="0.25">
      <c r="B150" s="800" t="str">
        <f>B107</f>
        <v>100 G</v>
      </c>
      <c r="C150" s="467" t="str">
        <f>C107</f>
        <v>100-300 m</v>
      </c>
      <c r="D150" s="467" t="str">
        <f t="shared" si="54"/>
        <v>All</v>
      </c>
      <c r="E150" s="294">
        <f t="shared" si="53"/>
        <v>65.0532276</v>
      </c>
      <c r="F150" s="294">
        <f t="shared" si="53"/>
        <v>90.689861904576006</v>
      </c>
      <c r="G150" s="294"/>
      <c r="H150" s="294"/>
      <c r="I150" s="294"/>
      <c r="J150" s="294"/>
      <c r="K150" s="294"/>
      <c r="L150" s="297"/>
      <c r="M150" s="297"/>
      <c r="N150" s="297"/>
    </row>
    <row r="151" spans="2:14" x14ac:dyDescent="0.25">
      <c r="B151" s="810"/>
      <c r="C151" s="470" t="str">
        <f t="shared" ref="C151:C157" si="55">C108</f>
        <v>500 m</v>
      </c>
      <c r="D151" s="255" t="str">
        <f t="shared" si="54"/>
        <v>QSFP28</v>
      </c>
      <c r="E151" s="294">
        <f t="shared" ref="E151:L157" si="56">E130*E108/10^6</f>
        <v>122.89926524000001</v>
      </c>
      <c r="F151" s="294">
        <f t="shared" si="56"/>
        <v>456.31685903999988</v>
      </c>
      <c r="G151" s="294"/>
      <c r="H151" s="294"/>
      <c r="I151" s="294"/>
      <c r="J151" s="294"/>
      <c r="K151" s="294"/>
      <c r="L151" s="297"/>
      <c r="M151" s="297"/>
      <c r="N151" s="297"/>
    </row>
    <row r="152" spans="2:14" x14ac:dyDescent="0.25">
      <c r="B152" s="810"/>
      <c r="C152" s="470" t="str">
        <f t="shared" si="55"/>
        <v>2 km</v>
      </c>
      <c r="D152" s="487" t="str">
        <f t="shared" si="54"/>
        <v>QSFP28</v>
      </c>
      <c r="E152" s="294">
        <f t="shared" si="56"/>
        <v>25.566254999999995</v>
      </c>
      <c r="F152" s="294">
        <f t="shared" si="56"/>
        <v>186.57150329999999</v>
      </c>
      <c r="G152" s="294"/>
      <c r="H152" s="294"/>
      <c r="I152" s="294"/>
      <c r="J152" s="294"/>
      <c r="K152" s="294"/>
      <c r="L152" s="297"/>
      <c r="M152" s="297"/>
      <c r="N152" s="297"/>
    </row>
    <row r="153" spans="2:14" x14ac:dyDescent="0.25">
      <c r="B153" s="810"/>
      <c r="C153" s="470" t="str">
        <f t="shared" si="55"/>
        <v>10-20 km</v>
      </c>
      <c r="D153" s="468" t="str">
        <f t="shared" si="54"/>
        <v>All</v>
      </c>
      <c r="E153" s="294">
        <f t="shared" si="56"/>
        <v>140.2336877730904</v>
      </c>
      <c r="F153" s="294">
        <f t="shared" si="56"/>
        <v>318.13316639999999</v>
      </c>
      <c r="G153" s="294"/>
      <c r="H153" s="294"/>
      <c r="I153" s="294"/>
      <c r="J153" s="294"/>
      <c r="K153" s="294"/>
      <c r="L153" s="297"/>
      <c r="M153" s="297"/>
      <c r="N153" s="297"/>
    </row>
    <row r="154" spans="2:14" x14ac:dyDescent="0.25">
      <c r="B154" s="801"/>
      <c r="C154" s="170" t="str">
        <f t="shared" si="55"/>
        <v>40 km</v>
      </c>
      <c r="D154" s="171" t="str">
        <f t="shared" si="54"/>
        <v>All</v>
      </c>
      <c r="E154" s="294">
        <f t="shared" si="56"/>
        <v>0</v>
      </c>
      <c r="F154" s="294">
        <f t="shared" si="56"/>
        <v>0</v>
      </c>
      <c r="G154" s="294"/>
      <c r="H154" s="294"/>
      <c r="I154" s="294"/>
      <c r="J154" s="294"/>
      <c r="K154" s="294"/>
      <c r="L154" s="297"/>
      <c r="M154" s="297"/>
      <c r="N154" s="297"/>
    </row>
    <row r="155" spans="2:14" x14ac:dyDescent="0.25">
      <c r="B155" s="471" t="str">
        <f>B112</f>
        <v>200 G</v>
      </c>
      <c r="C155" s="264" t="str">
        <f t="shared" si="55"/>
        <v>All</v>
      </c>
      <c r="D155" s="264" t="str">
        <f t="shared" si="54"/>
        <v>All</v>
      </c>
      <c r="E155" s="294">
        <f t="shared" si="56"/>
        <v>0</v>
      </c>
      <c r="F155" s="294">
        <f t="shared" si="56"/>
        <v>0</v>
      </c>
      <c r="G155" s="294"/>
      <c r="H155" s="294"/>
      <c r="I155" s="294"/>
      <c r="J155" s="294"/>
      <c r="K155" s="294"/>
      <c r="L155" s="297"/>
      <c r="M155" s="297"/>
      <c r="N155" s="297"/>
    </row>
    <row r="156" spans="2:14" x14ac:dyDescent="0.25">
      <c r="B156" s="471" t="s">
        <v>478</v>
      </c>
      <c r="C156" s="264" t="str">
        <f t="shared" si="55"/>
        <v>All</v>
      </c>
      <c r="D156" s="264" t="str">
        <f t="shared" si="54"/>
        <v>All</v>
      </c>
      <c r="E156" s="294">
        <f t="shared" si="56"/>
        <v>0</v>
      </c>
      <c r="F156" s="294">
        <f t="shared" si="56"/>
        <v>8.1299999999999997E-2</v>
      </c>
      <c r="G156" s="294"/>
      <c r="H156" s="294"/>
      <c r="I156" s="294"/>
      <c r="J156" s="294"/>
      <c r="K156" s="294"/>
      <c r="L156" s="297"/>
      <c r="M156" s="297"/>
      <c r="N156" s="297"/>
    </row>
    <row r="157" spans="2:14" x14ac:dyDescent="0.25">
      <c r="B157" s="471" t="s">
        <v>480</v>
      </c>
      <c r="C157" s="264" t="str">
        <f t="shared" si="55"/>
        <v>All</v>
      </c>
      <c r="D157" s="264" t="str">
        <f t="shared" si="54"/>
        <v>All</v>
      </c>
      <c r="E157" s="294">
        <f t="shared" si="56"/>
        <v>0</v>
      </c>
      <c r="F157" s="294">
        <f t="shared" si="56"/>
        <v>0</v>
      </c>
      <c r="G157" s="294"/>
      <c r="H157" s="294"/>
      <c r="I157" s="294"/>
      <c r="J157" s="294"/>
      <c r="K157" s="294"/>
      <c r="L157" s="297"/>
      <c r="M157" s="297"/>
      <c r="N157" s="297"/>
    </row>
    <row r="158" spans="2:14" x14ac:dyDescent="0.25">
      <c r="B158" s="170" t="s">
        <v>9</v>
      </c>
      <c r="C158" s="264" t="str">
        <f>C115</f>
        <v>All</v>
      </c>
      <c r="D158" s="264" t="str">
        <f>D115</f>
        <v>All</v>
      </c>
      <c r="E158" s="290">
        <f t="shared" ref="E158:N158" si="57">SUM(E140:E157)</f>
        <v>1001.5013989800591</v>
      </c>
      <c r="F158" s="290">
        <f t="shared" si="57"/>
        <v>1721.7283621566962</v>
      </c>
      <c r="G158" s="290"/>
      <c r="H158" s="290"/>
      <c r="I158" s="290"/>
      <c r="J158" s="290"/>
      <c r="K158" s="290"/>
      <c r="L158" s="290"/>
      <c r="M158" s="290"/>
      <c r="N158" s="258"/>
    </row>
    <row r="159" spans="2:14" x14ac:dyDescent="0.25">
      <c r="E159" s="8"/>
      <c r="F159" s="8">
        <f t="shared" ref="F159:N159" si="58">IF(E158=0,"",F158/E158-1)</f>
        <v>0.71914723624961963</v>
      </c>
      <c r="G159" s="8"/>
      <c r="H159" s="8"/>
      <c r="I159" s="8"/>
      <c r="J159" s="8"/>
      <c r="K159" s="8"/>
      <c r="L159" s="8"/>
      <c r="M159" s="8"/>
      <c r="N159" s="8"/>
    </row>
    <row r="160" spans="2:14" x14ac:dyDescent="0.25">
      <c r="E160" s="397"/>
      <c r="F160" s="397"/>
      <c r="G160" s="397"/>
      <c r="H160" s="397"/>
      <c r="I160" s="397"/>
      <c r="J160" s="397"/>
      <c r="K160" s="397"/>
      <c r="L160" s="397"/>
      <c r="M160" s="564"/>
      <c r="N160" s="665"/>
    </row>
    <row r="161" spans="2:14" x14ac:dyDescent="0.25">
      <c r="B161" s="489"/>
      <c r="C161" s="489"/>
      <c r="D161" s="489"/>
      <c r="E161" s="445"/>
      <c r="F161" s="445"/>
      <c r="G161" s="445"/>
      <c r="H161" s="445"/>
      <c r="I161" s="445"/>
      <c r="J161" s="445"/>
      <c r="K161" s="445"/>
      <c r="L161" s="445"/>
      <c r="M161" s="445"/>
      <c r="N161" s="445"/>
    </row>
    <row r="163" spans="2:14" ht="15.5" x14ac:dyDescent="0.35">
      <c r="B163" s="221" t="s">
        <v>0</v>
      </c>
      <c r="C163" s="479" t="s">
        <v>236</v>
      </c>
      <c r="D163" s="4"/>
      <c r="G163" s="371"/>
      <c r="L163" s="222" t="str">
        <f>B163</f>
        <v>Units</v>
      </c>
      <c r="N163" s="361" t="str">
        <f>C163</f>
        <v>Global-Cloud segment</v>
      </c>
    </row>
    <row r="164" spans="2:14" x14ac:dyDescent="0.25">
      <c r="B164" s="7" t="s">
        <v>10</v>
      </c>
      <c r="C164" s="7" t="s">
        <v>11</v>
      </c>
      <c r="D164" s="1" t="s">
        <v>12</v>
      </c>
      <c r="E164" s="39">
        <v>2016</v>
      </c>
      <c r="F164" s="7">
        <v>2017</v>
      </c>
      <c r="G164" s="7">
        <v>2018</v>
      </c>
      <c r="H164" s="7">
        <v>2019</v>
      </c>
      <c r="I164" s="7">
        <v>2020</v>
      </c>
      <c r="J164" s="7">
        <v>2021</v>
      </c>
      <c r="K164" s="7">
        <v>2022</v>
      </c>
      <c r="L164" s="7">
        <v>2023</v>
      </c>
      <c r="M164" s="7">
        <v>2024</v>
      </c>
      <c r="N164" s="7">
        <v>2025</v>
      </c>
    </row>
    <row r="165" spans="2:14" x14ac:dyDescent="0.25">
      <c r="B165" s="467" t="s">
        <v>469</v>
      </c>
      <c r="C165" s="470" t="s">
        <v>20</v>
      </c>
      <c r="D165" s="264" t="s">
        <v>20</v>
      </c>
      <c r="E165" s="693">
        <v>419674.79400000005</v>
      </c>
      <c r="F165" s="693">
        <v>256486.04</v>
      </c>
      <c r="G165" s="693"/>
      <c r="H165" s="693"/>
      <c r="I165" s="693"/>
      <c r="J165" s="693"/>
      <c r="K165" s="693"/>
      <c r="L165" s="693"/>
      <c r="M165" s="693"/>
      <c r="N165" s="694"/>
    </row>
    <row r="166" spans="2:14" x14ac:dyDescent="0.25">
      <c r="B166" s="467" t="s">
        <v>470</v>
      </c>
      <c r="C166" s="470" t="s">
        <v>20</v>
      </c>
      <c r="D166" s="264" t="s">
        <v>20</v>
      </c>
      <c r="E166" s="693">
        <v>7231906.8937198631</v>
      </c>
      <c r="F166" s="693">
        <v>7643739.044659459</v>
      </c>
      <c r="G166" s="693"/>
      <c r="H166" s="693"/>
      <c r="I166" s="693"/>
      <c r="J166" s="693"/>
      <c r="K166" s="693"/>
      <c r="L166" s="693"/>
      <c r="M166" s="693"/>
      <c r="N166" s="694"/>
    </row>
    <row r="167" spans="2:14" ht="13" x14ac:dyDescent="0.3">
      <c r="B167" s="467" t="s">
        <v>471</v>
      </c>
      <c r="C167" s="470" t="s">
        <v>20</v>
      </c>
      <c r="D167" s="282" t="s">
        <v>154</v>
      </c>
      <c r="E167" s="694">
        <v>0</v>
      </c>
      <c r="F167" s="694">
        <v>0</v>
      </c>
      <c r="G167" s="694"/>
      <c r="H167" s="694"/>
      <c r="I167" s="694"/>
      <c r="J167" s="694"/>
      <c r="K167" s="694"/>
      <c r="L167" s="694"/>
      <c r="M167" s="694"/>
      <c r="N167" s="694"/>
    </row>
    <row r="168" spans="2:14" x14ac:dyDescent="0.25">
      <c r="B168" s="171" t="s">
        <v>472</v>
      </c>
      <c r="C168" s="321" t="s">
        <v>161</v>
      </c>
      <c r="D168" s="171" t="s">
        <v>137</v>
      </c>
      <c r="E168" s="695">
        <v>777923.4</v>
      </c>
      <c r="F168" s="695">
        <v>1071294.95</v>
      </c>
      <c r="G168" s="695"/>
      <c r="H168" s="695"/>
      <c r="I168" s="695"/>
      <c r="J168" s="695"/>
      <c r="K168" s="695"/>
      <c r="L168" s="695"/>
      <c r="M168" s="695"/>
      <c r="N168" s="696"/>
    </row>
    <row r="169" spans="2:14" x14ac:dyDescent="0.25">
      <c r="B169" s="264" t="s">
        <v>473</v>
      </c>
      <c r="C169" s="467" t="s">
        <v>22</v>
      </c>
      <c r="D169" s="264" t="s">
        <v>137</v>
      </c>
      <c r="E169" s="693">
        <v>813790</v>
      </c>
      <c r="F169" s="693">
        <v>613640</v>
      </c>
      <c r="G169" s="693"/>
      <c r="H169" s="693"/>
      <c r="I169" s="693"/>
      <c r="J169" s="693"/>
      <c r="K169" s="693"/>
      <c r="L169" s="693"/>
      <c r="M169" s="693"/>
      <c r="N169" s="694"/>
    </row>
    <row r="170" spans="2:14" x14ac:dyDescent="0.25">
      <c r="B170" s="811" t="s">
        <v>474</v>
      </c>
      <c r="C170" s="800" t="s">
        <v>23</v>
      </c>
      <c r="D170" s="484" t="s">
        <v>146</v>
      </c>
      <c r="E170" s="693">
        <v>0</v>
      </c>
      <c r="F170" s="693">
        <v>0</v>
      </c>
      <c r="G170" s="693"/>
      <c r="H170" s="693"/>
      <c r="I170" s="693"/>
      <c r="J170" s="693"/>
      <c r="K170" s="693"/>
      <c r="L170" s="693"/>
      <c r="M170" s="693"/>
      <c r="N170" s="694"/>
    </row>
    <row r="171" spans="2:14" ht="12.5" customHeight="1" x14ac:dyDescent="0.25">
      <c r="B171" s="812"/>
      <c r="C171" s="801"/>
      <c r="D171" s="255" t="s">
        <v>147</v>
      </c>
      <c r="E171" s="693">
        <v>470209</v>
      </c>
      <c r="F171" s="693">
        <v>806616</v>
      </c>
      <c r="G171" s="693"/>
      <c r="H171" s="693"/>
      <c r="I171" s="693"/>
      <c r="J171" s="693"/>
      <c r="K171" s="693"/>
      <c r="L171" s="693"/>
      <c r="M171" s="693"/>
      <c r="N171" s="694"/>
    </row>
    <row r="172" spans="2:14" x14ac:dyDescent="0.25">
      <c r="B172" s="812"/>
      <c r="C172" s="467" t="s">
        <v>24</v>
      </c>
      <c r="D172" s="485" t="s">
        <v>20</v>
      </c>
      <c r="E172" s="693">
        <v>262117.55000000002</v>
      </c>
      <c r="F172" s="693">
        <v>339628.7</v>
      </c>
      <c r="G172" s="693"/>
      <c r="H172" s="693"/>
      <c r="I172" s="693"/>
      <c r="J172" s="693"/>
      <c r="K172" s="693"/>
      <c r="L172" s="693"/>
      <c r="M172" s="693"/>
      <c r="N172" s="694"/>
    </row>
    <row r="173" spans="2:14" x14ac:dyDescent="0.25">
      <c r="B173" s="813"/>
      <c r="C173" s="171" t="s">
        <v>25</v>
      </c>
      <c r="D173" s="485" t="s">
        <v>20</v>
      </c>
      <c r="E173" s="693">
        <v>1223.5</v>
      </c>
      <c r="F173" s="693">
        <v>1358</v>
      </c>
      <c r="G173" s="693"/>
      <c r="H173" s="693"/>
      <c r="I173" s="693"/>
      <c r="J173" s="693"/>
      <c r="K173" s="693"/>
      <c r="L173" s="693"/>
      <c r="M173" s="693"/>
      <c r="N173" s="694"/>
    </row>
    <row r="174" spans="2:14" x14ac:dyDescent="0.25">
      <c r="B174" s="486" t="s">
        <v>475</v>
      </c>
      <c r="C174" s="467" t="s">
        <v>60</v>
      </c>
      <c r="D174" s="485" t="s">
        <v>20</v>
      </c>
      <c r="E174" s="694">
        <v>0</v>
      </c>
      <c r="F174" s="694">
        <v>0</v>
      </c>
      <c r="G174" s="694"/>
      <c r="H174" s="694"/>
      <c r="I174" s="694"/>
      <c r="J174" s="694"/>
      <c r="K174" s="694"/>
      <c r="L174" s="694"/>
      <c r="M174" s="694"/>
      <c r="N174" s="694"/>
    </row>
    <row r="175" spans="2:14" x14ac:dyDescent="0.25">
      <c r="B175" s="800" t="s">
        <v>476</v>
      </c>
      <c r="C175" s="467" t="s">
        <v>161</v>
      </c>
      <c r="D175" s="485" t="s">
        <v>20</v>
      </c>
      <c r="E175" s="694">
        <v>280058</v>
      </c>
      <c r="F175" s="694">
        <v>622792</v>
      </c>
      <c r="G175" s="694"/>
      <c r="H175" s="694"/>
      <c r="I175" s="694"/>
      <c r="J175" s="694"/>
      <c r="K175" s="694"/>
      <c r="L175" s="694"/>
      <c r="M175" s="694"/>
      <c r="N175" s="694"/>
    </row>
    <row r="176" spans="2:14" x14ac:dyDescent="0.25">
      <c r="B176" s="810"/>
      <c r="C176" s="470" t="s">
        <v>22</v>
      </c>
      <c r="D176" s="264" t="s">
        <v>162</v>
      </c>
      <c r="E176" s="696">
        <v>289061.59999999998</v>
      </c>
      <c r="F176" s="696">
        <v>1393450.1</v>
      </c>
      <c r="G176" s="696"/>
      <c r="H176" s="696"/>
      <c r="I176" s="696"/>
      <c r="J176" s="696"/>
      <c r="K176" s="696"/>
      <c r="L176" s="696"/>
      <c r="M176" s="696"/>
      <c r="N176" s="696"/>
    </row>
    <row r="177" spans="2:14" x14ac:dyDescent="0.25">
      <c r="B177" s="810"/>
      <c r="C177" s="467" t="s">
        <v>23</v>
      </c>
      <c r="D177" s="487" t="s">
        <v>162</v>
      </c>
      <c r="E177" s="696">
        <v>30989.399999999994</v>
      </c>
      <c r="F177" s="696">
        <v>292890.90000000002</v>
      </c>
      <c r="G177" s="696"/>
      <c r="H177" s="696"/>
      <c r="I177" s="696"/>
      <c r="J177" s="696"/>
      <c r="K177" s="696"/>
      <c r="L177" s="696"/>
      <c r="M177" s="696"/>
      <c r="N177" s="696"/>
    </row>
    <row r="178" spans="2:14" x14ac:dyDescent="0.25">
      <c r="B178" s="810"/>
      <c r="C178" s="467" t="s">
        <v>163</v>
      </c>
      <c r="D178" s="485" t="s">
        <v>20</v>
      </c>
      <c r="E178" s="696">
        <v>72354.400000000009</v>
      </c>
      <c r="F178" s="696">
        <v>294146.40000000002</v>
      </c>
      <c r="G178" s="696"/>
      <c r="H178" s="696"/>
      <c r="I178" s="696"/>
      <c r="J178" s="696"/>
      <c r="K178" s="696"/>
      <c r="L178" s="696"/>
      <c r="M178" s="696"/>
      <c r="N178" s="696"/>
    </row>
    <row r="179" spans="2:14" x14ac:dyDescent="0.25">
      <c r="B179" s="801"/>
      <c r="C179" s="171" t="s">
        <v>25</v>
      </c>
      <c r="D179" s="171" t="s">
        <v>20</v>
      </c>
      <c r="E179" s="696">
        <v>0</v>
      </c>
      <c r="F179" s="696">
        <v>0</v>
      </c>
      <c r="G179" s="696"/>
      <c r="H179" s="696"/>
      <c r="I179" s="696"/>
      <c r="J179" s="696"/>
      <c r="K179" s="696"/>
      <c r="L179" s="696"/>
      <c r="M179" s="696"/>
      <c r="N179" s="696"/>
    </row>
    <row r="180" spans="2:14" x14ac:dyDescent="0.25">
      <c r="B180" s="469" t="s">
        <v>477</v>
      </c>
      <c r="C180" s="264" t="s">
        <v>20</v>
      </c>
      <c r="D180" s="264" t="s">
        <v>20</v>
      </c>
      <c r="E180" s="696">
        <v>0</v>
      </c>
      <c r="F180" s="696">
        <v>0</v>
      </c>
      <c r="G180" s="696"/>
      <c r="H180" s="696"/>
      <c r="I180" s="696"/>
      <c r="J180" s="696"/>
      <c r="K180" s="696"/>
      <c r="L180" s="696"/>
      <c r="M180" s="696"/>
      <c r="N180" s="696"/>
    </row>
    <row r="181" spans="2:14" x14ac:dyDescent="0.25">
      <c r="B181" s="264" t="s">
        <v>478</v>
      </c>
      <c r="C181" s="264" t="s">
        <v>20</v>
      </c>
      <c r="D181" s="264" t="s">
        <v>20</v>
      </c>
      <c r="E181" s="696">
        <v>0</v>
      </c>
      <c r="F181" s="696">
        <v>7</v>
      </c>
      <c r="G181" s="696"/>
      <c r="H181" s="696"/>
      <c r="I181" s="696"/>
      <c r="J181" s="696"/>
      <c r="K181" s="696"/>
      <c r="L181" s="696"/>
      <c r="M181" s="696"/>
      <c r="N181" s="696"/>
    </row>
    <row r="182" spans="2:14" x14ac:dyDescent="0.25">
      <c r="B182" s="264" t="s">
        <v>480</v>
      </c>
      <c r="C182" s="264" t="s">
        <v>20</v>
      </c>
      <c r="D182" s="264" t="s">
        <v>20</v>
      </c>
      <c r="E182" s="696">
        <v>0</v>
      </c>
      <c r="F182" s="696">
        <v>0</v>
      </c>
      <c r="G182" s="696"/>
      <c r="H182" s="696"/>
      <c r="I182" s="696"/>
      <c r="J182" s="696"/>
      <c r="K182" s="696"/>
      <c r="L182" s="696"/>
      <c r="M182" s="696"/>
      <c r="N182" s="696"/>
    </row>
    <row r="183" spans="2:14" x14ac:dyDescent="0.25">
      <c r="B183" s="170" t="s">
        <v>9</v>
      </c>
      <c r="C183" s="264" t="s">
        <v>20</v>
      </c>
      <c r="D183" s="264" t="s">
        <v>20</v>
      </c>
      <c r="E183" s="235">
        <f>SUM(E165:E182)</f>
        <v>10649308.537719864</v>
      </c>
      <c r="F183" s="235">
        <f t="shared" ref="F183:N183" si="59">SUM(F165:F182)</f>
        <v>13336049.134659458</v>
      </c>
      <c r="G183" s="235"/>
      <c r="H183" s="235"/>
      <c r="I183" s="235"/>
      <c r="J183" s="235"/>
      <c r="K183" s="235"/>
      <c r="L183" s="235"/>
      <c r="M183" s="235"/>
      <c r="N183" s="235"/>
    </row>
    <row r="184" spans="2:14" x14ac:dyDescent="0.25">
      <c r="D184" s="49"/>
      <c r="E184" s="8"/>
      <c r="F184" s="8">
        <f t="shared" ref="F184:N184" si="60">IF(E183=0,"",F183/E183-1)</f>
        <v>0.25229249274008314</v>
      </c>
      <c r="G184" s="8"/>
      <c r="H184" s="8"/>
      <c r="I184" s="8"/>
      <c r="J184" s="8"/>
      <c r="K184" s="8"/>
      <c r="L184" s="8"/>
      <c r="M184" s="8"/>
      <c r="N184" s="8"/>
    </row>
    <row r="185" spans="2:14" ht="13" x14ac:dyDescent="0.3">
      <c r="B185" s="220" t="s">
        <v>53</v>
      </c>
      <c r="C185" s="479" t="str">
        <f>$C$163</f>
        <v>Global-Cloud segment</v>
      </c>
      <c r="D185" s="4"/>
      <c r="E185" s="4"/>
      <c r="F185" s="4"/>
      <c r="G185" s="4"/>
      <c r="H185" s="283"/>
      <c r="I185" s="283"/>
      <c r="J185" s="283"/>
      <c r="K185" s="283"/>
      <c r="L185" s="283"/>
      <c r="M185" s="283"/>
      <c r="N185" s="283"/>
    </row>
    <row r="186" spans="2:14" x14ac:dyDescent="0.25">
      <c r="B186" s="129" t="s">
        <v>10</v>
      </c>
      <c r="C186" s="129" t="s">
        <v>11</v>
      </c>
      <c r="D186" s="123" t="s">
        <v>12</v>
      </c>
      <c r="E186" s="136">
        <v>2016</v>
      </c>
      <c r="F186" s="129">
        <v>2017</v>
      </c>
      <c r="G186" s="129">
        <v>2018</v>
      </c>
      <c r="H186" s="129">
        <v>2019</v>
      </c>
      <c r="I186" s="129">
        <v>2020</v>
      </c>
      <c r="J186" s="129">
        <v>2021</v>
      </c>
      <c r="K186" s="129">
        <v>2022</v>
      </c>
      <c r="L186" s="129">
        <v>2023</v>
      </c>
      <c r="M186" s="129">
        <v>2024</v>
      </c>
      <c r="N186" s="129">
        <v>2025</v>
      </c>
    </row>
    <row r="187" spans="2:14" x14ac:dyDescent="0.25">
      <c r="B187" s="467" t="s">
        <v>469</v>
      </c>
      <c r="C187" s="470" t="str">
        <f>C165</f>
        <v>All</v>
      </c>
      <c r="D187" s="470" t="str">
        <f>D165</f>
        <v>All</v>
      </c>
      <c r="E187" s="296">
        <f>IF(E165=0,,E208*10^6/E165)</f>
        <v>11.313150064475876</v>
      </c>
      <c r="F187" s="296">
        <f t="shared" ref="F187:N187" si="61">IF(F165=0,,F208*10^6/F165)</f>
        <v>9.7279618337487541</v>
      </c>
      <c r="G187" s="296"/>
      <c r="H187" s="296"/>
      <c r="I187" s="296"/>
      <c r="J187" s="296"/>
      <c r="K187" s="296"/>
      <c r="L187" s="296"/>
      <c r="M187" s="296"/>
      <c r="N187" s="296"/>
    </row>
    <row r="188" spans="2:14" x14ac:dyDescent="0.25">
      <c r="B188" s="467" t="s">
        <v>470</v>
      </c>
      <c r="C188" s="470" t="str">
        <f>C166</f>
        <v>All</v>
      </c>
      <c r="D188" s="470" t="str">
        <f>D166</f>
        <v>All</v>
      </c>
      <c r="E188" s="296">
        <f t="shared" ref="E188:N188" si="62">IF(E166=0,,E209*10^6/E166)</f>
        <v>24.426532962471157</v>
      </c>
      <c r="F188" s="296">
        <f t="shared" si="62"/>
        <v>19.396784765421103</v>
      </c>
      <c r="G188" s="296"/>
      <c r="H188" s="296"/>
      <c r="I188" s="296"/>
      <c r="J188" s="296"/>
      <c r="K188" s="296"/>
      <c r="L188" s="296"/>
      <c r="M188" s="296"/>
      <c r="N188" s="296"/>
    </row>
    <row r="189" spans="2:14" ht="13" x14ac:dyDescent="0.3">
      <c r="B189" s="467" t="s">
        <v>471</v>
      </c>
      <c r="C189" s="470" t="str">
        <f>C168</f>
        <v>100-300 m</v>
      </c>
      <c r="D189" s="282" t="s">
        <v>154</v>
      </c>
      <c r="E189" s="296">
        <f t="shared" ref="E189:N189" si="63">IF(E167=0,,E210*10^6/E167)</f>
        <v>0</v>
      </c>
      <c r="F189" s="296">
        <f t="shared" si="63"/>
        <v>0</v>
      </c>
      <c r="G189" s="296"/>
      <c r="H189" s="296"/>
      <c r="I189" s="296"/>
      <c r="J189" s="296"/>
      <c r="K189" s="296"/>
      <c r="L189" s="296"/>
      <c r="M189" s="296"/>
      <c r="N189" s="296"/>
    </row>
    <row r="190" spans="2:14" x14ac:dyDescent="0.25">
      <c r="B190" s="171" t="s">
        <v>472</v>
      </c>
      <c r="C190" s="467" t="s">
        <v>21</v>
      </c>
      <c r="D190" s="171" t="s">
        <v>55</v>
      </c>
      <c r="E190" s="296">
        <f t="shared" ref="E190:N190" si="64">IF(E168=0,,E211*10^6/E168)</f>
        <v>99.624177253255993</v>
      </c>
      <c r="F190" s="296">
        <f t="shared" si="64"/>
        <v>80.609108343448838</v>
      </c>
      <c r="G190" s="296"/>
      <c r="H190" s="296"/>
      <c r="I190" s="296"/>
      <c r="J190" s="296"/>
      <c r="K190" s="296"/>
      <c r="L190" s="296"/>
      <c r="M190" s="296"/>
      <c r="N190" s="296"/>
    </row>
    <row r="191" spans="2:14" x14ac:dyDescent="0.25">
      <c r="B191" s="264" t="s">
        <v>473</v>
      </c>
      <c r="C191" s="470" t="s">
        <v>22</v>
      </c>
      <c r="D191" s="264" t="s">
        <v>137</v>
      </c>
      <c r="E191" s="296">
        <f t="shared" ref="E191:N191" si="65">IF(E169=0,,E212*10^6/E169)</f>
        <v>253.19068527507093</v>
      </c>
      <c r="F191" s="296">
        <f t="shared" si="65"/>
        <v>262.79055146339874</v>
      </c>
      <c r="G191" s="296"/>
      <c r="H191" s="296"/>
      <c r="I191" s="296"/>
      <c r="J191" s="296"/>
      <c r="K191" s="296"/>
      <c r="L191" s="296"/>
      <c r="M191" s="296"/>
      <c r="N191" s="296"/>
    </row>
    <row r="192" spans="2:14" x14ac:dyDescent="0.25">
      <c r="B192" s="811" t="s">
        <v>474</v>
      </c>
      <c r="C192" s="805" t="s">
        <v>23</v>
      </c>
      <c r="D192" s="488" t="s">
        <v>146</v>
      </c>
      <c r="E192" s="296">
        <f t="shared" ref="E192:N192" si="66">IF(E170=0,,E213*10^6/E170)</f>
        <v>0</v>
      </c>
      <c r="F192" s="296">
        <f t="shared" si="66"/>
        <v>0</v>
      </c>
      <c r="G192" s="296"/>
      <c r="H192" s="296"/>
      <c r="I192" s="296"/>
      <c r="J192" s="296"/>
      <c r="K192" s="296"/>
      <c r="L192" s="296"/>
      <c r="M192" s="296"/>
      <c r="N192" s="296"/>
    </row>
    <row r="193" spans="2:14" ht="11.5" customHeight="1" x14ac:dyDescent="0.25">
      <c r="B193" s="812"/>
      <c r="C193" s="806"/>
      <c r="D193" s="255" t="s">
        <v>147</v>
      </c>
      <c r="E193" s="296">
        <f t="shared" ref="E193:N193" si="67">IF(E171=0,,E214*10^6/E171)</f>
        <v>377.60055209491952</v>
      </c>
      <c r="F193" s="296">
        <f t="shared" si="67"/>
        <v>343.5254726908467</v>
      </c>
      <c r="G193" s="296"/>
      <c r="H193" s="296"/>
      <c r="I193" s="296"/>
      <c r="J193" s="296"/>
      <c r="K193" s="296"/>
      <c r="L193" s="296"/>
      <c r="M193" s="296"/>
      <c r="N193" s="296"/>
    </row>
    <row r="194" spans="2:14" x14ac:dyDescent="0.25">
      <c r="B194" s="812"/>
      <c r="C194" s="470" t="s">
        <v>24</v>
      </c>
      <c r="D194" s="485" t="s">
        <v>20</v>
      </c>
      <c r="E194" s="296">
        <f t="shared" ref="E194:N194" si="68">IF(E172=0,,E215*10^6/E172)</f>
        <v>428.67602419686165</v>
      </c>
      <c r="F194" s="296">
        <f t="shared" si="68"/>
        <v>401.76456705736007</v>
      </c>
      <c r="G194" s="296"/>
      <c r="H194" s="296"/>
      <c r="I194" s="296"/>
      <c r="J194" s="296"/>
      <c r="K194" s="296"/>
      <c r="L194" s="296"/>
      <c r="M194" s="296"/>
      <c r="N194" s="296"/>
    </row>
    <row r="195" spans="2:14" x14ac:dyDescent="0.25">
      <c r="B195" s="813"/>
      <c r="C195" s="170" t="s">
        <v>25</v>
      </c>
      <c r="D195" s="264" t="str">
        <f t="shared" ref="D195:D202" si="69">D173</f>
        <v>All</v>
      </c>
      <c r="E195" s="296">
        <f t="shared" ref="E195:N195" si="70">IF(E173=0,,E216*10^6/E173)</f>
        <v>1673.0572324239708</v>
      </c>
      <c r="F195" s="296">
        <f t="shared" si="70"/>
        <v>1459.2330281290015</v>
      </c>
      <c r="G195" s="296"/>
      <c r="H195" s="296"/>
      <c r="I195" s="296"/>
      <c r="J195" s="296"/>
      <c r="K195" s="296"/>
      <c r="L195" s="296"/>
      <c r="M195" s="296"/>
      <c r="N195" s="296"/>
    </row>
    <row r="196" spans="2:14" x14ac:dyDescent="0.25">
      <c r="B196" s="486" t="str">
        <f>B174</f>
        <v>50 G</v>
      </c>
      <c r="C196" s="470" t="str">
        <f>C174</f>
        <v>all</v>
      </c>
      <c r="D196" s="264" t="str">
        <f t="shared" si="69"/>
        <v>All</v>
      </c>
      <c r="E196" s="296">
        <f t="shared" ref="E196:N196" si="71">IF(E174=0,,E217*10^6/E174)</f>
        <v>0</v>
      </c>
      <c r="F196" s="296">
        <f t="shared" si="71"/>
        <v>0</v>
      </c>
      <c r="G196" s="296"/>
      <c r="H196" s="296"/>
      <c r="I196" s="296"/>
      <c r="J196" s="296"/>
      <c r="K196" s="296"/>
      <c r="L196" s="296"/>
      <c r="M196" s="296"/>
      <c r="N196" s="296"/>
    </row>
    <row r="197" spans="2:14" x14ac:dyDescent="0.25">
      <c r="B197" s="800" t="str">
        <f>B175</f>
        <v>100 G</v>
      </c>
      <c r="C197" s="467" t="str">
        <f>C175</f>
        <v>100-300 m</v>
      </c>
      <c r="D197" s="264" t="str">
        <f t="shared" si="69"/>
        <v>All</v>
      </c>
      <c r="E197" s="296">
        <f t="shared" ref="E197:N197" si="72">IF(E175=0,,E218*10^6/E175)</f>
        <v>258.09426618771823</v>
      </c>
      <c r="F197" s="296">
        <f t="shared" si="72"/>
        <v>182.02277386466108</v>
      </c>
      <c r="G197" s="296"/>
      <c r="H197" s="296"/>
      <c r="I197" s="296"/>
      <c r="J197" s="296"/>
      <c r="K197" s="296"/>
      <c r="L197" s="296"/>
      <c r="M197" s="296"/>
      <c r="N197" s="296"/>
    </row>
    <row r="198" spans="2:14" x14ac:dyDescent="0.25">
      <c r="B198" s="810"/>
      <c r="C198" s="467" t="s">
        <v>22</v>
      </c>
      <c r="D198" s="264" t="str">
        <f t="shared" si="69"/>
        <v>QSFP28</v>
      </c>
      <c r="E198" s="296">
        <f t="shared" ref="E198:N198" si="73">IF(E176=0,,E219*10^6/E176)</f>
        <v>425.16634945630972</v>
      </c>
      <c r="F198" s="296">
        <f t="shared" si="73"/>
        <v>334.15581081805504</v>
      </c>
      <c r="G198" s="296"/>
      <c r="H198" s="296"/>
      <c r="I198" s="296"/>
      <c r="J198" s="296"/>
      <c r="K198" s="296"/>
      <c r="L198" s="296"/>
      <c r="M198" s="296"/>
      <c r="N198" s="296"/>
    </row>
    <row r="199" spans="2:14" x14ac:dyDescent="0.25">
      <c r="B199" s="810"/>
      <c r="C199" s="470" t="str">
        <f>C177</f>
        <v>2 km</v>
      </c>
      <c r="D199" s="487" t="str">
        <f t="shared" si="69"/>
        <v>QSFP28</v>
      </c>
      <c r="E199" s="296">
        <f t="shared" ref="E199:N199" si="74">IF(E177=0,,E220*10^6/E177)</f>
        <v>825</v>
      </c>
      <c r="F199" s="296">
        <f t="shared" si="74"/>
        <v>650</v>
      </c>
      <c r="G199" s="296"/>
      <c r="H199" s="296"/>
      <c r="I199" s="296"/>
      <c r="J199" s="296"/>
      <c r="K199" s="296"/>
      <c r="L199" s="296"/>
      <c r="M199" s="296"/>
      <c r="N199" s="296"/>
    </row>
    <row r="200" spans="2:14" x14ac:dyDescent="0.25">
      <c r="B200" s="810"/>
      <c r="C200" s="470" t="str">
        <f>C178</f>
        <v>10-20 km</v>
      </c>
      <c r="D200" s="468" t="str">
        <f t="shared" si="69"/>
        <v>All</v>
      </c>
      <c r="E200" s="296">
        <f t="shared" ref="E200:N200" si="75">IF(E178=0,,E221*10^6/E178)</f>
        <v>1938.1501024552808</v>
      </c>
      <c r="F200" s="296">
        <f t="shared" si="75"/>
        <v>1103.6194221652891</v>
      </c>
      <c r="G200" s="296"/>
      <c r="H200" s="296"/>
      <c r="I200" s="296"/>
      <c r="J200" s="296"/>
      <c r="K200" s="296"/>
      <c r="L200" s="296"/>
      <c r="M200" s="296"/>
      <c r="N200" s="296"/>
    </row>
    <row r="201" spans="2:14" x14ac:dyDescent="0.25">
      <c r="B201" s="801"/>
      <c r="C201" s="170" t="str">
        <f>C179</f>
        <v>40 km</v>
      </c>
      <c r="D201" s="171" t="str">
        <f t="shared" si="69"/>
        <v>All</v>
      </c>
      <c r="E201" s="296">
        <f t="shared" ref="E201:N201" si="76">IF(E179=0,,E222*10^6/E179)</f>
        <v>0</v>
      </c>
      <c r="F201" s="296">
        <f t="shared" si="76"/>
        <v>0</v>
      </c>
      <c r="G201" s="296"/>
      <c r="H201" s="296"/>
      <c r="I201" s="296"/>
      <c r="J201" s="296"/>
      <c r="K201" s="296"/>
      <c r="L201" s="296"/>
      <c r="M201" s="296"/>
      <c r="N201" s="296"/>
    </row>
    <row r="202" spans="2:14" x14ac:dyDescent="0.25">
      <c r="B202" s="471" t="str">
        <f>B180</f>
        <v>200 G</v>
      </c>
      <c r="C202" s="264" t="str">
        <f>C180</f>
        <v>All</v>
      </c>
      <c r="D202" s="264" t="str">
        <f t="shared" si="69"/>
        <v>All</v>
      </c>
      <c r="E202" s="296">
        <f t="shared" ref="E202:N202" si="77">IF(E180=0,,E223*10^6/E180)</f>
        <v>0</v>
      </c>
      <c r="F202" s="296">
        <f t="shared" si="77"/>
        <v>0</v>
      </c>
      <c r="G202" s="296"/>
      <c r="H202" s="296"/>
      <c r="I202" s="296"/>
      <c r="J202" s="296"/>
      <c r="K202" s="296"/>
      <c r="L202" s="296"/>
      <c r="M202" s="296"/>
      <c r="N202" s="296"/>
    </row>
    <row r="203" spans="2:14" x14ac:dyDescent="0.25">
      <c r="B203" s="471" t="s">
        <v>478</v>
      </c>
      <c r="C203" s="264" t="s">
        <v>20</v>
      </c>
      <c r="D203" s="264" t="s">
        <v>20</v>
      </c>
      <c r="E203" s="296">
        <f t="shared" ref="E203:N203" si="78">IF(E181=0,,E224*10^6/E181)</f>
        <v>0</v>
      </c>
      <c r="F203" s="296">
        <f t="shared" si="78"/>
        <v>11614.285714285714</v>
      </c>
      <c r="G203" s="296"/>
      <c r="H203" s="296"/>
      <c r="I203" s="296"/>
      <c r="J203" s="296"/>
      <c r="K203" s="296"/>
      <c r="L203" s="296"/>
      <c r="M203" s="296"/>
      <c r="N203" s="296"/>
    </row>
    <row r="204" spans="2:14" x14ac:dyDescent="0.25">
      <c r="B204" s="471" t="s">
        <v>480</v>
      </c>
      <c r="C204" s="264" t="s">
        <v>20</v>
      </c>
      <c r="D204" s="264" t="s">
        <v>20</v>
      </c>
      <c r="E204" s="296">
        <f t="shared" ref="E204:N204" si="79">IF(E182=0,,E225*10^6/E182)</f>
        <v>0</v>
      </c>
      <c r="F204" s="296">
        <f t="shared" si="79"/>
        <v>0</v>
      </c>
      <c r="G204" s="296"/>
      <c r="H204" s="296"/>
      <c r="I204" s="296"/>
      <c r="J204" s="296"/>
      <c r="K204" s="296"/>
      <c r="L204" s="296"/>
      <c r="M204" s="296"/>
      <c r="N204" s="296"/>
    </row>
    <row r="205" spans="2:14" x14ac:dyDescent="0.25">
      <c r="D205" s="49"/>
      <c r="E205" s="2"/>
      <c r="F205" s="2"/>
      <c r="G205" s="2"/>
      <c r="H205" s="2"/>
      <c r="I205" s="2"/>
      <c r="J205" s="2"/>
      <c r="K205" s="2"/>
      <c r="L205" s="2"/>
      <c r="M205" s="2"/>
      <c r="N205" s="2"/>
    </row>
    <row r="206" spans="2:14" ht="15.5" x14ac:dyDescent="0.35">
      <c r="B206" s="220" t="s">
        <v>1</v>
      </c>
      <c r="C206" s="479" t="str">
        <f>C163</f>
        <v>Global-Cloud segment</v>
      </c>
      <c r="D206" s="4"/>
      <c r="F206" s="371"/>
      <c r="L206" s="222" t="str">
        <f>B206</f>
        <v>Sales ($M)</v>
      </c>
      <c r="N206" s="361" t="str">
        <f>C206</f>
        <v>Global-Cloud segment</v>
      </c>
    </row>
    <row r="207" spans="2:14" x14ac:dyDescent="0.25">
      <c r="B207" s="7" t="s">
        <v>10</v>
      </c>
      <c r="C207" s="7" t="s">
        <v>11</v>
      </c>
      <c r="D207" s="1" t="s">
        <v>12</v>
      </c>
      <c r="E207" s="129">
        <v>2016</v>
      </c>
      <c r="F207" s="129">
        <v>2017</v>
      </c>
      <c r="G207" s="129">
        <v>2018</v>
      </c>
      <c r="H207" s="129">
        <v>2019</v>
      </c>
      <c r="I207" s="129">
        <v>2020</v>
      </c>
      <c r="J207" s="129">
        <v>2021</v>
      </c>
      <c r="K207" s="129">
        <v>2022</v>
      </c>
      <c r="L207" s="129">
        <v>2023</v>
      </c>
      <c r="M207" s="129">
        <v>2024</v>
      </c>
      <c r="N207" s="129">
        <v>2025</v>
      </c>
    </row>
    <row r="208" spans="2:14" x14ac:dyDescent="0.25">
      <c r="B208" s="467" t="s">
        <v>469</v>
      </c>
      <c r="C208" s="470" t="str">
        <f>C165</f>
        <v>All</v>
      </c>
      <c r="D208" s="470" t="str">
        <f>D165</f>
        <v>All</v>
      </c>
      <c r="E208" s="697">
        <v>4.7478439228000004</v>
      </c>
      <c r="F208" s="697">
        <v>2.4950864080093562</v>
      </c>
      <c r="G208" s="697"/>
      <c r="H208" s="697"/>
      <c r="I208" s="697"/>
      <c r="J208" s="697"/>
      <c r="K208" s="697"/>
      <c r="L208" s="697"/>
      <c r="M208" s="697"/>
      <c r="N208" s="698"/>
    </row>
    <row r="209" spans="2:14" x14ac:dyDescent="0.25">
      <c r="B209" s="467" t="s">
        <v>479</v>
      </c>
      <c r="C209" s="167" t="str">
        <f>C166</f>
        <v>All</v>
      </c>
      <c r="D209" s="167" t="str">
        <f>D166</f>
        <v>All</v>
      </c>
      <c r="E209" s="698">
        <v>176.65041212097063</v>
      </c>
      <c r="F209" s="698">
        <v>148.26396105230504</v>
      </c>
      <c r="G209" s="698"/>
      <c r="H209" s="698"/>
      <c r="I209" s="698"/>
      <c r="J209" s="698"/>
      <c r="K209" s="698"/>
      <c r="L209" s="698"/>
      <c r="M209" s="698"/>
      <c r="N209" s="698"/>
    </row>
    <row r="210" spans="2:14" ht="13" x14ac:dyDescent="0.3">
      <c r="B210" s="264" t="s">
        <v>471</v>
      </c>
      <c r="C210" s="470" t="s">
        <v>20</v>
      </c>
      <c r="D210" s="282" t="s">
        <v>154</v>
      </c>
      <c r="E210" s="698">
        <v>0</v>
      </c>
      <c r="F210" s="698">
        <v>0</v>
      </c>
      <c r="G210" s="698"/>
      <c r="H210" s="698"/>
      <c r="I210" s="698"/>
      <c r="J210" s="698"/>
      <c r="K210" s="698"/>
      <c r="L210" s="698"/>
      <c r="M210" s="698"/>
      <c r="N210" s="698"/>
    </row>
    <row r="211" spans="2:14" x14ac:dyDescent="0.25">
      <c r="B211" s="171" t="s">
        <v>472</v>
      </c>
      <c r="C211" s="467" t="str">
        <f>C189</f>
        <v>100-300 m</v>
      </c>
      <c r="D211" s="171" t="s">
        <v>137</v>
      </c>
      <c r="E211" s="698">
        <v>77.49997869105556</v>
      </c>
      <c r="F211" s="698">
        <v>86.356130692339605</v>
      </c>
      <c r="G211" s="698"/>
      <c r="H211" s="698"/>
      <c r="I211" s="698"/>
      <c r="J211" s="698"/>
      <c r="K211" s="698"/>
      <c r="L211" s="698"/>
      <c r="M211" s="698"/>
      <c r="N211" s="698"/>
    </row>
    <row r="212" spans="2:14" x14ac:dyDescent="0.25">
      <c r="B212" s="264" t="s">
        <v>473</v>
      </c>
      <c r="C212" s="470" t="s">
        <v>22</v>
      </c>
      <c r="D212" s="264" t="s">
        <v>137</v>
      </c>
      <c r="E212" s="699">
        <v>206.04404776999999</v>
      </c>
      <c r="F212" s="699">
        <v>161.25879399999999</v>
      </c>
      <c r="G212" s="699"/>
      <c r="H212" s="699"/>
      <c r="I212" s="699"/>
      <c r="J212" s="699"/>
      <c r="K212" s="699"/>
      <c r="L212" s="699"/>
      <c r="M212" s="699"/>
      <c r="N212" s="700"/>
    </row>
    <row r="213" spans="2:14" x14ac:dyDescent="0.25">
      <c r="B213" s="811" t="s">
        <v>474</v>
      </c>
      <c r="C213" s="805" t="s">
        <v>23</v>
      </c>
      <c r="D213" s="484" t="s">
        <v>146</v>
      </c>
      <c r="E213" s="698">
        <v>0</v>
      </c>
      <c r="F213" s="698">
        <v>0</v>
      </c>
      <c r="G213" s="698"/>
      <c r="H213" s="698"/>
      <c r="I213" s="698"/>
      <c r="J213" s="698"/>
      <c r="K213" s="698"/>
      <c r="L213" s="698"/>
      <c r="M213" s="698"/>
      <c r="N213" s="698"/>
    </row>
    <row r="214" spans="2:14" ht="13.5" customHeight="1" x14ac:dyDescent="0.25">
      <c r="B214" s="812"/>
      <c r="C214" s="806"/>
      <c r="D214" s="255" t="s">
        <v>147</v>
      </c>
      <c r="E214" s="698">
        <v>177.55117799999999</v>
      </c>
      <c r="F214" s="698">
        <v>277.09314268000003</v>
      </c>
      <c r="G214" s="698"/>
      <c r="H214" s="698"/>
      <c r="I214" s="698"/>
      <c r="J214" s="698"/>
      <c r="K214" s="698"/>
      <c r="L214" s="698"/>
      <c r="M214" s="698"/>
      <c r="N214" s="698"/>
    </row>
    <row r="215" spans="2:14" x14ac:dyDescent="0.25">
      <c r="B215" s="812"/>
      <c r="C215" s="470" t="s">
        <v>24</v>
      </c>
      <c r="D215" s="467" t="str">
        <f t="shared" ref="D215:D225" si="80">D172</f>
        <v>All</v>
      </c>
      <c r="E215" s="698">
        <v>112.3635092062221</v>
      </c>
      <c r="F215" s="698">
        <v>136.45077761575405</v>
      </c>
      <c r="G215" s="698"/>
      <c r="H215" s="698"/>
      <c r="I215" s="698"/>
      <c r="J215" s="698"/>
      <c r="K215" s="698"/>
      <c r="L215" s="698"/>
      <c r="M215" s="698"/>
      <c r="N215" s="698"/>
    </row>
    <row r="216" spans="2:14" x14ac:dyDescent="0.25">
      <c r="B216" s="813"/>
      <c r="C216" s="170" t="s">
        <v>25</v>
      </c>
      <c r="D216" s="467" t="str">
        <f t="shared" si="80"/>
        <v>All</v>
      </c>
      <c r="E216" s="698">
        <v>2.0469855238707284</v>
      </c>
      <c r="F216" s="698">
        <v>1.9816384521991841</v>
      </c>
      <c r="G216" s="698"/>
      <c r="H216" s="698"/>
      <c r="I216" s="698"/>
      <c r="J216" s="698"/>
      <c r="K216" s="698"/>
      <c r="L216" s="698"/>
      <c r="M216" s="698"/>
      <c r="N216" s="698"/>
    </row>
    <row r="217" spans="2:14" x14ac:dyDescent="0.25">
      <c r="B217" s="486" t="str">
        <f>B174</f>
        <v>50 G</v>
      </c>
      <c r="C217" s="470" t="str">
        <f>C174</f>
        <v>all</v>
      </c>
      <c r="D217" s="467" t="str">
        <f t="shared" si="80"/>
        <v>All</v>
      </c>
      <c r="E217" s="698">
        <v>0</v>
      </c>
      <c r="F217" s="698">
        <v>0</v>
      </c>
      <c r="G217" s="698"/>
      <c r="H217" s="698"/>
      <c r="I217" s="698"/>
      <c r="J217" s="698"/>
      <c r="K217" s="698"/>
      <c r="L217" s="698"/>
      <c r="M217" s="698"/>
      <c r="N217" s="698"/>
    </row>
    <row r="218" spans="2:14" x14ac:dyDescent="0.25">
      <c r="B218" s="800" t="str">
        <f>B175</f>
        <v>100 G</v>
      </c>
      <c r="C218" s="467" t="str">
        <f>C175</f>
        <v>100-300 m</v>
      </c>
      <c r="D218" s="467" t="str">
        <f t="shared" si="80"/>
        <v>All</v>
      </c>
      <c r="E218" s="698">
        <v>72.281363999999996</v>
      </c>
      <c r="F218" s="698">
        <v>113.36232738072</v>
      </c>
      <c r="G218" s="698"/>
      <c r="H218" s="698"/>
      <c r="I218" s="698"/>
      <c r="J218" s="698"/>
      <c r="K218" s="698"/>
      <c r="L218" s="698"/>
      <c r="M218" s="698"/>
      <c r="N218" s="698"/>
    </row>
    <row r="219" spans="2:14" x14ac:dyDescent="0.25">
      <c r="B219" s="810"/>
      <c r="C219" s="470" t="str">
        <f t="shared" ref="C219:C225" si="81">C176</f>
        <v>500 m</v>
      </c>
      <c r="D219" s="255" t="str">
        <f t="shared" si="80"/>
        <v>QSFP28</v>
      </c>
      <c r="E219" s="698">
        <v>122.89926524000001</v>
      </c>
      <c r="F219" s="698">
        <v>465.62944799999997</v>
      </c>
      <c r="G219" s="698"/>
      <c r="H219" s="698"/>
      <c r="I219" s="698"/>
      <c r="J219" s="698"/>
      <c r="K219" s="698"/>
      <c r="L219" s="698"/>
      <c r="M219" s="698"/>
      <c r="N219" s="698"/>
    </row>
    <row r="220" spans="2:14" x14ac:dyDescent="0.25">
      <c r="B220" s="810"/>
      <c r="C220" s="470" t="str">
        <f t="shared" si="81"/>
        <v>2 km</v>
      </c>
      <c r="D220" s="487" t="str">
        <f t="shared" si="80"/>
        <v>QSFP28</v>
      </c>
      <c r="E220" s="698">
        <v>25.566254999999995</v>
      </c>
      <c r="F220" s="698">
        <v>190.37908500000003</v>
      </c>
      <c r="G220" s="698"/>
      <c r="H220" s="698"/>
      <c r="I220" s="698"/>
      <c r="J220" s="698"/>
      <c r="K220" s="698"/>
      <c r="L220" s="698"/>
      <c r="M220" s="698"/>
      <c r="N220" s="698"/>
    </row>
    <row r="221" spans="2:14" x14ac:dyDescent="0.25">
      <c r="B221" s="810"/>
      <c r="C221" s="470" t="str">
        <f t="shared" si="81"/>
        <v>10-20 km</v>
      </c>
      <c r="D221" s="468" t="str">
        <f t="shared" si="80"/>
        <v>All</v>
      </c>
      <c r="E221" s="698">
        <v>140.2336877730904</v>
      </c>
      <c r="F221" s="698">
        <v>324.62567999999999</v>
      </c>
      <c r="G221" s="698"/>
      <c r="H221" s="698"/>
      <c r="I221" s="698"/>
      <c r="J221" s="698"/>
      <c r="K221" s="698"/>
      <c r="L221" s="698"/>
      <c r="M221" s="698"/>
      <c r="N221" s="698"/>
    </row>
    <row r="222" spans="2:14" x14ac:dyDescent="0.25">
      <c r="B222" s="801"/>
      <c r="C222" s="170" t="str">
        <f t="shared" si="81"/>
        <v>40 km</v>
      </c>
      <c r="D222" s="171" t="str">
        <f t="shared" si="80"/>
        <v>All</v>
      </c>
      <c r="E222" s="698">
        <v>0</v>
      </c>
      <c r="F222" s="698">
        <v>0</v>
      </c>
      <c r="G222" s="698"/>
      <c r="H222" s="698"/>
      <c r="I222" s="698"/>
      <c r="J222" s="698"/>
      <c r="K222" s="698"/>
      <c r="L222" s="698"/>
      <c r="M222" s="698"/>
      <c r="N222" s="698"/>
    </row>
    <row r="223" spans="2:14" x14ac:dyDescent="0.25">
      <c r="B223" s="471" t="str">
        <f>B180</f>
        <v>200 G</v>
      </c>
      <c r="C223" s="264" t="str">
        <f t="shared" si="81"/>
        <v>All</v>
      </c>
      <c r="D223" s="264" t="str">
        <f t="shared" si="80"/>
        <v>All</v>
      </c>
      <c r="E223" s="698">
        <v>0</v>
      </c>
      <c r="F223" s="698">
        <v>0</v>
      </c>
      <c r="G223" s="698"/>
      <c r="H223" s="698"/>
      <c r="I223" s="698"/>
      <c r="J223" s="698"/>
      <c r="K223" s="698"/>
      <c r="L223" s="698"/>
      <c r="M223" s="698"/>
      <c r="N223" s="698"/>
    </row>
    <row r="224" spans="2:14" x14ac:dyDescent="0.25">
      <c r="B224" s="471" t="s">
        <v>478</v>
      </c>
      <c r="C224" s="264" t="str">
        <f t="shared" si="81"/>
        <v>All</v>
      </c>
      <c r="D224" s="264" t="str">
        <f t="shared" si="80"/>
        <v>All</v>
      </c>
      <c r="E224" s="698">
        <v>0</v>
      </c>
      <c r="F224" s="698">
        <v>8.1299999999999997E-2</v>
      </c>
      <c r="G224" s="698"/>
      <c r="H224" s="698"/>
      <c r="I224" s="698"/>
      <c r="J224" s="698"/>
      <c r="K224" s="698"/>
      <c r="L224" s="698"/>
      <c r="M224" s="698"/>
      <c r="N224" s="698"/>
    </row>
    <row r="225" spans="2:14" x14ac:dyDescent="0.25">
      <c r="B225" s="471" t="s">
        <v>480</v>
      </c>
      <c r="C225" s="264" t="str">
        <f t="shared" si="81"/>
        <v>All</v>
      </c>
      <c r="D225" s="264" t="str">
        <f t="shared" si="80"/>
        <v>All</v>
      </c>
      <c r="E225" s="698">
        <v>0</v>
      </c>
      <c r="F225" s="698">
        <v>0</v>
      </c>
      <c r="G225" s="698"/>
      <c r="H225" s="698"/>
      <c r="I225" s="698"/>
      <c r="J225" s="698"/>
      <c r="K225" s="698"/>
      <c r="L225" s="698"/>
      <c r="M225" s="698"/>
      <c r="N225" s="698"/>
    </row>
    <row r="226" spans="2:14" x14ac:dyDescent="0.25">
      <c r="B226" s="170" t="s">
        <v>9</v>
      </c>
      <c r="C226" s="264" t="str">
        <f>C183</f>
        <v>All</v>
      </c>
      <c r="D226" s="264" t="str">
        <f>D183</f>
        <v>All</v>
      </c>
      <c r="E226" s="416">
        <f>SUM(E208:E225)</f>
        <v>1117.8845272480094</v>
      </c>
      <c r="F226" s="416">
        <f t="shared" ref="F226:M226" si="82">SUM(F208:F225)</f>
        <v>1907.9773712813274</v>
      </c>
      <c r="G226" s="416"/>
      <c r="H226" s="416"/>
      <c r="I226" s="416"/>
      <c r="J226" s="416"/>
      <c r="K226" s="416"/>
      <c r="L226" s="416"/>
      <c r="M226" s="416"/>
      <c r="N226" s="416"/>
    </row>
    <row r="227" spans="2:14" x14ac:dyDescent="0.25">
      <c r="E227" s="8"/>
      <c r="F227" s="8">
        <f t="shared" ref="F227:N227" si="83">IF(E226=0,"",F226/E226-1)</f>
        <v>0.70677500651910452</v>
      </c>
      <c r="G227" s="8"/>
      <c r="H227" s="8"/>
      <c r="I227" s="8"/>
      <c r="J227" s="8"/>
      <c r="K227" s="8"/>
      <c r="L227" s="8"/>
      <c r="M227" s="8"/>
      <c r="N227" s="8"/>
    </row>
    <row r="228" spans="2:14" x14ac:dyDescent="0.25">
      <c r="E228" s="163"/>
      <c r="F228" s="163"/>
      <c r="G228" s="281"/>
      <c r="H228" s="281"/>
      <c r="I228" s="281"/>
      <c r="J228" s="281"/>
      <c r="K228" s="281"/>
      <c r="L228" s="281"/>
      <c r="M228" s="281"/>
      <c r="N228" s="281"/>
    </row>
    <row r="229" spans="2:14" x14ac:dyDescent="0.25">
      <c r="D229" s="163" t="s">
        <v>316</v>
      </c>
      <c r="E229" s="59">
        <f t="shared" ref="E229:L229" si="84">E91/E226</f>
        <v>0.10411015219475345</v>
      </c>
      <c r="F229" s="59">
        <f t="shared" si="84"/>
        <v>9.7615942373337927E-2</v>
      </c>
      <c r="G229" s="59"/>
      <c r="H229" s="59"/>
      <c r="I229" s="59"/>
      <c r="J229" s="59"/>
      <c r="K229" s="59"/>
      <c r="L229" s="59"/>
      <c r="M229" s="59"/>
      <c r="N229" s="59"/>
    </row>
    <row r="230" spans="2:14" x14ac:dyDescent="0.25">
      <c r="B230" s="490"/>
      <c r="C230" s="490"/>
      <c r="D230" s="490"/>
      <c r="E230" s="478"/>
      <c r="F230" s="478"/>
      <c r="G230" s="478"/>
      <c r="H230" s="478"/>
      <c r="I230" s="478"/>
      <c r="J230" s="478"/>
      <c r="K230" s="478"/>
      <c r="L230" s="478"/>
      <c r="M230" s="478"/>
      <c r="N230" s="478"/>
    </row>
    <row r="232" spans="2:14" ht="15.5" x14ac:dyDescent="0.35">
      <c r="B232" s="480" t="s">
        <v>309</v>
      </c>
    </row>
    <row r="249" spans="2:28" x14ac:dyDescent="0.25">
      <c r="M249" s="160" t="str">
        <f>B232</f>
        <v>Bandwidth growth sanity check</v>
      </c>
    </row>
    <row r="250" spans="2:28" x14ac:dyDescent="0.25">
      <c r="E250" s="136">
        <v>2016</v>
      </c>
      <c r="F250" s="129">
        <v>2017</v>
      </c>
      <c r="G250" s="129">
        <v>2018</v>
      </c>
      <c r="H250" s="129">
        <v>2019</v>
      </c>
      <c r="I250" s="129">
        <v>2020</v>
      </c>
      <c r="J250" s="129">
        <v>2021</v>
      </c>
      <c r="K250" s="129">
        <v>2022</v>
      </c>
      <c r="L250" s="129">
        <v>2023</v>
      </c>
      <c r="M250" s="129">
        <v>2024</v>
      </c>
      <c r="N250" s="129">
        <v>2025</v>
      </c>
    </row>
    <row r="251" spans="2:28" x14ac:dyDescent="0.25">
      <c r="D251" s="495" t="s">
        <v>199</v>
      </c>
      <c r="E251" s="496"/>
      <c r="F251" s="496"/>
      <c r="G251" s="496"/>
      <c r="H251" s="496"/>
      <c r="I251" s="496"/>
      <c r="J251" s="496"/>
      <c r="K251" s="496"/>
      <c r="L251" s="496"/>
      <c r="M251" s="496"/>
      <c r="N251" s="496"/>
    </row>
    <row r="252" spans="2:28" x14ac:dyDescent="0.25">
      <c r="D252" s="495" t="s">
        <v>315</v>
      </c>
      <c r="E252" s="496"/>
      <c r="F252" s="496"/>
      <c r="G252" s="496"/>
      <c r="H252" s="496"/>
      <c r="I252" s="496"/>
      <c r="J252" s="496"/>
      <c r="K252" s="496"/>
      <c r="L252" s="496"/>
      <c r="M252" s="496"/>
      <c r="N252" s="496"/>
    </row>
    <row r="253" spans="2:28" x14ac:dyDescent="0.25">
      <c r="D253" s="495" t="s">
        <v>253</v>
      </c>
      <c r="E253" s="496"/>
      <c r="F253" s="496"/>
      <c r="G253" s="496"/>
      <c r="H253" s="496"/>
      <c r="I253" s="496"/>
      <c r="J253" s="496"/>
      <c r="K253" s="496"/>
      <c r="L253" s="496"/>
      <c r="M253" s="496"/>
      <c r="N253" s="496"/>
    </row>
    <row r="255" spans="2:28" ht="15.5" x14ac:dyDescent="0.35">
      <c r="B255" s="480" t="s">
        <v>310</v>
      </c>
      <c r="N255" s="262" t="str">
        <f>B255</f>
        <v>Annual Bandwidth Deployed - China</v>
      </c>
      <c r="P255" s="480" t="s">
        <v>311</v>
      </c>
      <c r="Q255" s="163"/>
      <c r="R255" s="163"/>
    </row>
    <row r="256" spans="2:28" x14ac:dyDescent="0.25">
      <c r="B256" s="7" t="s">
        <v>10</v>
      </c>
      <c r="C256" s="7" t="s">
        <v>11</v>
      </c>
      <c r="D256" s="1" t="s">
        <v>12</v>
      </c>
      <c r="E256" s="39">
        <v>2016</v>
      </c>
      <c r="F256" s="7">
        <v>2017</v>
      </c>
      <c r="G256" s="7">
        <v>2018</v>
      </c>
      <c r="H256" s="7">
        <v>2019</v>
      </c>
      <c r="I256" s="7">
        <v>2020</v>
      </c>
      <c r="J256" s="7">
        <v>2021</v>
      </c>
      <c r="K256" s="7">
        <v>2022</v>
      </c>
      <c r="L256" s="7">
        <v>2023</v>
      </c>
      <c r="M256" s="7">
        <v>2024</v>
      </c>
      <c r="N256" s="7">
        <v>2025</v>
      </c>
      <c r="P256" s="129" t="s">
        <v>10</v>
      </c>
      <c r="Q256" s="129" t="s">
        <v>11</v>
      </c>
      <c r="R256" s="123" t="s">
        <v>12</v>
      </c>
      <c r="S256" s="129">
        <v>2016</v>
      </c>
      <c r="T256" s="129">
        <v>2017</v>
      </c>
      <c r="U256" s="129">
        <v>2018</v>
      </c>
      <c r="V256" s="129">
        <v>2019</v>
      </c>
      <c r="W256" s="129">
        <v>2020</v>
      </c>
      <c r="X256" s="129">
        <v>2021</v>
      </c>
      <c r="Y256" s="129">
        <v>2022</v>
      </c>
      <c r="Z256" s="129">
        <f>L256</f>
        <v>2023</v>
      </c>
      <c r="AA256" s="129">
        <f>M256</f>
        <v>2024</v>
      </c>
      <c r="AB256" s="129">
        <f>N256</f>
        <v>2025</v>
      </c>
    </row>
    <row r="257" spans="1:28" x14ac:dyDescent="0.25">
      <c r="A257" s="9">
        <v>1</v>
      </c>
      <c r="B257" s="467" t="s">
        <v>469</v>
      </c>
      <c r="C257" s="470" t="s">
        <v>20</v>
      </c>
      <c r="D257" s="264" t="s">
        <v>20</v>
      </c>
      <c r="E257" s="492">
        <f t="shared" ref="E257:L257" si="85">E30*$A257</f>
        <v>172987.87533062306</v>
      </c>
      <c r="F257" s="492">
        <f t="shared" si="85"/>
        <v>112853.8576</v>
      </c>
      <c r="G257" s="492"/>
      <c r="H257" s="492"/>
      <c r="I257" s="492"/>
      <c r="J257" s="492"/>
      <c r="K257" s="492"/>
      <c r="L257" s="493"/>
      <c r="M257" s="493"/>
      <c r="N257" s="493"/>
      <c r="P257" s="780" t="s">
        <v>124</v>
      </c>
      <c r="Q257" s="671" t="s">
        <v>20</v>
      </c>
      <c r="R257" s="672" t="s">
        <v>20</v>
      </c>
      <c r="S257" s="673">
        <v>1001893.0725981866</v>
      </c>
      <c r="T257" s="674">
        <f t="shared" ref="T257:T273" si="86">S257+A257</f>
        <v>1001894.0725981866</v>
      </c>
      <c r="U257" s="674"/>
      <c r="V257" s="674"/>
      <c r="W257" s="674"/>
      <c r="X257" s="674"/>
      <c r="Y257" s="674"/>
      <c r="Z257" s="674"/>
      <c r="AA257" s="674"/>
      <c r="AB257" s="674"/>
    </row>
    <row r="258" spans="1:28" x14ac:dyDescent="0.25">
      <c r="A258" s="9">
        <v>10</v>
      </c>
      <c r="B258" s="467" t="s">
        <v>470</v>
      </c>
      <c r="C258" s="470" t="s">
        <v>20</v>
      </c>
      <c r="D258" s="264" t="s">
        <v>20</v>
      </c>
      <c r="E258" s="492">
        <f t="shared" ref="E258:L267" si="87">E31*$A258</f>
        <v>15910195.166183695</v>
      </c>
      <c r="F258" s="492">
        <f t="shared" si="87"/>
        <v>18344973.707182698</v>
      </c>
      <c r="G258" s="492"/>
      <c r="H258" s="492"/>
      <c r="I258" s="492"/>
      <c r="J258" s="492"/>
      <c r="K258" s="492"/>
      <c r="L258" s="493"/>
      <c r="M258" s="493"/>
      <c r="N258" s="493"/>
      <c r="P258" s="780" t="s">
        <v>133</v>
      </c>
      <c r="Q258" s="671" t="s">
        <v>20</v>
      </c>
      <c r="R258" s="672" t="s">
        <v>20</v>
      </c>
      <c r="S258" s="673">
        <v>55983492.403033689</v>
      </c>
      <c r="T258" s="674">
        <f t="shared" si="86"/>
        <v>55983502.403033689</v>
      </c>
      <c r="U258" s="674"/>
      <c r="V258" s="674"/>
      <c r="W258" s="674"/>
      <c r="X258" s="674"/>
      <c r="Y258" s="674"/>
      <c r="Z258" s="674"/>
      <c r="AA258" s="674"/>
      <c r="AB258" s="674"/>
    </row>
    <row r="259" spans="1:28" ht="13" x14ac:dyDescent="0.3">
      <c r="A259" s="9">
        <v>26</v>
      </c>
      <c r="B259" s="467" t="s">
        <v>471</v>
      </c>
      <c r="C259" s="470" t="s">
        <v>20</v>
      </c>
      <c r="D259" s="282" t="s">
        <v>154</v>
      </c>
      <c r="E259" s="492">
        <f t="shared" si="87"/>
        <v>0</v>
      </c>
      <c r="F259" s="492">
        <f t="shared" si="87"/>
        <v>0</v>
      </c>
      <c r="G259" s="492"/>
      <c r="H259" s="492"/>
      <c r="I259" s="492"/>
      <c r="J259" s="492"/>
      <c r="K259" s="492"/>
      <c r="L259" s="493"/>
      <c r="M259" s="493"/>
      <c r="N259" s="493"/>
      <c r="P259" s="780" t="s">
        <v>153</v>
      </c>
      <c r="Q259" s="671" t="s">
        <v>20</v>
      </c>
      <c r="R259" s="675" t="s">
        <v>154</v>
      </c>
      <c r="S259" s="673">
        <v>0</v>
      </c>
      <c r="T259" s="674">
        <f t="shared" si="86"/>
        <v>26</v>
      </c>
      <c r="U259" s="674"/>
      <c r="V259" s="674"/>
      <c r="W259" s="674"/>
      <c r="X259" s="674"/>
      <c r="Y259" s="674"/>
      <c r="Z259" s="674"/>
      <c r="AA259" s="674"/>
      <c r="AB259" s="674"/>
    </row>
    <row r="260" spans="1:28" x14ac:dyDescent="0.25">
      <c r="A260" s="60">
        <v>40</v>
      </c>
      <c r="B260" s="171" t="s">
        <v>472</v>
      </c>
      <c r="C260" s="321" t="s">
        <v>161</v>
      </c>
      <c r="D260" s="171" t="s">
        <v>137</v>
      </c>
      <c r="E260" s="492">
        <f t="shared" si="87"/>
        <v>10890927.6</v>
      </c>
      <c r="F260" s="492">
        <f t="shared" si="87"/>
        <v>15855165.259999998</v>
      </c>
      <c r="G260" s="492"/>
      <c r="H260" s="492"/>
      <c r="I260" s="492"/>
      <c r="J260" s="492"/>
      <c r="K260" s="492"/>
      <c r="L260" s="493"/>
      <c r="M260" s="493"/>
      <c r="N260" s="493"/>
      <c r="P260" s="672" t="s">
        <v>139</v>
      </c>
      <c r="Q260" s="676" t="s">
        <v>161</v>
      </c>
      <c r="R260" s="672" t="s">
        <v>137</v>
      </c>
      <c r="S260" s="673">
        <v>29387229.200000003</v>
      </c>
      <c r="T260" s="674">
        <f t="shared" si="86"/>
        <v>29387269.200000003</v>
      </c>
      <c r="U260" s="674"/>
      <c r="V260" s="674"/>
      <c r="W260" s="674"/>
      <c r="X260" s="674"/>
      <c r="Y260" s="674"/>
      <c r="Z260" s="674"/>
      <c r="AA260" s="674"/>
      <c r="AB260" s="674"/>
    </row>
    <row r="261" spans="1:28" x14ac:dyDescent="0.25">
      <c r="A261" s="60">
        <v>40</v>
      </c>
      <c r="B261" s="264" t="s">
        <v>473</v>
      </c>
      <c r="C261" s="467" t="s">
        <v>22</v>
      </c>
      <c r="D261" s="264" t="s">
        <v>137</v>
      </c>
      <c r="E261" s="492">
        <f t="shared" si="87"/>
        <v>1953096</v>
      </c>
      <c r="F261" s="492">
        <f t="shared" si="87"/>
        <v>1963648.0000000002</v>
      </c>
      <c r="G261" s="492"/>
      <c r="H261" s="492"/>
      <c r="I261" s="492"/>
      <c r="J261" s="492"/>
      <c r="K261" s="492"/>
      <c r="L261" s="493"/>
      <c r="M261" s="493"/>
      <c r="N261" s="493"/>
      <c r="P261" s="672" t="s">
        <v>136</v>
      </c>
      <c r="Q261" s="780" t="s">
        <v>22</v>
      </c>
      <c r="R261" s="672" t="s">
        <v>137</v>
      </c>
      <c r="S261" s="673">
        <v>2799348</v>
      </c>
      <c r="T261" s="674">
        <f t="shared" si="86"/>
        <v>2799388</v>
      </c>
      <c r="U261" s="674"/>
      <c r="V261" s="674"/>
      <c r="W261" s="674"/>
      <c r="X261" s="674"/>
      <c r="Y261" s="674"/>
      <c r="Z261" s="674"/>
      <c r="AA261" s="674"/>
      <c r="AB261" s="674"/>
    </row>
    <row r="262" spans="1:28" x14ac:dyDescent="0.25">
      <c r="A262" s="60">
        <v>40</v>
      </c>
      <c r="B262" s="811" t="s">
        <v>474</v>
      </c>
      <c r="C262" s="800" t="s">
        <v>23</v>
      </c>
      <c r="D262" s="484" t="s">
        <v>146</v>
      </c>
      <c r="E262" s="492">
        <f t="shared" si="87"/>
        <v>0</v>
      </c>
      <c r="F262" s="492">
        <f t="shared" si="87"/>
        <v>0</v>
      </c>
      <c r="G262" s="492"/>
      <c r="H262" s="492"/>
      <c r="I262" s="492"/>
      <c r="J262" s="492"/>
      <c r="K262" s="492"/>
      <c r="L262" s="493"/>
      <c r="M262" s="493"/>
      <c r="N262" s="493"/>
      <c r="P262" s="814" t="s">
        <v>145</v>
      </c>
      <c r="Q262" s="817" t="s">
        <v>23</v>
      </c>
      <c r="R262" s="677" t="s">
        <v>146</v>
      </c>
      <c r="S262" s="673">
        <v>0</v>
      </c>
      <c r="T262" s="674">
        <f t="shared" si="86"/>
        <v>40</v>
      </c>
      <c r="U262" s="674"/>
      <c r="V262" s="674"/>
      <c r="W262" s="674"/>
      <c r="X262" s="674"/>
      <c r="Y262" s="674"/>
      <c r="Z262" s="674"/>
      <c r="AA262" s="674"/>
      <c r="AB262" s="674"/>
    </row>
    <row r="263" spans="1:28" x14ac:dyDescent="0.25">
      <c r="A263" s="60">
        <v>40</v>
      </c>
      <c r="B263" s="812"/>
      <c r="C263" s="801"/>
      <c r="D263" s="255" t="s">
        <v>147</v>
      </c>
      <c r="E263" s="492">
        <f t="shared" si="87"/>
        <v>2068919.5999999999</v>
      </c>
      <c r="F263" s="492">
        <f t="shared" si="87"/>
        <v>5162342.4000000004</v>
      </c>
      <c r="G263" s="492"/>
      <c r="H263" s="492"/>
      <c r="I263" s="492"/>
      <c r="J263" s="492"/>
      <c r="K263" s="492"/>
      <c r="L263" s="493"/>
      <c r="M263" s="493"/>
      <c r="N263" s="493"/>
      <c r="P263" s="815"/>
      <c r="Q263" s="818"/>
      <c r="R263" s="678" t="s">
        <v>147</v>
      </c>
      <c r="S263" s="673">
        <v>4295370.8</v>
      </c>
      <c r="T263" s="674">
        <f t="shared" si="86"/>
        <v>4295410.8</v>
      </c>
      <c r="U263" s="674"/>
      <c r="V263" s="674"/>
      <c r="W263" s="674"/>
      <c r="X263" s="674"/>
      <c r="Y263" s="674"/>
      <c r="Z263" s="674"/>
      <c r="AA263" s="674"/>
      <c r="AB263" s="674"/>
    </row>
    <row r="264" spans="1:28" x14ac:dyDescent="0.25">
      <c r="A264" s="60">
        <v>40</v>
      </c>
      <c r="B264" s="812"/>
      <c r="C264" s="467" t="s">
        <v>24</v>
      </c>
      <c r="D264" s="485" t="s">
        <v>20</v>
      </c>
      <c r="E264" s="492">
        <f t="shared" si="87"/>
        <v>838776.16000000015</v>
      </c>
      <c r="F264" s="492">
        <f t="shared" si="87"/>
        <v>1766069.24</v>
      </c>
      <c r="G264" s="492"/>
      <c r="H264" s="492"/>
      <c r="I264" s="492"/>
      <c r="J264" s="492"/>
      <c r="K264" s="492"/>
      <c r="L264" s="493"/>
      <c r="M264" s="493"/>
      <c r="N264" s="493"/>
      <c r="P264" s="815"/>
      <c r="Q264" s="780" t="s">
        <v>24</v>
      </c>
      <c r="R264" s="780" t="s">
        <v>20</v>
      </c>
      <c r="S264" s="673">
        <v>1502791.3200000003</v>
      </c>
      <c r="T264" s="674">
        <f t="shared" si="86"/>
        <v>1502831.3200000003</v>
      </c>
      <c r="U264" s="674"/>
      <c r="V264" s="674"/>
      <c r="W264" s="674"/>
      <c r="X264" s="674"/>
      <c r="Y264" s="674"/>
      <c r="Z264" s="674"/>
      <c r="AA264" s="674"/>
      <c r="AB264" s="674"/>
    </row>
    <row r="265" spans="1:28" x14ac:dyDescent="0.25">
      <c r="A265" s="60">
        <v>40</v>
      </c>
      <c r="B265" s="813"/>
      <c r="C265" s="171" t="s">
        <v>25</v>
      </c>
      <c r="D265" s="485" t="s">
        <v>20</v>
      </c>
      <c r="E265" s="492">
        <f t="shared" si="87"/>
        <v>7830.4000000000015</v>
      </c>
      <c r="F265" s="492">
        <f t="shared" si="87"/>
        <v>9777.6</v>
      </c>
      <c r="G265" s="492"/>
      <c r="H265" s="492"/>
      <c r="I265" s="492"/>
      <c r="J265" s="492"/>
      <c r="K265" s="492"/>
      <c r="L265" s="493"/>
      <c r="M265" s="493"/>
      <c r="N265" s="493"/>
      <c r="P265" s="816"/>
      <c r="Q265" s="672" t="s">
        <v>25</v>
      </c>
      <c r="R265" s="780" t="s">
        <v>20</v>
      </c>
      <c r="S265" s="673">
        <v>14000.900000000001</v>
      </c>
      <c r="T265" s="674">
        <f t="shared" si="86"/>
        <v>14040.900000000001</v>
      </c>
      <c r="U265" s="674"/>
      <c r="V265" s="674"/>
      <c r="W265" s="674"/>
      <c r="X265" s="674"/>
      <c r="Y265" s="674"/>
      <c r="Z265" s="674"/>
      <c r="AA265" s="674"/>
      <c r="AB265" s="674"/>
    </row>
    <row r="266" spans="1:28" x14ac:dyDescent="0.25">
      <c r="A266" s="60">
        <v>50</v>
      </c>
      <c r="B266" s="486" t="s">
        <v>475</v>
      </c>
      <c r="C266" s="467" t="s">
        <v>60</v>
      </c>
      <c r="D266" s="485" t="s">
        <v>20</v>
      </c>
      <c r="E266" s="492">
        <f t="shared" si="87"/>
        <v>0</v>
      </c>
      <c r="F266" s="492">
        <f t="shared" si="87"/>
        <v>0</v>
      </c>
      <c r="G266" s="492"/>
      <c r="H266" s="492"/>
      <c r="I266" s="492"/>
      <c r="J266" s="492"/>
      <c r="K266" s="492"/>
      <c r="L266" s="493"/>
      <c r="M266" s="493"/>
      <c r="N266" s="493"/>
      <c r="P266" s="778" t="s">
        <v>156</v>
      </c>
      <c r="Q266" s="780" t="s">
        <v>60</v>
      </c>
      <c r="R266" s="780" t="s">
        <v>20</v>
      </c>
      <c r="S266" s="673">
        <v>0</v>
      </c>
      <c r="T266" s="674">
        <f t="shared" si="86"/>
        <v>50</v>
      </c>
      <c r="U266" s="674"/>
      <c r="V266" s="674"/>
      <c r="W266" s="674"/>
      <c r="X266" s="674"/>
      <c r="Y266" s="674"/>
      <c r="Z266" s="674"/>
      <c r="AA266" s="674"/>
      <c r="AB266" s="674"/>
    </row>
    <row r="267" spans="1:28" x14ac:dyDescent="0.25">
      <c r="A267" s="60">
        <v>100</v>
      </c>
      <c r="B267" s="800" t="s">
        <v>476</v>
      </c>
      <c r="C267" s="467" t="s">
        <v>161</v>
      </c>
      <c r="D267" s="485" t="s">
        <v>20</v>
      </c>
      <c r="E267" s="492">
        <f t="shared" si="87"/>
        <v>2800580.0000000005</v>
      </c>
      <c r="F267" s="492">
        <f t="shared" si="87"/>
        <v>12455840</v>
      </c>
      <c r="G267" s="492"/>
      <c r="H267" s="492"/>
      <c r="I267" s="492"/>
      <c r="J267" s="492"/>
      <c r="K267" s="492"/>
      <c r="L267" s="493"/>
      <c r="M267" s="493"/>
      <c r="N267" s="493"/>
      <c r="P267" s="817" t="s">
        <v>140</v>
      </c>
      <c r="Q267" s="780" t="s">
        <v>161</v>
      </c>
      <c r="R267" s="780" t="s">
        <v>20</v>
      </c>
      <c r="S267" s="673">
        <v>2011601.0000000002</v>
      </c>
      <c r="T267" s="674">
        <f t="shared" si="86"/>
        <v>2011701.0000000002</v>
      </c>
      <c r="U267" s="674"/>
      <c r="V267" s="674"/>
      <c r="W267" s="674"/>
      <c r="X267" s="674"/>
      <c r="Y267" s="674"/>
      <c r="Z267" s="674"/>
      <c r="AA267" s="674"/>
      <c r="AB267" s="674"/>
    </row>
    <row r="268" spans="1:28" x14ac:dyDescent="0.25">
      <c r="A268" s="60">
        <v>100</v>
      </c>
      <c r="B268" s="810"/>
      <c r="C268" s="470" t="s">
        <v>22</v>
      </c>
      <c r="D268" s="264" t="s">
        <v>162</v>
      </c>
      <c r="E268" s="492">
        <f t="shared" ref="E268:L273" si="88">E41*$A268</f>
        <v>0</v>
      </c>
      <c r="F268" s="492">
        <f t="shared" si="88"/>
        <v>2786900.2</v>
      </c>
      <c r="G268" s="492"/>
      <c r="H268" s="492"/>
      <c r="I268" s="492"/>
      <c r="J268" s="492"/>
      <c r="K268" s="492"/>
      <c r="L268" s="493"/>
      <c r="M268" s="493"/>
      <c r="N268" s="493"/>
      <c r="P268" s="819"/>
      <c r="Q268" s="671" t="s">
        <v>22</v>
      </c>
      <c r="R268" s="672" t="s">
        <v>162</v>
      </c>
      <c r="S268" s="673">
        <v>0</v>
      </c>
      <c r="T268" s="674">
        <f t="shared" si="86"/>
        <v>100</v>
      </c>
      <c r="U268" s="674"/>
      <c r="V268" s="674"/>
      <c r="W268" s="674"/>
      <c r="X268" s="674"/>
      <c r="Y268" s="674"/>
      <c r="Z268" s="674"/>
      <c r="AA268" s="674"/>
      <c r="AB268" s="674"/>
    </row>
    <row r="269" spans="1:28" x14ac:dyDescent="0.25">
      <c r="A269" s="60">
        <v>100</v>
      </c>
      <c r="B269" s="810"/>
      <c r="C269" s="467" t="s">
        <v>23</v>
      </c>
      <c r="D269" s="487" t="s">
        <v>162</v>
      </c>
      <c r="E269" s="492">
        <f t="shared" si="88"/>
        <v>0</v>
      </c>
      <c r="F269" s="492">
        <f t="shared" si="88"/>
        <v>585781.80000000005</v>
      </c>
      <c r="G269" s="492"/>
      <c r="H269" s="492"/>
      <c r="I269" s="492"/>
      <c r="J269" s="492"/>
      <c r="K269" s="492"/>
      <c r="L269" s="493"/>
      <c r="M269" s="493"/>
      <c r="N269" s="493"/>
      <c r="P269" s="819"/>
      <c r="Q269" s="780" t="s">
        <v>23</v>
      </c>
      <c r="R269" s="779" t="s">
        <v>162</v>
      </c>
      <c r="S269" s="673">
        <v>0</v>
      </c>
      <c r="T269" s="674">
        <f t="shared" si="86"/>
        <v>100</v>
      </c>
      <c r="U269" s="674"/>
      <c r="V269" s="674"/>
      <c r="W269" s="674"/>
      <c r="X269" s="674"/>
      <c r="Y269" s="674"/>
      <c r="Z269" s="674"/>
      <c r="AA269" s="674"/>
      <c r="AB269" s="674"/>
    </row>
    <row r="270" spans="1:28" x14ac:dyDescent="0.25">
      <c r="A270" s="60">
        <v>100</v>
      </c>
      <c r="B270" s="810"/>
      <c r="C270" s="467" t="s">
        <v>163</v>
      </c>
      <c r="D270" s="485" t="s">
        <v>20</v>
      </c>
      <c r="E270" s="492">
        <f t="shared" si="88"/>
        <v>0</v>
      </c>
      <c r="F270" s="492">
        <f t="shared" si="88"/>
        <v>588292.80000000005</v>
      </c>
      <c r="G270" s="492"/>
      <c r="H270" s="492"/>
      <c r="I270" s="492"/>
      <c r="J270" s="492"/>
      <c r="K270" s="492"/>
      <c r="L270" s="493"/>
      <c r="M270" s="493"/>
      <c r="N270" s="493"/>
      <c r="P270" s="819"/>
      <c r="Q270" s="780" t="s">
        <v>163</v>
      </c>
      <c r="R270" s="780" t="s">
        <v>20</v>
      </c>
      <c r="S270" s="673">
        <v>0</v>
      </c>
      <c r="T270" s="674">
        <f t="shared" si="86"/>
        <v>100</v>
      </c>
      <c r="U270" s="674"/>
      <c r="V270" s="674"/>
      <c r="W270" s="674"/>
      <c r="X270" s="674"/>
      <c r="Y270" s="674"/>
      <c r="Z270" s="674"/>
      <c r="AA270" s="674"/>
      <c r="AB270" s="674"/>
    </row>
    <row r="271" spans="1:28" x14ac:dyDescent="0.25">
      <c r="A271" s="60">
        <v>100</v>
      </c>
      <c r="B271" s="801"/>
      <c r="C271" s="171" t="s">
        <v>25</v>
      </c>
      <c r="D271" s="171" t="s">
        <v>20</v>
      </c>
      <c r="E271" s="492">
        <f t="shared" si="88"/>
        <v>0</v>
      </c>
      <c r="F271" s="492">
        <f t="shared" si="88"/>
        <v>0</v>
      </c>
      <c r="G271" s="492"/>
      <c r="H271" s="492"/>
      <c r="I271" s="492"/>
      <c r="J271" s="492"/>
      <c r="K271" s="492"/>
      <c r="L271" s="493"/>
      <c r="M271" s="493"/>
      <c r="N271" s="493"/>
      <c r="P271" s="818"/>
      <c r="Q271" s="672" t="s">
        <v>25</v>
      </c>
      <c r="R271" s="672" t="s">
        <v>20</v>
      </c>
      <c r="S271" s="673">
        <v>0</v>
      </c>
      <c r="T271" s="674">
        <f t="shared" si="86"/>
        <v>100</v>
      </c>
      <c r="U271" s="674"/>
      <c r="V271" s="674"/>
      <c r="W271" s="674"/>
      <c r="X271" s="674"/>
      <c r="Y271" s="674"/>
      <c r="Z271" s="674"/>
      <c r="AA271" s="674"/>
      <c r="AB271" s="674"/>
    </row>
    <row r="272" spans="1:28" x14ac:dyDescent="0.25">
      <c r="A272" s="60">
        <v>200</v>
      </c>
      <c r="B272" s="469" t="s">
        <v>477</v>
      </c>
      <c r="C272" s="264" t="s">
        <v>20</v>
      </c>
      <c r="D272" s="264" t="s">
        <v>20</v>
      </c>
      <c r="E272" s="492">
        <f t="shared" si="88"/>
        <v>0</v>
      </c>
      <c r="F272" s="492">
        <f t="shared" si="88"/>
        <v>0</v>
      </c>
      <c r="G272" s="492"/>
      <c r="H272" s="492"/>
      <c r="I272" s="492"/>
      <c r="J272" s="492"/>
      <c r="K272" s="492"/>
      <c r="L272" s="493"/>
      <c r="M272" s="493"/>
      <c r="N272" s="493"/>
      <c r="P272" s="781" t="s">
        <v>157</v>
      </c>
      <c r="Q272" s="672" t="s">
        <v>20</v>
      </c>
      <c r="R272" s="672" t="s">
        <v>20</v>
      </c>
      <c r="S272" s="673">
        <v>0</v>
      </c>
      <c r="T272" s="674">
        <f t="shared" si="86"/>
        <v>200</v>
      </c>
      <c r="U272" s="674"/>
      <c r="V272" s="674"/>
      <c r="W272" s="674"/>
      <c r="X272" s="674"/>
      <c r="Y272" s="674"/>
      <c r="Z272" s="674"/>
      <c r="AA272" s="674"/>
      <c r="AB272" s="674"/>
    </row>
    <row r="273" spans="1:28" x14ac:dyDescent="0.25">
      <c r="A273" s="60">
        <v>400</v>
      </c>
      <c r="B273" s="264" t="s">
        <v>478</v>
      </c>
      <c r="C273" s="264" t="s">
        <v>20</v>
      </c>
      <c r="D273" s="264" t="s">
        <v>20</v>
      </c>
      <c r="E273" s="492">
        <f t="shared" si="88"/>
        <v>0</v>
      </c>
      <c r="F273" s="492">
        <f t="shared" si="88"/>
        <v>0</v>
      </c>
      <c r="G273" s="492"/>
      <c r="H273" s="492"/>
      <c r="I273" s="492"/>
      <c r="J273" s="492"/>
      <c r="K273" s="492"/>
      <c r="L273" s="493"/>
      <c r="M273" s="493"/>
      <c r="N273" s="493"/>
      <c r="P273" s="672" t="s">
        <v>152</v>
      </c>
      <c r="Q273" s="672" t="s">
        <v>20</v>
      </c>
      <c r="R273" s="672" t="s">
        <v>20</v>
      </c>
      <c r="S273" s="673">
        <v>0</v>
      </c>
      <c r="T273" s="679">
        <f t="shared" si="86"/>
        <v>400</v>
      </c>
      <c r="U273" s="679"/>
      <c r="V273" s="679"/>
      <c r="W273" s="679"/>
      <c r="X273" s="679"/>
      <c r="Y273" s="679"/>
      <c r="Z273" s="679"/>
      <c r="AA273" s="679"/>
      <c r="AB273" s="679"/>
    </row>
    <row r="274" spans="1:28" x14ac:dyDescent="0.25">
      <c r="B274" s="170" t="s">
        <v>9</v>
      </c>
      <c r="C274" s="264" t="s">
        <v>20</v>
      </c>
      <c r="D274" s="264" t="s">
        <v>20</v>
      </c>
      <c r="E274" s="235">
        <f t="shared" ref="E274:L274" si="89">SUM(E257:E273)</f>
        <v>34643312.80151432</v>
      </c>
      <c r="F274" s="235">
        <f t="shared" si="89"/>
        <v>59631644.864782698</v>
      </c>
      <c r="G274" s="235"/>
      <c r="H274" s="235"/>
      <c r="I274" s="235"/>
      <c r="J274" s="235"/>
      <c r="K274" s="235"/>
      <c r="L274" s="345"/>
      <c r="M274" s="345"/>
      <c r="N274" s="345"/>
      <c r="P274" s="840" t="s">
        <v>9</v>
      </c>
      <c r="Q274" s="672" t="s">
        <v>20</v>
      </c>
      <c r="R274" s="672" t="s">
        <v>20</v>
      </c>
      <c r="S274" s="841">
        <f>SUM(S257:S273)</f>
        <v>96995726.695631891</v>
      </c>
      <c r="T274" s="520">
        <f t="shared" ref="T274:Z274" si="90">SUM(T257:T273)</f>
        <v>96997153.695631891</v>
      </c>
      <c r="U274" s="520"/>
      <c r="V274" s="520"/>
      <c r="W274" s="520"/>
      <c r="X274" s="520"/>
      <c r="Y274" s="520"/>
      <c r="Z274" s="520"/>
      <c r="AA274" s="520"/>
      <c r="AB274" s="520"/>
    </row>
    <row r="275" spans="1:28" x14ac:dyDescent="0.25">
      <c r="D275" s="49"/>
      <c r="E275" s="49"/>
      <c r="F275" s="49"/>
      <c r="G275" s="49"/>
      <c r="H275" s="49"/>
      <c r="I275" s="49"/>
      <c r="J275" s="49"/>
      <c r="K275" s="49"/>
      <c r="L275" s="49"/>
      <c r="M275" s="49"/>
      <c r="N275" s="49"/>
      <c r="P275" s="680"/>
      <c r="Q275" s="680"/>
      <c r="R275" s="681" t="s">
        <v>312</v>
      </c>
      <c r="S275" s="681"/>
      <c r="T275" s="682">
        <v>0.53492252696080822</v>
      </c>
      <c r="U275" s="682"/>
      <c r="V275" s="682"/>
      <c r="W275" s="682"/>
      <c r="X275" s="682"/>
      <c r="Y275" s="682"/>
      <c r="Z275" s="682"/>
      <c r="AA275" s="682"/>
      <c r="AB275" s="682"/>
    </row>
    <row r="276" spans="1:28" x14ac:dyDescent="0.25">
      <c r="P276" s="683"/>
      <c r="Q276" s="683"/>
      <c r="R276" s="683"/>
      <c r="S276" s="683"/>
      <c r="T276" s="683"/>
      <c r="U276" s="683"/>
      <c r="V276" s="683"/>
      <c r="W276" s="683"/>
      <c r="X276" s="683"/>
      <c r="Y276" s="683"/>
      <c r="Z276" s="683"/>
      <c r="AA276" s="683"/>
      <c r="AB276" s="683"/>
    </row>
    <row r="277" spans="1:28" ht="15.5" x14ac:dyDescent="0.35">
      <c r="B277" s="480" t="s">
        <v>313</v>
      </c>
      <c r="N277" s="262" t="str">
        <f>B277</f>
        <v>Annual Bandwidth Deployed - ROW</v>
      </c>
      <c r="P277" s="480" t="s">
        <v>380</v>
      </c>
      <c r="Q277" s="163"/>
      <c r="R277" s="163"/>
    </row>
    <row r="278" spans="1:28" x14ac:dyDescent="0.25">
      <c r="B278" s="7" t="s">
        <v>10</v>
      </c>
      <c r="C278" s="7" t="s">
        <v>11</v>
      </c>
      <c r="D278" s="1" t="s">
        <v>12</v>
      </c>
      <c r="E278" s="39">
        <v>2016</v>
      </c>
      <c r="F278" s="7">
        <v>2017</v>
      </c>
      <c r="G278" s="7">
        <v>2018</v>
      </c>
      <c r="H278" s="7">
        <v>2019</v>
      </c>
      <c r="I278" s="7">
        <v>2020</v>
      </c>
      <c r="J278" s="7">
        <v>2021</v>
      </c>
      <c r="K278" s="7">
        <v>2022</v>
      </c>
      <c r="L278" s="7">
        <v>2023</v>
      </c>
      <c r="M278" s="7">
        <v>2024</v>
      </c>
      <c r="N278" s="7">
        <v>2025</v>
      </c>
      <c r="P278" s="129" t="str">
        <f t="shared" ref="P278:AB278" si="91">P256</f>
        <v>Data Rate</v>
      </c>
      <c r="Q278" s="129" t="str">
        <f t="shared" si="91"/>
        <v>Reach</v>
      </c>
      <c r="R278" s="123" t="str">
        <f t="shared" si="91"/>
        <v>Form Factor</v>
      </c>
      <c r="S278" s="129">
        <f t="shared" si="91"/>
        <v>2016</v>
      </c>
      <c r="T278" s="129">
        <f t="shared" si="91"/>
        <v>2017</v>
      </c>
      <c r="U278" s="129">
        <f t="shared" si="91"/>
        <v>2018</v>
      </c>
      <c r="V278" s="129">
        <f t="shared" si="91"/>
        <v>2019</v>
      </c>
      <c r="W278" s="129">
        <f t="shared" si="91"/>
        <v>2020</v>
      </c>
      <c r="X278" s="129">
        <f t="shared" si="91"/>
        <v>2021</v>
      </c>
      <c r="Y278" s="129">
        <f t="shared" si="91"/>
        <v>2022</v>
      </c>
      <c r="Z278" s="129">
        <f t="shared" si="91"/>
        <v>2023</v>
      </c>
      <c r="AA278" s="129">
        <f t="shared" si="91"/>
        <v>2024</v>
      </c>
      <c r="AB278" s="129">
        <f t="shared" si="91"/>
        <v>2025</v>
      </c>
    </row>
    <row r="279" spans="1:28" x14ac:dyDescent="0.25">
      <c r="A279" s="9">
        <v>1</v>
      </c>
      <c r="B279" s="467" t="s">
        <v>469</v>
      </c>
      <c r="C279" s="470" t="s">
        <v>20</v>
      </c>
      <c r="D279" s="264" t="s">
        <v>20</v>
      </c>
      <c r="E279" s="492">
        <f t="shared" ref="E279:L279" si="92">E97*$A279</f>
        <v>246686.91866937699</v>
      </c>
      <c r="F279" s="492">
        <f t="shared" si="92"/>
        <v>143632.18239999999</v>
      </c>
      <c r="G279" s="492"/>
      <c r="H279" s="492"/>
      <c r="I279" s="492"/>
      <c r="J279" s="492"/>
      <c r="K279" s="492"/>
      <c r="L279" s="493"/>
      <c r="M279" s="493"/>
      <c r="N279" s="493"/>
      <c r="P279" s="774" t="s">
        <v>124</v>
      </c>
      <c r="Q279" s="773" t="s">
        <v>20</v>
      </c>
      <c r="R279" s="772" t="s">
        <v>20</v>
      </c>
      <c r="S279" s="375">
        <v>2561317.0896792863</v>
      </c>
      <c r="T279" s="375">
        <f t="shared" ref="T279:AB294" si="93">S279+F279</f>
        <v>2704949.2720792862</v>
      </c>
      <c r="U279" s="375"/>
      <c r="V279" s="375"/>
      <c r="W279" s="375"/>
      <c r="X279" s="375"/>
      <c r="Y279" s="375"/>
      <c r="Z279" s="375"/>
      <c r="AA279" s="375"/>
      <c r="AB279" s="375"/>
    </row>
    <row r="280" spans="1:28" x14ac:dyDescent="0.25">
      <c r="A280" s="9">
        <v>10</v>
      </c>
      <c r="B280" s="467" t="s">
        <v>470</v>
      </c>
      <c r="C280" s="470" t="s">
        <v>20</v>
      </c>
      <c r="D280" s="264" t="s">
        <v>20</v>
      </c>
      <c r="E280" s="492">
        <f t="shared" ref="E280:L289" si="94">E98*$A280</f>
        <v>56408873.771014944</v>
      </c>
      <c r="F280" s="492">
        <f t="shared" si="94"/>
        <v>58092416.739411891</v>
      </c>
      <c r="G280" s="492"/>
      <c r="H280" s="492"/>
      <c r="I280" s="492"/>
      <c r="J280" s="492"/>
      <c r="K280" s="492"/>
      <c r="L280" s="493"/>
      <c r="M280" s="493"/>
      <c r="N280" s="493"/>
      <c r="P280" s="774" t="s">
        <v>133</v>
      </c>
      <c r="Q280" s="773" t="s">
        <v>20</v>
      </c>
      <c r="R280" s="772" t="s">
        <v>20</v>
      </c>
      <c r="S280" s="375">
        <v>267944214.70391494</v>
      </c>
      <c r="T280" s="375">
        <f t="shared" si="93"/>
        <v>326036631.44332683</v>
      </c>
      <c r="U280" s="375"/>
      <c r="V280" s="375"/>
      <c r="W280" s="375"/>
      <c r="X280" s="375"/>
      <c r="Y280" s="375"/>
      <c r="Z280" s="375"/>
      <c r="AA280" s="375"/>
      <c r="AB280" s="375"/>
    </row>
    <row r="281" spans="1:28" ht="13" x14ac:dyDescent="0.3">
      <c r="A281" s="9">
        <v>26</v>
      </c>
      <c r="B281" s="467" t="s">
        <v>471</v>
      </c>
      <c r="C281" s="470" t="s">
        <v>20</v>
      </c>
      <c r="D281" s="282" t="s">
        <v>154</v>
      </c>
      <c r="E281" s="492">
        <f t="shared" si="94"/>
        <v>0</v>
      </c>
      <c r="F281" s="492">
        <f t="shared" si="94"/>
        <v>0</v>
      </c>
      <c r="G281" s="492"/>
      <c r="H281" s="492"/>
      <c r="I281" s="492"/>
      <c r="J281" s="492"/>
      <c r="K281" s="492"/>
      <c r="L281" s="493"/>
      <c r="M281" s="493"/>
      <c r="N281" s="493"/>
      <c r="P281" s="774" t="s">
        <v>153</v>
      </c>
      <c r="Q281" s="773" t="s">
        <v>20</v>
      </c>
      <c r="R281" s="282" t="s">
        <v>154</v>
      </c>
      <c r="S281" s="375">
        <v>0</v>
      </c>
      <c r="T281" s="375">
        <f t="shared" si="93"/>
        <v>0</v>
      </c>
      <c r="U281" s="375"/>
      <c r="V281" s="375"/>
      <c r="W281" s="375"/>
      <c r="X281" s="375"/>
      <c r="Y281" s="375"/>
      <c r="Z281" s="375"/>
      <c r="AA281" s="375"/>
      <c r="AB281" s="375"/>
    </row>
    <row r="282" spans="1:28" x14ac:dyDescent="0.25">
      <c r="A282" s="60">
        <v>40</v>
      </c>
      <c r="B282" s="171" t="s">
        <v>472</v>
      </c>
      <c r="C282" s="321" t="s">
        <v>161</v>
      </c>
      <c r="D282" s="171" t="s">
        <v>137</v>
      </c>
      <c r="E282" s="492">
        <f t="shared" si="94"/>
        <v>20226008.400000002</v>
      </c>
      <c r="F282" s="492">
        <f t="shared" si="94"/>
        <v>26996632.740000002</v>
      </c>
      <c r="G282" s="492"/>
      <c r="H282" s="492"/>
      <c r="I282" s="492"/>
      <c r="J282" s="492"/>
      <c r="K282" s="492"/>
      <c r="L282" s="493"/>
      <c r="M282" s="493"/>
      <c r="N282" s="493"/>
      <c r="P282" s="772" t="s">
        <v>139</v>
      </c>
      <c r="Q282" s="321" t="s">
        <v>161</v>
      </c>
      <c r="R282" s="772" t="s">
        <v>137</v>
      </c>
      <c r="S282" s="375">
        <v>92285620.400000006</v>
      </c>
      <c r="T282" s="375">
        <f t="shared" si="93"/>
        <v>119282253.14000002</v>
      </c>
      <c r="U282" s="375"/>
      <c r="V282" s="375"/>
      <c r="W282" s="375"/>
      <c r="X282" s="375"/>
      <c r="Y282" s="375"/>
      <c r="Z282" s="375"/>
      <c r="AA282" s="375"/>
      <c r="AB282" s="375"/>
    </row>
    <row r="283" spans="1:28" x14ac:dyDescent="0.25">
      <c r="A283" s="60">
        <v>40</v>
      </c>
      <c r="B283" s="264" t="s">
        <v>473</v>
      </c>
      <c r="C283" s="467" t="s">
        <v>22</v>
      </c>
      <c r="D283" s="264" t="s">
        <v>137</v>
      </c>
      <c r="E283" s="492">
        <f t="shared" si="94"/>
        <v>30598504</v>
      </c>
      <c r="F283" s="492">
        <f t="shared" si="94"/>
        <v>22581952</v>
      </c>
      <c r="G283" s="492"/>
      <c r="H283" s="492"/>
      <c r="I283" s="492"/>
      <c r="J283" s="492"/>
      <c r="K283" s="492"/>
      <c r="L283" s="493"/>
      <c r="M283" s="493"/>
      <c r="N283" s="493"/>
      <c r="P283" s="772" t="s">
        <v>136</v>
      </c>
      <c r="Q283" s="774" t="s">
        <v>22</v>
      </c>
      <c r="R283" s="772" t="s">
        <v>137</v>
      </c>
      <c r="S283" s="375">
        <v>48077292</v>
      </c>
      <c r="T283" s="375">
        <f t="shared" si="93"/>
        <v>70659244</v>
      </c>
      <c r="U283" s="375"/>
      <c r="V283" s="375"/>
      <c r="W283" s="375"/>
      <c r="X283" s="375"/>
      <c r="Y283" s="375"/>
      <c r="Z283" s="375"/>
      <c r="AA283" s="375"/>
      <c r="AB283" s="375"/>
    </row>
    <row r="284" spans="1:28" x14ac:dyDescent="0.25">
      <c r="A284" s="60">
        <v>40</v>
      </c>
      <c r="B284" s="811" t="s">
        <v>474</v>
      </c>
      <c r="C284" s="800" t="s">
        <v>23</v>
      </c>
      <c r="D284" s="484" t="s">
        <v>146</v>
      </c>
      <c r="E284" s="492">
        <f t="shared" si="94"/>
        <v>0</v>
      </c>
      <c r="F284" s="492">
        <f t="shared" si="94"/>
        <v>0</v>
      </c>
      <c r="G284" s="492"/>
      <c r="H284" s="492"/>
      <c r="I284" s="492"/>
      <c r="J284" s="492"/>
      <c r="K284" s="492"/>
      <c r="L284" s="493"/>
      <c r="M284" s="493"/>
      <c r="N284" s="493"/>
      <c r="P284" s="811" t="s">
        <v>145</v>
      </c>
      <c r="Q284" s="800" t="s">
        <v>23</v>
      </c>
      <c r="R284" s="484" t="s">
        <v>146</v>
      </c>
      <c r="S284" s="375">
        <v>0</v>
      </c>
      <c r="T284" s="375">
        <f t="shared" si="93"/>
        <v>0</v>
      </c>
      <c r="U284" s="375"/>
      <c r="V284" s="375"/>
      <c r="W284" s="375"/>
      <c r="X284" s="375"/>
      <c r="Y284" s="375"/>
      <c r="Z284" s="375"/>
      <c r="AA284" s="375"/>
      <c r="AB284" s="375"/>
    </row>
    <row r="285" spans="1:28" x14ac:dyDescent="0.25">
      <c r="A285" s="60">
        <v>40</v>
      </c>
      <c r="B285" s="812"/>
      <c r="C285" s="801"/>
      <c r="D285" s="255" t="s">
        <v>147</v>
      </c>
      <c r="E285" s="492">
        <f t="shared" si="94"/>
        <v>16739440.4</v>
      </c>
      <c r="F285" s="492">
        <f t="shared" si="94"/>
        <v>27102297.599999998</v>
      </c>
      <c r="G285" s="492"/>
      <c r="H285" s="492"/>
      <c r="I285" s="492"/>
      <c r="J285" s="492"/>
      <c r="K285" s="492"/>
      <c r="L285" s="493"/>
      <c r="M285" s="493"/>
      <c r="N285" s="493"/>
      <c r="P285" s="812"/>
      <c r="Q285" s="801"/>
      <c r="R285" s="255" t="s">
        <v>147</v>
      </c>
      <c r="S285" s="375">
        <v>50614349.199999996</v>
      </c>
      <c r="T285" s="375">
        <f t="shared" si="93"/>
        <v>77716646.799999997</v>
      </c>
      <c r="U285" s="375"/>
      <c r="V285" s="375"/>
      <c r="W285" s="375"/>
      <c r="X285" s="375"/>
      <c r="Y285" s="375"/>
      <c r="Z285" s="375"/>
      <c r="AA285" s="375"/>
      <c r="AB285" s="375"/>
    </row>
    <row r="286" spans="1:28" x14ac:dyDescent="0.25">
      <c r="A286" s="60">
        <v>40</v>
      </c>
      <c r="B286" s="812"/>
      <c r="C286" s="467" t="s">
        <v>24</v>
      </c>
      <c r="D286" s="485" t="s">
        <v>20</v>
      </c>
      <c r="E286" s="492">
        <f t="shared" si="94"/>
        <v>9645925.8399999999</v>
      </c>
      <c r="F286" s="492">
        <f t="shared" si="94"/>
        <v>11819078.760000002</v>
      </c>
      <c r="G286" s="492"/>
      <c r="H286" s="492"/>
      <c r="I286" s="492"/>
      <c r="J286" s="492"/>
      <c r="K286" s="492"/>
      <c r="L286" s="493"/>
      <c r="M286" s="493"/>
      <c r="N286" s="493"/>
      <c r="P286" s="812"/>
      <c r="Q286" s="774" t="s">
        <v>24</v>
      </c>
      <c r="R286" s="774" t="s">
        <v>20</v>
      </c>
      <c r="S286" s="375">
        <v>20879029.079999998</v>
      </c>
      <c r="T286" s="375">
        <f t="shared" si="93"/>
        <v>32698107.84</v>
      </c>
      <c r="U286" s="375"/>
      <c r="V286" s="375"/>
      <c r="W286" s="375"/>
      <c r="X286" s="375"/>
      <c r="Y286" s="375"/>
      <c r="Z286" s="375"/>
      <c r="AA286" s="375"/>
      <c r="AB286" s="375"/>
    </row>
    <row r="287" spans="1:28" x14ac:dyDescent="0.25">
      <c r="A287" s="60">
        <v>40</v>
      </c>
      <c r="B287" s="813"/>
      <c r="C287" s="171" t="s">
        <v>25</v>
      </c>
      <c r="D287" s="485" t="s">
        <v>20</v>
      </c>
      <c r="E287" s="492">
        <f t="shared" si="94"/>
        <v>41109.599999999999</v>
      </c>
      <c r="F287" s="492">
        <f t="shared" si="94"/>
        <v>44542.399999999994</v>
      </c>
      <c r="G287" s="492"/>
      <c r="H287" s="492"/>
      <c r="I287" s="492"/>
      <c r="J287" s="492"/>
      <c r="K287" s="492"/>
      <c r="L287" s="493"/>
      <c r="M287" s="493"/>
      <c r="N287" s="493"/>
      <c r="P287" s="813"/>
      <c r="Q287" s="772" t="s">
        <v>25</v>
      </c>
      <c r="R287" s="774" t="s">
        <v>20</v>
      </c>
      <c r="S287" s="375">
        <v>80209.100000000006</v>
      </c>
      <c r="T287" s="375">
        <f t="shared" si="93"/>
        <v>124751.5</v>
      </c>
      <c r="U287" s="375"/>
      <c r="V287" s="375"/>
      <c r="W287" s="375"/>
      <c r="X287" s="375"/>
      <c r="Y287" s="375"/>
      <c r="Z287" s="375"/>
      <c r="AA287" s="375"/>
      <c r="AB287" s="375"/>
    </row>
    <row r="288" spans="1:28" x14ac:dyDescent="0.25">
      <c r="A288" s="60">
        <v>50</v>
      </c>
      <c r="B288" s="486" t="s">
        <v>475</v>
      </c>
      <c r="C288" s="467" t="s">
        <v>60</v>
      </c>
      <c r="D288" s="485" t="s">
        <v>20</v>
      </c>
      <c r="E288" s="492">
        <f t="shared" si="94"/>
        <v>0</v>
      </c>
      <c r="F288" s="492">
        <f t="shared" si="94"/>
        <v>0</v>
      </c>
      <c r="G288" s="492"/>
      <c r="H288" s="492"/>
      <c r="I288" s="492"/>
      <c r="J288" s="492"/>
      <c r="K288" s="492"/>
      <c r="L288" s="493"/>
      <c r="M288" s="493"/>
      <c r="N288" s="493"/>
      <c r="P288" s="776" t="s">
        <v>156</v>
      </c>
      <c r="Q288" s="774" t="s">
        <v>60</v>
      </c>
      <c r="R288" s="774" t="s">
        <v>20</v>
      </c>
      <c r="S288" s="375">
        <v>0</v>
      </c>
      <c r="T288" s="375">
        <f t="shared" si="93"/>
        <v>0</v>
      </c>
      <c r="U288" s="375"/>
      <c r="V288" s="375"/>
      <c r="W288" s="375"/>
      <c r="X288" s="375"/>
      <c r="Y288" s="375"/>
      <c r="Z288" s="375"/>
      <c r="AA288" s="375"/>
      <c r="AB288" s="375"/>
    </row>
    <row r="289" spans="1:28" x14ac:dyDescent="0.25">
      <c r="A289" s="60">
        <v>100</v>
      </c>
      <c r="B289" s="800" t="s">
        <v>476</v>
      </c>
      <c r="C289" s="467" t="s">
        <v>161</v>
      </c>
      <c r="D289" s="485" t="s">
        <v>20</v>
      </c>
      <c r="E289" s="492">
        <f t="shared" si="94"/>
        <v>25205220</v>
      </c>
      <c r="F289" s="492">
        <f t="shared" si="94"/>
        <v>49823360</v>
      </c>
      <c r="G289" s="492"/>
      <c r="H289" s="492"/>
      <c r="I289" s="492"/>
      <c r="J289" s="492"/>
      <c r="K289" s="492"/>
      <c r="L289" s="493"/>
      <c r="M289" s="493"/>
      <c r="N289" s="493"/>
      <c r="P289" s="800" t="s">
        <v>140</v>
      </c>
      <c r="Q289" s="774" t="s">
        <v>161</v>
      </c>
      <c r="R289" s="774" t="s">
        <v>20</v>
      </c>
      <c r="S289" s="375">
        <v>27038099</v>
      </c>
      <c r="T289" s="375">
        <f t="shared" si="93"/>
        <v>76861459</v>
      </c>
      <c r="U289" s="375"/>
      <c r="V289" s="375"/>
      <c r="W289" s="375"/>
      <c r="X289" s="375"/>
      <c r="Y289" s="375"/>
      <c r="Z289" s="375"/>
      <c r="AA289" s="375"/>
      <c r="AB289" s="375"/>
    </row>
    <row r="290" spans="1:28" x14ac:dyDescent="0.25">
      <c r="A290" s="60">
        <v>100</v>
      </c>
      <c r="B290" s="810"/>
      <c r="C290" s="470" t="s">
        <v>22</v>
      </c>
      <c r="D290" s="264" t="s">
        <v>162</v>
      </c>
      <c r="E290" s="492">
        <f t="shared" ref="E290:L295" si="95">E108*$A290</f>
        <v>28906159.999999996</v>
      </c>
      <c r="F290" s="492">
        <f t="shared" si="95"/>
        <v>136558109.80000001</v>
      </c>
      <c r="G290" s="492"/>
      <c r="H290" s="492"/>
      <c r="I290" s="492"/>
      <c r="J290" s="492"/>
      <c r="K290" s="492"/>
      <c r="L290" s="493"/>
      <c r="M290" s="493"/>
      <c r="N290" s="493"/>
      <c r="P290" s="810"/>
      <c r="Q290" s="773" t="s">
        <v>22</v>
      </c>
      <c r="R290" s="772" t="s">
        <v>162</v>
      </c>
      <c r="S290" s="375">
        <v>30423159.999999996</v>
      </c>
      <c r="T290" s="375">
        <f t="shared" si="93"/>
        <v>166981269.80000001</v>
      </c>
      <c r="U290" s="375"/>
      <c r="V290" s="375"/>
      <c r="W290" s="375"/>
      <c r="X290" s="375"/>
      <c r="Y290" s="375"/>
      <c r="Z290" s="375"/>
      <c r="AA290" s="375"/>
      <c r="AB290" s="375"/>
    </row>
    <row r="291" spans="1:28" x14ac:dyDescent="0.25">
      <c r="A291" s="60">
        <v>100</v>
      </c>
      <c r="B291" s="810"/>
      <c r="C291" s="467" t="s">
        <v>23</v>
      </c>
      <c r="D291" s="487" t="s">
        <v>162</v>
      </c>
      <c r="E291" s="492">
        <f t="shared" si="95"/>
        <v>3098939.9999999995</v>
      </c>
      <c r="F291" s="492">
        <f t="shared" si="95"/>
        <v>28703308.199999999</v>
      </c>
      <c r="G291" s="492"/>
      <c r="H291" s="492"/>
      <c r="I291" s="492"/>
      <c r="J291" s="492"/>
      <c r="K291" s="492"/>
      <c r="L291" s="493"/>
      <c r="M291" s="493"/>
      <c r="N291" s="493"/>
      <c r="P291" s="810"/>
      <c r="Q291" s="774" t="s">
        <v>23</v>
      </c>
      <c r="R291" s="777" t="s">
        <v>162</v>
      </c>
      <c r="S291" s="375">
        <v>3608939.9999999995</v>
      </c>
      <c r="T291" s="375">
        <f t="shared" si="93"/>
        <v>32312248.199999999</v>
      </c>
      <c r="U291" s="375"/>
      <c r="V291" s="375"/>
      <c r="W291" s="375"/>
      <c r="X291" s="375"/>
      <c r="Y291" s="375"/>
      <c r="Z291" s="375"/>
      <c r="AA291" s="375"/>
      <c r="AB291" s="375"/>
    </row>
    <row r="292" spans="1:28" x14ac:dyDescent="0.25">
      <c r="A292" s="60">
        <v>100</v>
      </c>
      <c r="B292" s="810"/>
      <c r="C292" s="467" t="s">
        <v>163</v>
      </c>
      <c r="D292" s="485" t="s">
        <v>20</v>
      </c>
      <c r="E292" s="492">
        <f t="shared" si="95"/>
        <v>7235440.0000000009</v>
      </c>
      <c r="F292" s="492">
        <f t="shared" si="95"/>
        <v>28826347.199999999</v>
      </c>
      <c r="G292" s="492"/>
      <c r="H292" s="492"/>
      <c r="I292" s="492"/>
      <c r="J292" s="492"/>
      <c r="K292" s="492"/>
      <c r="L292" s="493"/>
      <c r="M292" s="493"/>
      <c r="N292" s="493"/>
      <c r="P292" s="810"/>
      <c r="Q292" s="774" t="s">
        <v>163</v>
      </c>
      <c r="R292" s="774" t="s">
        <v>20</v>
      </c>
      <c r="S292" s="375">
        <v>7758320.0000000009</v>
      </c>
      <c r="T292" s="375">
        <f t="shared" si="93"/>
        <v>36584667.200000003</v>
      </c>
      <c r="U292" s="375"/>
      <c r="V292" s="375"/>
      <c r="W292" s="375"/>
      <c r="X292" s="375"/>
      <c r="Y292" s="375"/>
      <c r="Z292" s="375"/>
      <c r="AA292" s="375"/>
      <c r="AB292" s="375"/>
    </row>
    <row r="293" spans="1:28" x14ac:dyDescent="0.25">
      <c r="A293" s="60">
        <v>100</v>
      </c>
      <c r="B293" s="801"/>
      <c r="C293" s="171" t="s">
        <v>25</v>
      </c>
      <c r="D293" s="171" t="s">
        <v>20</v>
      </c>
      <c r="E293" s="492">
        <f t="shared" si="95"/>
        <v>0</v>
      </c>
      <c r="F293" s="492">
        <f t="shared" si="95"/>
        <v>0</v>
      </c>
      <c r="G293" s="492"/>
      <c r="H293" s="492"/>
      <c r="I293" s="492"/>
      <c r="J293" s="492"/>
      <c r="K293" s="492"/>
      <c r="L293" s="493"/>
      <c r="M293" s="493"/>
      <c r="N293" s="493"/>
      <c r="P293" s="801"/>
      <c r="Q293" s="772" t="s">
        <v>25</v>
      </c>
      <c r="R293" s="772" t="s">
        <v>20</v>
      </c>
      <c r="S293" s="375">
        <v>0</v>
      </c>
      <c r="T293" s="375">
        <f t="shared" si="93"/>
        <v>0</v>
      </c>
      <c r="U293" s="375"/>
      <c r="V293" s="375"/>
      <c r="W293" s="375"/>
      <c r="X293" s="375"/>
      <c r="Y293" s="375"/>
      <c r="Z293" s="375"/>
      <c r="AA293" s="375"/>
      <c r="AB293" s="375"/>
    </row>
    <row r="294" spans="1:28" x14ac:dyDescent="0.25">
      <c r="A294" s="60">
        <v>200</v>
      </c>
      <c r="B294" s="469" t="s">
        <v>477</v>
      </c>
      <c r="C294" s="264" t="s">
        <v>20</v>
      </c>
      <c r="D294" s="264" t="s">
        <v>20</v>
      </c>
      <c r="E294" s="492">
        <f t="shared" si="95"/>
        <v>0</v>
      </c>
      <c r="F294" s="492">
        <f t="shared" si="95"/>
        <v>0</v>
      </c>
      <c r="G294" s="492"/>
      <c r="H294" s="492"/>
      <c r="I294" s="492"/>
      <c r="J294" s="492"/>
      <c r="K294" s="492"/>
      <c r="L294" s="493"/>
      <c r="M294" s="493"/>
      <c r="N294" s="493"/>
      <c r="P294" s="775" t="s">
        <v>157</v>
      </c>
      <c r="Q294" s="772" t="s">
        <v>20</v>
      </c>
      <c r="R294" s="772" t="s">
        <v>20</v>
      </c>
      <c r="S294" s="375">
        <v>0</v>
      </c>
      <c r="T294" s="375">
        <f t="shared" si="93"/>
        <v>0</v>
      </c>
      <c r="U294" s="375"/>
      <c r="V294" s="375"/>
      <c r="W294" s="375"/>
      <c r="X294" s="375"/>
      <c r="Y294" s="375"/>
      <c r="Z294" s="375"/>
      <c r="AA294" s="375"/>
      <c r="AB294" s="375"/>
    </row>
    <row r="295" spans="1:28" x14ac:dyDescent="0.25">
      <c r="A295" s="60">
        <v>400</v>
      </c>
      <c r="B295" s="264" t="s">
        <v>478</v>
      </c>
      <c r="C295" s="264" t="s">
        <v>20</v>
      </c>
      <c r="D295" s="264" t="s">
        <v>20</v>
      </c>
      <c r="E295" s="492">
        <f t="shared" si="95"/>
        <v>0</v>
      </c>
      <c r="F295" s="492">
        <f t="shared" si="95"/>
        <v>2800</v>
      </c>
      <c r="G295" s="492"/>
      <c r="H295" s="492"/>
      <c r="I295" s="492"/>
      <c r="J295" s="492"/>
      <c r="K295" s="492"/>
      <c r="L295" s="494"/>
      <c r="M295" s="494"/>
      <c r="N295" s="494"/>
      <c r="P295" s="772" t="s">
        <v>152</v>
      </c>
      <c r="Q295" s="772" t="s">
        <v>20</v>
      </c>
      <c r="R295" s="772" t="s">
        <v>20</v>
      </c>
      <c r="S295" s="375">
        <v>0</v>
      </c>
      <c r="T295" s="375">
        <f t="shared" ref="T295:AB310" si="96">S295+F295</f>
        <v>2800</v>
      </c>
      <c r="U295" s="275"/>
      <c r="V295" s="275"/>
      <c r="W295" s="275"/>
      <c r="X295" s="275"/>
      <c r="Y295" s="275"/>
      <c r="Z295" s="275"/>
      <c r="AA295" s="275"/>
      <c r="AB295" s="275"/>
    </row>
    <row r="296" spans="1:28" x14ac:dyDescent="0.25">
      <c r="B296" s="170" t="s">
        <v>9</v>
      </c>
      <c r="C296" s="264" t="s">
        <v>20</v>
      </c>
      <c r="D296" s="264" t="s">
        <v>20</v>
      </c>
      <c r="E296" s="235">
        <f t="shared" ref="E296:L296" si="97">SUM(E279:E295)</f>
        <v>198352308.92968434</v>
      </c>
      <c r="F296" s="235">
        <f t="shared" si="97"/>
        <v>390694477.62181187</v>
      </c>
      <c r="G296" s="235"/>
      <c r="H296" s="235"/>
      <c r="I296" s="235"/>
      <c r="J296" s="235"/>
      <c r="K296" s="235"/>
      <c r="L296" s="345"/>
      <c r="M296" s="345"/>
      <c r="N296" s="345"/>
      <c r="P296" s="782" t="s">
        <v>9</v>
      </c>
      <c r="Q296" s="772" t="s">
        <v>20</v>
      </c>
      <c r="R296" s="772" t="s">
        <v>20</v>
      </c>
      <c r="S296" s="345">
        <f t="shared" ref="S296:Z296" si="98">SUM(S279:S295)</f>
        <v>551270550.57359421</v>
      </c>
      <c r="T296" s="345">
        <f t="shared" si="98"/>
        <v>941965028.1954062</v>
      </c>
      <c r="U296" s="345"/>
      <c r="V296" s="345"/>
      <c r="W296" s="345"/>
      <c r="X296" s="345"/>
      <c r="Y296" s="345"/>
      <c r="Z296" s="345"/>
      <c r="AA296" s="345"/>
      <c r="AB296" s="345"/>
    </row>
    <row r="297" spans="1:28" x14ac:dyDescent="0.25">
      <c r="D297" s="49"/>
      <c r="E297" s="49"/>
      <c r="F297" s="49"/>
      <c r="G297" s="49"/>
      <c r="H297" s="49"/>
      <c r="I297" s="49"/>
      <c r="J297" s="49"/>
      <c r="K297" s="49"/>
      <c r="L297" s="49"/>
      <c r="M297" s="49"/>
      <c r="N297" s="49"/>
      <c r="P297" s="163"/>
      <c r="Q297" s="163"/>
      <c r="R297" s="49" t="s">
        <v>312</v>
      </c>
      <c r="S297" s="49"/>
      <c r="T297" s="491">
        <v>0.56576225909972511</v>
      </c>
      <c r="U297" s="491"/>
      <c r="V297" s="491"/>
      <c r="W297" s="491"/>
      <c r="X297" s="491"/>
      <c r="Y297" s="491"/>
      <c r="Z297" s="491"/>
      <c r="AA297" s="491"/>
      <c r="AB297" s="491"/>
    </row>
    <row r="299" spans="1:28" ht="15.5" x14ac:dyDescent="0.35">
      <c r="B299" s="480" t="s">
        <v>314</v>
      </c>
      <c r="N299" s="262" t="str">
        <f>B299</f>
        <v>Annual Bandwidth Deployed - Global</v>
      </c>
      <c r="P299" s="480" t="s">
        <v>381</v>
      </c>
      <c r="Q299" s="163"/>
      <c r="R299" s="163"/>
    </row>
    <row r="300" spans="1:28" x14ac:dyDescent="0.25">
      <c r="B300" s="7" t="s">
        <v>10</v>
      </c>
      <c r="C300" s="7" t="s">
        <v>11</v>
      </c>
      <c r="D300" s="1" t="s">
        <v>12</v>
      </c>
      <c r="E300" s="39">
        <v>2016</v>
      </c>
      <c r="F300" s="7">
        <v>2017</v>
      </c>
      <c r="G300" s="7">
        <v>2018</v>
      </c>
      <c r="H300" s="7">
        <v>2019</v>
      </c>
      <c r="I300" s="7">
        <v>2020</v>
      </c>
      <c r="J300" s="7">
        <v>2021</v>
      </c>
      <c r="K300" s="7">
        <v>2022</v>
      </c>
      <c r="L300" s="7">
        <v>2023</v>
      </c>
      <c r="M300" s="7">
        <v>2024</v>
      </c>
      <c r="N300" s="7">
        <v>2025</v>
      </c>
      <c r="P300" s="129" t="str">
        <f t="shared" ref="P300:AB300" si="99">P256</f>
        <v>Data Rate</v>
      </c>
      <c r="Q300" s="129" t="str">
        <f t="shared" si="99"/>
        <v>Reach</v>
      </c>
      <c r="R300" s="123" t="str">
        <f t="shared" si="99"/>
        <v>Form Factor</v>
      </c>
      <c r="S300" s="129">
        <f t="shared" si="99"/>
        <v>2016</v>
      </c>
      <c r="T300" s="129">
        <f t="shared" si="99"/>
        <v>2017</v>
      </c>
      <c r="U300" s="129">
        <f t="shared" si="99"/>
        <v>2018</v>
      </c>
      <c r="V300" s="129">
        <f t="shared" si="99"/>
        <v>2019</v>
      </c>
      <c r="W300" s="129">
        <f t="shared" si="99"/>
        <v>2020</v>
      </c>
      <c r="X300" s="129">
        <f t="shared" si="99"/>
        <v>2021</v>
      </c>
      <c r="Y300" s="129">
        <f t="shared" si="99"/>
        <v>2022</v>
      </c>
      <c r="Z300" s="129">
        <f t="shared" si="99"/>
        <v>2023</v>
      </c>
      <c r="AA300" s="129">
        <f t="shared" si="99"/>
        <v>2024</v>
      </c>
      <c r="AB300" s="129">
        <f t="shared" si="99"/>
        <v>2025</v>
      </c>
    </row>
    <row r="301" spans="1:28" x14ac:dyDescent="0.25">
      <c r="A301" s="9">
        <v>1</v>
      </c>
      <c r="B301" s="467" t="s">
        <v>469</v>
      </c>
      <c r="C301" s="470" t="s">
        <v>20</v>
      </c>
      <c r="D301" s="264" t="s">
        <v>20</v>
      </c>
      <c r="E301" s="518">
        <f t="shared" ref="E301:L301" si="100">E165*$A301</f>
        <v>419674.79400000005</v>
      </c>
      <c r="F301" s="518">
        <f t="shared" si="100"/>
        <v>256486.04</v>
      </c>
      <c r="G301" s="518"/>
      <c r="H301" s="518"/>
      <c r="I301" s="518"/>
      <c r="J301" s="518"/>
      <c r="K301" s="518"/>
      <c r="L301" s="521"/>
      <c r="M301" s="521"/>
      <c r="N301" s="521"/>
      <c r="P301" s="774" t="s">
        <v>124</v>
      </c>
      <c r="Q301" s="773" t="s">
        <v>20</v>
      </c>
      <c r="R301" s="772" t="s">
        <v>20</v>
      </c>
      <c r="S301" s="375">
        <f>S279+S257</f>
        <v>3563210.1622774731</v>
      </c>
      <c r="T301" s="375">
        <f t="shared" ref="T301:AB301" si="101">T279+T257</f>
        <v>3706843.3446774725</v>
      </c>
      <c r="U301" s="375"/>
      <c r="V301" s="375"/>
      <c r="W301" s="375"/>
      <c r="X301" s="375"/>
      <c r="Y301" s="375"/>
      <c r="Z301" s="375"/>
      <c r="AA301" s="375"/>
      <c r="AB301" s="375"/>
    </row>
    <row r="302" spans="1:28" x14ac:dyDescent="0.25">
      <c r="A302" s="9">
        <v>10</v>
      </c>
      <c r="B302" s="467" t="s">
        <v>470</v>
      </c>
      <c r="C302" s="470" t="s">
        <v>20</v>
      </c>
      <c r="D302" s="264" t="s">
        <v>20</v>
      </c>
      <c r="E302" s="518">
        <f t="shared" ref="E302:L311" si="102">E166*$A302</f>
        <v>72319068.937198639</v>
      </c>
      <c r="F302" s="518">
        <f t="shared" si="102"/>
        <v>76437390.446594596</v>
      </c>
      <c r="G302" s="518"/>
      <c r="H302" s="518"/>
      <c r="I302" s="518"/>
      <c r="J302" s="518"/>
      <c r="K302" s="518"/>
      <c r="L302" s="521"/>
      <c r="M302" s="521"/>
      <c r="N302" s="521"/>
      <c r="P302" s="774" t="s">
        <v>133</v>
      </c>
      <c r="Q302" s="773" t="s">
        <v>20</v>
      </c>
      <c r="R302" s="772" t="s">
        <v>20</v>
      </c>
      <c r="S302" s="375">
        <f t="shared" ref="S302:AB317" si="103">S280+S258</f>
        <v>323927707.10694861</v>
      </c>
      <c r="T302" s="375">
        <f t="shared" si="103"/>
        <v>382020133.8463605</v>
      </c>
      <c r="U302" s="375"/>
      <c r="V302" s="375"/>
      <c r="W302" s="375"/>
      <c r="X302" s="375"/>
      <c r="Y302" s="375"/>
      <c r="Z302" s="375"/>
      <c r="AA302" s="375"/>
      <c r="AB302" s="375"/>
    </row>
    <row r="303" spans="1:28" ht="13" x14ac:dyDescent="0.3">
      <c r="A303" s="9">
        <v>26</v>
      </c>
      <c r="B303" s="467" t="s">
        <v>471</v>
      </c>
      <c r="C303" s="470" t="s">
        <v>20</v>
      </c>
      <c r="D303" s="282" t="s">
        <v>154</v>
      </c>
      <c r="E303" s="518">
        <f t="shared" si="102"/>
        <v>0</v>
      </c>
      <c r="F303" s="518">
        <f t="shared" si="102"/>
        <v>0</v>
      </c>
      <c r="G303" s="518"/>
      <c r="H303" s="518"/>
      <c r="I303" s="518"/>
      <c r="J303" s="518"/>
      <c r="K303" s="518"/>
      <c r="L303" s="521"/>
      <c r="M303" s="521"/>
      <c r="N303" s="521"/>
      <c r="P303" s="774" t="s">
        <v>153</v>
      </c>
      <c r="Q303" s="773" t="s">
        <v>20</v>
      </c>
      <c r="R303" s="282" t="s">
        <v>154</v>
      </c>
      <c r="S303" s="375">
        <f t="shared" si="103"/>
        <v>0</v>
      </c>
      <c r="T303" s="375">
        <f t="shared" si="103"/>
        <v>26</v>
      </c>
      <c r="U303" s="375"/>
      <c r="V303" s="375"/>
      <c r="W303" s="375"/>
      <c r="X303" s="375"/>
      <c r="Y303" s="375"/>
      <c r="Z303" s="375"/>
      <c r="AA303" s="375"/>
      <c r="AB303" s="375"/>
    </row>
    <row r="304" spans="1:28" x14ac:dyDescent="0.25">
      <c r="A304" s="60">
        <v>40</v>
      </c>
      <c r="B304" s="171" t="s">
        <v>472</v>
      </c>
      <c r="C304" s="321" t="s">
        <v>161</v>
      </c>
      <c r="D304" s="171" t="s">
        <v>137</v>
      </c>
      <c r="E304" s="518">
        <f t="shared" si="102"/>
        <v>31116936</v>
      </c>
      <c r="F304" s="518">
        <f t="shared" si="102"/>
        <v>42851798</v>
      </c>
      <c r="G304" s="518"/>
      <c r="H304" s="518"/>
      <c r="I304" s="518"/>
      <c r="J304" s="518"/>
      <c r="K304" s="518"/>
      <c r="L304" s="521"/>
      <c r="M304" s="521"/>
      <c r="N304" s="521"/>
      <c r="P304" s="772" t="s">
        <v>139</v>
      </c>
      <c r="Q304" s="321" t="s">
        <v>161</v>
      </c>
      <c r="R304" s="772" t="s">
        <v>137</v>
      </c>
      <c r="S304" s="375">
        <f t="shared" si="103"/>
        <v>121672849.60000001</v>
      </c>
      <c r="T304" s="375">
        <f t="shared" si="103"/>
        <v>148669522.34000003</v>
      </c>
      <c r="U304" s="375"/>
      <c r="V304" s="375"/>
      <c r="W304" s="375"/>
      <c r="X304" s="375"/>
      <c r="Y304" s="375"/>
      <c r="Z304" s="375"/>
      <c r="AA304" s="375"/>
      <c r="AB304" s="375"/>
    </row>
    <row r="305" spans="1:28" x14ac:dyDescent="0.25">
      <c r="A305" s="60">
        <v>40</v>
      </c>
      <c r="B305" s="264" t="s">
        <v>473</v>
      </c>
      <c r="C305" s="467" t="s">
        <v>22</v>
      </c>
      <c r="D305" s="264" t="s">
        <v>137</v>
      </c>
      <c r="E305" s="518">
        <f t="shared" si="102"/>
        <v>32551600</v>
      </c>
      <c r="F305" s="518">
        <f t="shared" si="102"/>
        <v>24545600</v>
      </c>
      <c r="G305" s="518"/>
      <c r="H305" s="518"/>
      <c r="I305" s="518"/>
      <c r="J305" s="518"/>
      <c r="K305" s="518"/>
      <c r="L305" s="521"/>
      <c r="M305" s="521"/>
      <c r="N305" s="521"/>
      <c r="P305" s="772" t="s">
        <v>136</v>
      </c>
      <c r="Q305" s="774" t="s">
        <v>22</v>
      </c>
      <c r="R305" s="772" t="s">
        <v>137</v>
      </c>
      <c r="S305" s="375">
        <f t="shared" si="103"/>
        <v>50876640</v>
      </c>
      <c r="T305" s="375">
        <f t="shared" si="103"/>
        <v>73458632</v>
      </c>
      <c r="U305" s="375"/>
      <c r="V305" s="375"/>
      <c r="W305" s="375"/>
      <c r="X305" s="375"/>
      <c r="Y305" s="375"/>
      <c r="Z305" s="375"/>
      <c r="AA305" s="375"/>
      <c r="AB305" s="375"/>
    </row>
    <row r="306" spans="1:28" x14ac:dyDescent="0.25">
      <c r="A306" s="60">
        <v>40</v>
      </c>
      <c r="B306" s="811" t="s">
        <v>474</v>
      </c>
      <c r="C306" s="800" t="s">
        <v>23</v>
      </c>
      <c r="D306" s="484" t="s">
        <v>146</v>
      </c>
      <c r="E306" s="518">
        <f t="shared" si="102"/>
        <v>0</v>
      </c>
      <c r="F306" s="518">
        <f t="shared" si="102"/>
        <v>0</v>
      </c>
      <c r="G306" s="518"/>
      <c r="H306" s="518"/>
      <c r="I306" s="518"/>
      <c r="J306" s="518"/>
      <c r="K306" s="518"/>
      <c r="L306" s="521"/>
      <c r="M306" s="521"/>
      <c r="N306" s="521"/>
      <c r="P306" s="811" t="s">
        <v>145</v>
      </c>
      <c r="Q306" s="800" t="s">
        <v>23</v>
      </c>
      <c r="R306" s="484" t="s">
        <v>146</v>
      </c>
      <c r="S306" s="375">
        <f t="shared" si="103"/>
        <v>0</v>
      </c>
      <c r="T306" s="375">
        <f t="shared" si="103"/>
        <v>40</v>
      </c>
      <c r="U306" s="375"/>
      <c r="V306" s="375"/>
      <c r="W306" s="375"/>
      <c r="X306" s="375"/>
      <c r="Y306" s="375"/>
      <c r="Z306" s="375"/>
      <c r="AA306" s="375"/>
      <c r="AB306" s="375"/>
    </row>
    <row r="307" spans="1:28" x14ac:dyDescent="0.25">
      <c r="A307" s="60">
        <v>40</v>
      </c>
      <c r="B307" s="812"/>
      <c r="C307" s="801"/>
      <c r="D307" s="255" t="s">
        <v>147</v>
      </c>
      <c r="E307" s="518">
        <f t="shared" si="102"/>
        <v>18808360</v>
      </c>
      <c r="F307" s="518">
        <f t="shared" si="102"/>
        <v>32264640</v>
      </c>
      <c r="G307" s="518"/>
      <c r="H307" s="518"/>
      <c r="I307" s="518"/>
      <c r="J307" s="518"/>
      <c r="K307" s="518"/>
      <c r="L307" s="521"/>
      <c r="M307" s="521"/>
      <c r="N307" s="521"/>
      <c r="P307" s="812"/>
      <c r="Q307" s="801"/>
      <c r="R307" s="255" t="s">
        <v>147</v>
      </c>
      <c r="S307" s="375">
        <f t="shared" si="103"/>
        <v>54909719.999999993</v>
      </c>
      <c r="T307" s="375">
        <f t="shared" si="103"/>
        <v>82012057.599999994</v>
      </c>
      <c r="U307" s="375"/>
      <c r="V307" s="375"/>
      <c r="W307" s="375"/>
      <c r="X307" s="375"/>
      <c r="Y307" s="375"/>
      <c r="Z307" s="375"/>
      <c r="AA307" s="375"/>
      <c r="AB307" s="375"/>
    </row>
    <row r="308" spans="1:28" x14ac:dyDescent="0.25">
      <c r="A308" s="60">
        <v>40</v>
      </c>
      <c r="B308" s="812"/>
      <c r="C308" s="467" t="s">
        <v>24</v>
      </c>
      <c r="D308" s="485" t="s">
        <v>20</v>
      </c>
      <c r="E308" s="518">
        <f t="shared" si="102"/>
        <v>10484702</v>
      </c>
      <c r="F308" s="518">
        <f t="shared" si="102"/>
        <v>13585148</v>
      </c>
      <c r="G308" s="518"/>
      <c r="H308" s="518"/>
      <c r="I308" s="518"/>
      <c r="J308" s="518"/>
      <c r="K308" s="518"/>
      <c r="L308" s="521"/>
      <c r="M308" s="521"/>
      <c r="N308" s="521"/>
      <c r="P308" s="812"/>
      <c r="Q308" s="774" t="s">
        <v>24</v>
      </c>
      <c r="R308" s="774" t="s">
        <v>20</v>
      </c>
      <c r="S308" s="375">
        <f t="shared" si="103"/>
        <v>22381820.399999999</v>
      </c>
      <c r="T308" s="375">
        <f t="shared" si="103"/>
        <v>34200939.159999996</v>
      </c>
      <c r="U308" s="375"/>
      <c r="V308" s="375"/>
      <c r="W308" s="375"/>
      <c r="X308" s="375"/>
      <c r="Y308" s="375"/>
      <c r="Z308" s="375"/>
      <c r="AA308" s="375"/>
      <c r="AB308" s="375"/>
    </row>
    <row r="309" spans="1:28" x14ac:dyDescent="0.25">
      <c r="A309" s="60">
        <v>40</v>
      </c>
      <c r="B309" s="813"/>
      <c r="C309" s="171" t="s">
        <v>25</v>
      </c>
      <c r="D309" s="485" t="s">
        <v>20</v>
      </c>
      <c r="E309" s="518">
        <f t="shared" si="102"/>
        <v>48940</v>
      </c>
      <c r="F309" s="518">
        <f t="shared" si="102"/>
        <v>54320</v>
      </c>
      <c r="G309" s="518"/>
      <c r="H309" s="518"/>
      <c r="I309" s="518"/>
      <c r="J309" s="518"/>
      <c r="K309" s="518"/>
      <c r="L309" s="521"/>
      <c r="M309" s="521"/>
      <c r="N309" s="521"/>
      <c r="P309" s="813"/>
      <c r="Q309" s="772" t="s">
        <v>25</v>
      </c>
      <c r="R309" s="774" t="s">
        <v>20</v>
      </c>
      <c r="S309" s="375">
        <f t="shared" si="103"/>
        <v>94210</v>
      </c>
      <c r="T309" s="375">
        <f t="shared" si="103"/>
        <v>138792.4</v>
      </c>
      <c r="U309" s="375"/>
      <c r="V309" s="375"/>
      <c r="W309" s="375"/>
      <c r="X309" s="375"/>
      <c r="Y309" s="375"/>
      <c r="Z309" s="375"/>
      <c r="AA309" s="375"/>
      <c r="AB309" s="375"/>
    </row>
    <row r="310" spans="1:28" x14ac:dyDescent="0.25">
      <c r="A310" s="60">
        <v>50</v>
      </c>
      <c r="B310" s="486" t="s">
        <v>475</v>
      </c>
      <c r="C310" s="467" t="s">
        <v>60</v>
      </c>
      <c r="D310" s="485" t="s">
        <v>20</v>
      </c>
      <c r="E310" s="518">
        <f t="shared" si="102"/>
        <v>0</v>
      </c>
      <c r="F310" s="518">
        <f t="shared" si="102"/>
        <v>0</v>
      </c>
      <c r="G310" s="518"/>
      <c r="H310" s="518"/>
      <c r="I310" s="518"/>
      <c r="J310" s="518"/>
      <c r="K310" s="518"/>
      <c r="L310" s="521"/>
      <c r="M310" s="521"/>
      <c r="N310" s="521"/>
      <c r="P310" s="776" t="s">
        <v>156</v>
      </c>
      <c r="Q310" s="774" t="s">
        <v>60</v>
      </c>
      <c r="R310" s="774" t="s">
        <v>20</v>
      </c>
      <c r="S310" s="375">
        <f t="shared" si="103"/>
        <v>0</v>
      </c>
      <c r="T310" s="375">
        <f t="shared" si="103"/>
        <v>50</v>
      </c>
      <c r="U310" s="375"/>
      <c r="V310" s="375"/>
      <c r="W310" s="375"/>
      <c r="X310" s="375"/>
      <c r="Y310" s="375"/>
      <c r="Z310" s="375"/>
      <c r="AA310" s="375"/>
      <c r="AB310" s="375"/>
    </row>
    <row r="311" spans="1:28" x14ac:dyDescent="0.25">
      <c r="A311" s="60">
        <v>100</v>
      </c>
      <c r="B311" s="800" t="s">
        <v>476</v>
      </c>
      <c r="C311" s="467" t="s">
        <v>161</v>
      </c>
      <c r="D311" s="485" t="s">
        <v>20</v>
      </c>
      <c r="E311" s="518">
        <f t="shared" si="102"/>
        <v>28005800</v>
      </c>
      <c r="F311" s="518">
        <f t="shared" si="102"/>
        <v>62279200</v>
      </c>
      <c r="G311" s="518"/>
      <c r="H311" s="518"/>
      <c r="I311" s="518"/>
      <c r="J311" s="518"/>
      <c r="K311" s="518"/>
      <c r="L311" s="521"/>
      <c r="M311" s="521"/>
      <c r="N311" s="521"/>
      <c r="P311" s="800" t="s">
        <v>140</v>
      </c>
      <c r="Q311" s="774" t="s">
        <v>161</v>
      </c>
      <c r="R311" s="774" t="s">
        <v>20</v>
      </c>
      <c r="S311" s="375">
        <f t="shared" si="103"/>
        <v>29049700</v>
      </c>
      <c r="T311" s="375">
        <f t="shared" si="103"/>
        <v>78873160</v>
      </c>
      <c r="U311" s="375"/>
      <c r="V311" s="375"/>
      <c r="W311" s="375"/>
      <c r="X311" s="375"/>
      <c r="Y311" s="375"/>
      <c r="Z311" s="375"/>
      <c r="AA311" s="375"/>
      <c r="AB311" s="375"/>
    </row>
    <row r="312" spans="1:28" x14ac:dyDescent="0.25">
      <c r="A312" s="60">
        <v>100</v>
      </c>
      <c r="B312" s="810"/>
      <c r="C312" s="470" t="s">
        <v>22</v>
      </c>
      <c r="D312" s="264" t="s">
        <v>162</v>
      </c>
      <c r="E312" s="518">
        <f t="shared" ref="E312:L317" si="104">E176*$A312</f>
        <v>28906159.999999996</v>
      </c>
      <c r="F312" s="518">
        <f t="shared" si="104"/>
        <v>139345010</v>
      </c>
      <c r="G312" s="518"/>
      <c r="H312" s="518"/>
      <c r="I312" s="518"/>
      <c r="J312" s="518"/>
      <c r="K312" s="518"/>
      <c r="L312" s="521"/>
      <c r="M312" s="521"/>
      <c r="N312" s="521"/>
      <c r="P312" s="810"/>
      <c r="Q312" s="773" t="s">
        <v>22</v>
      </c>
      <c r="R312" s="772" t="s">
        <v>162</v>
      </c>
      <c r="S312" s="375">
        <f t="shared" si="103"/>
        <v>30423159.999999996</v>
      </c>
      <c r="T312" s="375">
        <f t="shared" si="103"/>
        <v>166981369.80000001</v>
      </c>
      <c r="U312" s="375"/>
      <c r="V312" s="375"/>
      <c r="W312" s="375"/>
      <c r="X312" s="375"/>
      <c r="Y312" s="375"/>
      <c r="Z312" s="375"/>
      <c r="AA312" s="375"/>
      <c r="AB312" s="375"/>
    </row>
    <row r="313" spans="1:28" x14ac:dyDescent="0.25">
      <c r="A313" s="60">
        <v>100</v>
      </c>
      <c r="B313" s="810"/>
      <c r="C313" s="467" t="s">
        <v>23</v>
      </c>
      <c r="D313" s="487" t="s">
        <v>162</v>
      </c>
      <c r="E313" s="518">
        <f t="shared" si="104"/>
        <v>3098939.9999999995</v>
      </c>
      <c r="F313" s="518">
        <f t="shared" si="104"/>
        <v>29289090.000000004</v>
      </c>
      <c r="G313" s="518"/>
      <c r="H313" s="518"/>
      <c r="I313" s="518"/>
      <c r="J313" s="518"/>
      <c r="K313" s="518"/>
      <c r="L313" s="521"/>
      <c r="M313" s="521"/>
      <c r="N313" s="521"/>
      <c r="P313" s="810"/>
      <c r="Q313" s="774" t="s">
        <v>23</v>
      </c>
      <c r="R313" s="777" t="s">
        <v>162</v>
      </c>
      <c r="S313" s="375">
        <f t="shared" si="103"/>
        <v>3608939.9999999995</v>
      </c>
      <c r="T313" s="375">
        <f t="shared" si="103"/>
        <v>32312348.199999999</v>
      </c>
      <c r="U313" s="375"/>
      <c r="V313" s="375"/>
      <c r="W313" s="375"/>
      <c r="X313" s="375"/>
      <c r="Y313" s="375"/>
      <c r="Z313" s="375"/>
      <c r="AA313" s="375"/>
      <c r="AB313" s="375"/>
    </row>
    <row r="314" spans="1:28" x14ac:dyDescent="0.25">
      <c r="A314" s="60">
        <v>100</v>
      </c>
      <c r="B314" s="810"/>
      <c r="C314" s="467" t="s">
        <v>163</v>
      </c>
      <c r="D314" s="485" t="s">
        <v>20</v>
      </c>
      <c r="E314" s="518">
        <f t="shared" si="104"/>
        <v>7235440.0000000009</v>
      </c>
      <c r="F314" s="518">
        <f t="shared" si="104"/>
        <v>29414640.000000004</v>
      </c>
      <c r="G314" s="518"/>
      <c r="H314" s="518"/>
      <c r="I314" s="518"/>
      <c r="J314" s="518"/>
      <c r="K314" s="518"/>
      <c r="L314" s="521"/>
      <c r="M314" s="521"/>
      <c r="N314" s="521"/>
      <c r="P314" s="810"/>
      <c r="Q314" s="774" t="s">
        <v>163</v>
      </c>
      <c r="R314" s="774" t="s">
        <v>20</v>
      </c>
      <c r="S314" s="375">
        <f t="shared" si="103"/>
        <v>7758320.0000000009</v>
      </c>
      <c r="T314" s="375">
        <f t="shared" si="103"/>
        <v>36584767.200000003</v>
      </c>
      <c r="U314" s="375"/>
      <c r="V314" s="375"/>
      <c r="W314" s="375"/>
      <c r="X314" s="375"/>
      <c r="Y314" s="375"/>
      <c r="Z314" s="375"/>
      <c r="AA314" s="375"/>
      <c r="AB314" s="375"/>
    </row>
    <row r="315" spans="1:28" x14ac:dyDescent="0.25">
      <c r="A315" s="60">
        <v>100</v>
      </c>
      <c r="B315" s="801"/>
      <c r="C315" s="171" t="s">
        <v>25</v>
      </c>
      <c r="D315" s="171" t="s">
        <v>20</v>
      </c>
      <c r="E315" s="518">
        <f t="shared" si="104"/>
        <v>0</v>
      </c>
      <c r="F315" s="518">
        <f t="shared" si="104"/>
        <v>0</v>
      </c>
      <c r="G315" s="518"/>
      <c r="H315" s="518"/>
      <c r="I315" s="518"/>
      <c r="J315" s="518"/>
      <c r="K315" s="518"/>
      <c r="L315" s="521"/>
      <c r="M315" s="521"/>
      <c r="N315" s="521"/>
      <c r="P315" s="801"/>
      <c r="Q315" s="772" t="s">
        <v>25</v>
      </c>
      <c r="R315" s="772" t="s">
        <v>20</v>
      </c>
      <c r="S315" s="375">
        <f t="shared" si="103"/>
        <v>0</v>
      </c>
      <c r="T315" s="375">
        <f t="shared" si="103"/>
        <v>100</v>
      </c>
      <c r="U315" s="375"/>
      <c r="V315" s="375"/>
      <c r="W315" s="375"/>
      <c r="X315" s="375"/>
      <c r="Y315" s="375"/>
      <c r="Z315" s="375"/>
      <c r="AA315" s="375"/>
      <c r="AB315" s="375"/>
    </row>
    <row r="316" spans="1:28" x14ac:dyDescent="0.25">
      <c r="A316" s="60">
        <v>200</v>
      </c>
      <c r="B316" s="469" t="s">
        <v>477</v>
      </c>
      <c r="C316" s="264" t="s">
        <v>20</v>
      </c>
      <c r="D316" s="264" t="s">
        <v>20</v>
      </c>
      <c r="E316" s="518">
        <f t="shared" si="104"/>
        <v>0</v>
      </c>
      <c r="F316" s="518">
        <f t="shared" si="104"/>
        <v>0</v>
      </c>
      <c r="G316" s="518"/>
      <c r="H316" s="518"/>
      <c r="I316" s="518"/>
      <c r="J316" s="518"/>
      <c r="K316" s="518"/>
      <c r="L316" s="521"/>
      <c r="M316" s="521"/>
      <c r="N316" s="521"/>
      <c r="P316" s="775" t="s">
        <v>157</v>
      </c>
      <c r="Q316" s="772" t="s">
        <v>20</v>
      </c>
      <c r="R316" s="772" t="s">
        <v>20</v>
      </c>
      <c r="S316" s="375">
        <f t="shared" si="103"/>
        <v>0</v>
      </c>
      <c r="T316" s="375">
        <f t="shared" si="103"/>
        <v>200</v>
      </c>
      <c r="U316" s="375"/>
      <c r="V316" s="375"/>
      <c r="W316" s="375"/>
      <c r="X316" s="375"/>
      <c r="Y316" s="375"/>
      <c r="Z316" s="375"/>
      <c r="AA316" s="375"/>
      <c r="AB316" s="375"/>
    </row>
    <row r="317" spans="1:28" x14ac:dyDescent="0.25">
      <c r="A317" s="60">
        <v>400</v>
      </c>
      <c r="B317" s="264" t="s">
        <v>478</v>
      </c>
      <c r="C317" s="264" t="s">
        <v>20</v>
      </c>
      <c r="D317" s="264" t="s">
        <v>20</v>
      </c>
      <c r="E317" s="518">
        <f t="shared" si="104"/>
        <v>0</v>
      </c>
      <c r="F317" s="518">
        <f t="shared" si="104"/>
        <v>2800</v>
      </c>
      <c r="G317" s="518"/>
      <c r="H317" s="518"/>
      <c r="I317" s="518"/>
      <c r="J317" s="518"/>
      <c r="K317" s="518"/>
      <c r="L317" s="521"/>
      <c r="M317" s="521"/>
      <c r="N317" s="521"/>
      <c r="P317" s="772" t="s">
        <v>152</v>
      </c>
      <c r="Q317" s="772" t="s">
        <v>20</v>
      </c>
      <c r="R317" s="772" t="s">
        <v>20</v>
      </c>
      <c r="S317" s="375">
        <f t="shared" si="103"/>
        <v>0</v>
      </c>
      <c r="T317" s="375">
        <f t="shared" si="103"/>
        <v>3200</v>
      </c>
      <c r="U317" s="375"/>
      <c r="V317" s="375"/>
      <c r="W317" s="375"/>
      <c r="X317" s="375"/>
      <c r="Y317" s="375"/>
      <c r="Z317" s="375"/>
      <c r="AA317" s="375"/>
      <c r="AB317" s="375"/>
    </row>
    <row r="318" spans="1:28" x14ac:dyDescent="0.25">
      <c r="B318" s="170" t="s">
        <v>9</v>
      </c>
      <c r="C318" s="264" t="s">
        <v>20</v>
      </c>
      <c r="D318" s="264" t="s">
        <v>20</v>
      </c>
      <c r="E318" s="519">
        <f t="shared" ref="E318:L318" si="105">SUM(E301:E317)</f>
        <v>232995621.73119864</v>
      </c>
      <c r="F318" s="519">
        <f t="shared" si="105"/>
        <v>450326122.48659462</v>
      </c>
      <c r="G318" s="519"/>
      <c r="H318" s="519"/>
      <c r="I318" s="519"/>
      <c r="J318" s="519"/>
      <c r="K318" s="519"/>
      <c r="L318" s="520"/>
      <c r="M318" s="520"/>
      <c r="N318" s="520"/>
      <c r="P318" s="782" t="s">
        <v>9</v>
      </c>
      <c r="Q318" s="772" t="s">
        <v>20</v>
      </c>
      <c r="R318" s="772" t="s">
        <v>20</v>
      </c>
      <c r="S318" s="345">
        <f t="shared" ref="S318:Z318" si="106">SUM(S301:S317)</f>
        <v>648266277.26922607</v>
      </c>
      <c r="T318" s="345">
        <f t="shared" si="106"/>
        <v>1038962181.8910382</v>
      </c>
      <c r="U318" s="345"/>
      <c r="V318" s="345"/>
      <c r="W318" s="345"/>
      <c r="X318" s="345"/>
      <c r="Y318" s="345"/>
      <c r="Z318" s="345"/>
      <c r="AA318" s="345"/>
      <c r="AB318" s="345"/>
    </row>
    <row r="319" spans="1:28" x14ac:dyDescent="0.25">
      <c r="C319" s="160"/>
      <c r="D319" s="160"/>
      <c r="P319" s="163"/>
      <c r="Q319" s="163"/>
      <c r="R319" s="49" t="s">
        <v>312</v>
      </c>
      <c r="S319" s="49"/>
      <c r="T319" s="491">
        <v>0.56106931376918023</v>
      </c>
      <c r="U319" s="491"/>
      <c r="V319" s="491"/>
      <c r="W319" s="491"/>
      <c r="X319" s="491"/>
      <c r="Y319" s="491"/>
      <c r="Z319" s="491"/>
      <c r="AA319" s="491"/>
      <c r="AB319" s="491"/>
    </row>
  </sheetData>
  <mergeCells count="48">
    <mergeCell ref="P289:P293"/>
    <mergeCell ref="P306:P309"/>
    <mergeCell ref="Q306:Q307"/>
    <mergeCell ref="P311:P315"/>
    <mergeCell ref="P262:P265"/>
    <mergeCell ref="Q262:Q263"/>
    <mergeCell ref="P267:P271"/>
    <mergeCell ref="P284:P287"/>
    <mergeCell ref="Q284:Q285"/>
    <mergeCell ref="B306:B309"/>
    <mergeCell ref="C306:C307"/>
    <mergeCell ref="B311:B315"/>
    <mergeCell ref="B284:B287"/>
    <mergeCell ref="C284:C285"/>
    <mergeCell ref="B289:B293"/>
    <mergeCell ref="B262:B265"/>
    <mergeCell ref="C262:C263"/>
    <mergeCell ref="B267:B271"/>
    <mergeCell ref="B35:B38"/>
    <mergeCell ref="C35:C36"/>
    <mergeCell ref="B13:B16"/>
    <mergeCell ref="C13:C14"/>
    <mergeCell ref="B40:B44"/>
    <mergeCell ref="B18:B22"/>
    <mergeCell ref="B129:B133"/>
    <mergeCell ref="B57:B60"/>
    <mergeCell ref="C57:C58"/>
    <mergeCell ref="B62:B66"/>
    <mergeCell ref="B78:B81"/>
    <mergeCell ref="C78:C79"/>
    <mergeCell ref="B83:B87"/>
    <mergeCell ref="B102:B105"/>
    <mergeCell ref="C102:C103"/>
    <mergeCell ref="B107:B111"/>
    <mergeCell ref="B124:B127"/>
    <mergeCell ref="C124:C125"/>
    <mergeCell ref="B218:B222"/>
    <mergeCell ref="B145:B148"/>
    <mergeCell ref="C145:C146"/>
    <mergeCell ref="B150:B154"/>
    <mergeCell ref="B170:B173"/>
    <mergeCell ref="C170:C171"/>
    <mergeCell ref="B175:B179"/>
    <mergeCell ref="B192:B195"/>
    <mergeCell ref="C192:C193"/>
    <mergeCell ref="B197:B201"/>
    <mergeCell ref="B213:B216"/>
    <mergeCell ref="C213:C214"/>
  </mergeCells>
  <printOptions headings="1"/>
  <pageMargins left="0.7" right="0.7" top="0.75" bottom="0.75" header="0.3" footer="0.3"/>
  <pageSetup scale="1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H228"/>
  <sheetViews>
    <sheetView showGridLines="0" zoomScale="70" zoomScaleNormal="70" zoomScalePageLayoutView="70" workbookViewId="0">
      <selection activeCell="G208" sqref="G208:N227"/>
    </sheetView>
  </sheetViews>
  <sheetFormatPr defaultColWidth="9.1796875" defaultRowHeight="12.5" x14ac:dyDescent="0.25"/>
  <cols>
    <col min="1" max="1" width="4.453125" style="3" customWidth="1"/>
    <col min="2" max="2" width="12.1796875" style="164" customWidth="1"/>
    <col min="3" max="3" width="12.81640625" style="164" customWidth="1"/>
    <col min="4" max="4" width="18.81640625" style="164" customWidth="1"/>
    <col min="5" max="5" width="12.36328125" style="3" customWidth="1"/>
    <col min="6" max="7" width="12.36328125" style="16" customWidth="1"/>
    <col min="8" max="13" width="12.36328125" style="160" customWidth="1"/>
    <col min="14" max="14" width="13.453125" style="160" customWidth="1"/>
    <col min="15" max="16" width="14.453125" style="3" customWidth="1"/>
    <col min="17" max="17" width="11.453125" style="3" customWidth="1"/>
    <col min="18" max="18" width="12.36328125" style="3" customWidth="1"/>
    <col min="19" max="24" width="9.1796875" style="3" customWidth="1"/>
    <col min="25" max="16384" width="9.1796875" style="3"/>
  </cols>
  <sheetData>
    <row r="1" spans="2:14" s="160" customFormat="1" x14ac:dyDescent="0.25">
      <c r="B1" s="164"/>
      <c r="C1" s="164"/>
      <c r="D1" s="164"/>
    </row>
    <row r="2" spans="2:14" s="160" customFormat="1" ht="18" x14ac:dyDescent="0.4">
      <c r="B2" s="76" t="str">
        <f>Introduction!B2</f>
        <v>LightCounting Optical Components Market Forecast for China</v>
      </c>
      <c r="C2" s="164"/>
      <c r="D2" s="164"/>
    </row>
    <row r="3" spans="2:14" s="133" customFormat="1" ht="15.5" x14ac:dyDescent="0.35">
      <c r="B3" s="215" t="str">
        <f>Introduction!B3</f>
        <v>January 25, 2021 - sample only - for illustrative purposes</v>
      </c>
      <c r="C3" s="164"/>
      <c r="D3" s="164"/>
      <c r="H3" s="160"/>
      <c r="I3" s="160"/>
      <c r="J3" s="160"/>
      <c r="K3" s="160"/>
      <c r="L3" s="160"/>
      <c r="M3" s="160"/>
      <c r="N3" s="160"/>
    </row>
    <row r="4" spans="2:14" s="160" customFormat="1" ht="15.5" x14ac:dyDescent="0.35">
      <c r="B4" s="217" t="s">
        <v>123</v>
      </c>
      <c r="C4" s="164"/>
      <c r="D4" s="278" t="s">
        <v>138</v>
      </c>
    </row>
    <row r="5" spans="2:14" s="160" customFormat="1" ht="15.5" x14ac:dyDescent="0.35">
      <c r="B5" s="217"/>
      <c r="C5" s="628"/>
      <c r="D5" s="278"/>
    </row>
    <row r="6" spans="2:14" s="160" customFormat="1" ht="15.5" x14ac:dyDescent="0.35">
      <c r="B6" s="221" t="s">
        <v>353</v>
      </c>
      <c r="D6" s="198"/>
      <c r="E6" s="371"/>
    </row>
    <row r="7" spans="2:14" s="160" customFormat="1" x14ac:dyDescent="0.25">
      <c r="B7" s="225" t="s">
        <v>10</v>
      </c>
      <c r="C7" s="7" t="s">
        <v>11</v>
      </c>
      <c r="D7" s="226" t="s">
        <v>12</v>
      </c>
      <c r="E7" s="39">
        <v>2016</v>
      </c>
      <c r="F7" s="7">
        <v>2017</v>
      </c>
      <c r="G7" s="7">
        <v>2018</v>
      </c>
      <c r="H7" s="7">
        <v>2019</v>
      </c>
      <c r="I7" s="7">
        <v>2020</v>
      </c>
      <c r="J7" s="7">
        <v>2021</v>
      </c>
      <c r="K7" s="7">
        <v>2022</v>
      </c>
      <c r="L7" s="7">
        <v>2023</v>
      </c>
      <c r="M7" s="7">
        <v>2024</v>
      </c>
      <c r="N7" s="7">
        <v>2025</v>
      </c>
    </row>
    <row r="8" spans="2:14" s="160" customFormat="1" x14ac:dyDescent="0.25">
      <c r="B8" s="388" t="s">
        <v>469</v>
      </c>
      <c r="C8" s="395" t="s">
        <v>20</v>
      </c>
      <c r="D8" s="203" t="s">
        <v>20</v>
      </c>
      <c r="E8" s="411">
        <v>0.41219505627641539</v>
      </c>
      <c r="F8" s="411">
        <v>0.38</v>
      </c>
      <c r="G8" s="411"/>
      <c r="H8" s="411"/>
      <c r="I8" s="411"/>
      <c r="J8" s="411"/>
      <c r="K8" s="411"/>
      <c r="L8" s="411"/>
      <c r="M8" s="411"/>
      <c r="N8" s="412"/>
    </row>
    <row r="9" spans="2:14" s="160" customFormat="1" x14ac:dyDescent="0.25">
      <c r="B9" s="388" t="s">
        <v>470</v>
      </c>
      <c r="C9" s="395" t="s">
        <v>20</v>
      </c>
      <c r="D9" s="203" t="s">
        <v>20</v>
      </c>
      <c r="E9" s="411">
        <v>0.28000000000000003</v>
      </c>
      <c r="F9" s="411">
        <v>0.3</v>
      </c>
      <c r="G9" s="411"/>
      <c r="H9" s="411"/>
      <c r="I9" s="411"/>
      <c r="J9" s="411"/>
      <c r="K9" s="411"/>
      <c r="L9" s="411"/>
      <c r="M9" s="411"/>
      <c r="N9" s="412"/>
    </row>
    <row r="10" spans="2:14" s="160" customFormat="1" ht="13" x14ac:dyDescent="0.3">
      <c r="B10" s="388" t="s">
        <v>471</v>
      </c>
      <c r="C10" s="395" t="s">
        <v>20</v>
      </c>
      <c r="D10" s="282" t="s">
        <v>154</v>
      </c>
      <c r="E10" s="412">
        <v>0.05</v>
      </c>
      <c r="F10" s="412">
        <v>7.0000000000000007E-2</v>
      </c>
      <c r="G10" s="412"/>
      <c r="H10" s="412"/>
      <c r="I10" s="412"/>
      <c r="J10" s="412"/>
      <c r="K10" s="412"/>
      <c r="L10" s="412"/>
      <c r="M10" s="412"/>
      <c r="N10" s="412"/>
    </row>
    <row r="11" spans="2:14" s="160" customFormat="1" x14ac:dyDescent="0.25">
      <c r="B11" s="199" t="s">
        <v>472</v>
      </c>
      <c r="C11" s="321" t="s">
        <v>161</v>
      </c>
      <c r="D11" s="199" t="s">
        <v>137</v>
      </c>
      <c r="E11" s="413"/>
      <c r="F11" s="413"/>
      <c r="G11" s="413"/>
      <c r="H11" s="413"/>
      <c r="I11" s="413"/>
      <c r="J11" s="413"/>
      <c r="K11" s="413"/>
      <c r="L11" s="413"/>
      <c r="M11" s="413"/>
      <c r="N11" s="414"/>
    </row>
    <row r="12" spans="2:14" s="160" customFormat="1" x14ac:dyDescent="0.25">
      <c r="B12" s="203" t="s">
        <v>473</v>
      </c>
      <c r="C12" s="391" t="s">
        <v>22</v>
      </c>
      <c r="D12" s="203" t="s">
        <v>137</v>
      </c>
      <c r="E12" s="411"/>
      <c r="F12" s="411"/>
      <c r="G12" s="411"/>
      <c r="H12" s="411"/>
      <c r="I12" s="411"/>
      <c r="J12" s="411"/>
      <c r="K12" s="411"/>
      <c r="L12" s="412"/>
      <c r="M12" s="412"/>
      <c r="N12" s="412"/>
    </row>
    <row r="13" spans="2:14" s="160" customFormat="1" x14ac:dyDescent="0.25">
      <c r="B13" s="797" t="s">
        <v>474</v>
      </c>
      <c r="C13" s="800" t="s">
        <v>23</v>
      </c>
      <c r="D13" s="298" t="s">
        <v>146</v>
      </c>
      <c r="E13" s="412"/>
      <c r="F13" s="412"/>
      <c r="G13" s="412"/>
      <c r="H13" s="412"/>
      <c r="I13" s="412"/>
      <c r="J13" s="412"/>
      <c r="K13" s="412"/>
      <c r="L13" s="412"/>
      <c r="M13" s="412"/>
      <c r="N13" s="412"/>
    </row>
    <row r="14" spans="2:14" s="160" customFormat="1" ht="25" x14ac:dyDescent="0.25">
      <c r="B14" s="798"/>
      <c r="C14" s="801"/>
      <c r="D14" s="299" t="s">
        <v>147</v>
      </c>
      <c r="E14" s="412"/>
      <c r="F14" s="412"/>
      <c r="G14" s="412"/>
      <c r="H14" s="412"/>
      <c r="I14" s="412"/>
      <c r="J14" s="412"/>
      <c r="K14" s="412"/>
      <c r="L14" s="412"/>
      <c r="M14" s="412"/>
      <c r="N14" s="412"/>
    </row>
    <row r="15" spans="2:14" s="160" customFormat="1" x14ac:dyDescent="0.25">
      <c r="B15" s="798"/>
      <c r="C15" s="391" t="s">
        <v>24</v>
      </c>
      <c r="D15" s="202" t="s">
        <v>20</v>
      </c>
      <c r="E15" s="412"/>
      <c r="F15" s="412"/>
      <c r="G15" s="412"/>
      <c r="H15" s="412"/>
      <c r="I15" s="412"/>
      <c r="J15" s="412"/>
      <c r="K15" s="412"/>
      <c r="L15" s="412"/>
      <c r="M15" s="412"/>
      <c r="N15" s="412"/>
    </row>
    <row r="16" spans="2:14" s="160" customFormat="1" x14ac:dyDescent="0.25">
      <c r="B16" s="799"/>
      <c r="C16" s="171" t="s">
        <v>25</v>
      </c>
      <c r="D16" s="202" t="s">
        <v>20</v>
      </c>
      <c r="E16" s="412"/>
      <c r="F16" s="412"/>
      <c r="G16" s="412"/>
      <c r="H16" s="412"/>
      <c r="I16" s="412"/>
      <c r="J16" s="412"/>
      <c r="K16" s="412"/>
      <c r="L16" s="412"/>
      <c r="M16" s="412"/>
      <c r="N16" s="412"/>
    </row>
    <row r="17" spans="1:15" s="160" customFormat="1" x14ac:dyDescent="0.25">
      <c r="B17" s="393" t="s">
        <v>475</v>
      </c>
      <c r="C17" s="391" t="s">
        <v>60</v>
      </c>
      <c r="D17" s="202" t="s">
        <v>20</v>
      </c>
      <c r="E17" s="412"/>
      <c r="F17" s="412"/>
      <c r="G17" s="412"/>
      <c r="H17" s="412"/>
      <c r="I17" s="412"/>
      <c r="J17" s="412"/>
      <c r="K17" s="412"/>
      <c r="L17" s="412"/>
      <c r="M17" s="412"/>
      <c r="N17" s="412"/>
    </row>
    <row r="18" spans="1:15" s="160" customFormat="1" x14ac:dyDescent="0.25">
      <c r="B18" s="802" t="s">
        <v>476</v>
      </c>
      <c r="C18" s="391" t="s">
        <v>161</v>
      </c>
      <c r="D18" s="202" t="s">
        <v>20</v>
      </c>
      <c r="E18" s="632">
        <v>4.4999999999999998E-2</v>
      </c>
      <c r="F18" s="632">
        <v>4.9999999999999996E-2</v>
      </c>
      <c r="G18" s="632"/>
      <c r="H18" s="632"/>
      <c r="I18" s="632"/>
      <c r="J18" s="632"/>
      <c r="K18" s="632"/>
      <c r="L18" s="632"/>
      <c r="M18" s="632"/>
      <c r="N18" s="632"/>
    </row>
    <row r="19" spans="1:15" s="160" customFormat="1" x14ac:dyDescent="0.25">
      <c r="B19" s="803"/>
      <c r="C19" s="395" t="s">
        <v>22</v>
      </c>
      <c r="D19" s="203" t="s">
        <v>162</v>
      </c>
      <c r="E19" s="414"/>
      <c r="F19" s="414"/>
      <c r="G19" s="414"/>
      <c r="H19" s="414"/>
      <c r="I19" s="414"/>
      <c r="J19" s="414"/>
      <c r="K19" s="414"/>
      <c r="L19" s="414"/>
      <c r="M19" s="414"/>
      <c r="N19" s="414"/>
    </row>
    <row r="20" spans="1:15" s="160" customFormat="1" x14ac:dyDescent="0.25">
      <c r="B20" s="803"/>
      <c r="C20" s="391" t="s">
        <v>23</v>
      </c>
      <c r="D20" s="394" t="s">
        <v>162</v>
      </c>
      <c r="E20" s="414"/>
      <c r="F20" s="414"/>
      <c r="G20" s="414"/>
      <c r="H20" s="414"/>
      <c r="I20" s="414"/>
      <c r="J20" s="414"/>
      <c r="K20" s="414"/>
      <c r="L20" s="414"/>
      <c r="M20" s="414"/>
      <c r="N20" s="414"/>
    </row>
    <row r="21" spans="1:15" s="160" customFormat="1" x14ac:dyDescent="0.25">
      <c r="B21" s="803"/>
      <c r="C21" s="391" t="s">
        <v>163</v>
      </c>
      <c r="D21" s="202" t="s">
        <v>20</v>
      </c>
      <c r="E21" s="415">
        <v>0.4</v>
      </c>
      <c r="F21" s="415">
        <v>0.35</v>
      </c>
      <c r="G21" s="415"/>
      <c r="H21" s="415"/>
      <c r="I21" s="415"/>
      <c r="J21" s="415"/>
      <c r="K21" s="415"/>
      <c r="L21" s="415"/>
      <c r="M21" s="415"/>
      <c r="N21" s="412"/>
    </row>
    <row r="22" spans="1:15" s="160" customFormat="1" x14ac:dyDescent="0.25">
      <c r="B22" s="804"/>
      <c r="C22" s="171" t="s">
        <v>25</v>
      </c>
      <c r="D22" s="199" t="s">
        <v>20</v>
      </c>
      <c r="E22" s="413">
        <v>0.22</v>
      </c>
      <c r="F22" s="631">
        <v>0.24</v>
      </c>
      <c r="G22" s="631"/>
      <c r="H22" s="631"/>
      <c r="I22" s="631"/>
      <c r="J22" s="631"/>
      <c r="K22" s="631"/>
      <c r="L22" s="631"/>
      <c r="M22" s="631"/>
      <c r="N22" s="630"/>
    </row>
    <row r="23" spans="1:15" s="160" customFormat="1" x14ac:dyDescent="0.25">
      <c r="B23" s="390" t="s">
        <v>477</v>
      </c>
      <c r="C23" s="203" t="s">
        <v>20</v>
      </c>
      <c r="D23" s="203" t="s">
        <v>20</v>
      </c>
      <c r="E23" s="414"/>
      <c r="F23" s="414"/>
      <c r="G23" s="414"/>
      <c r="H23" s="414"/>
      <c r="I23" s="414"/>
      <c r="J23" s="414"/>
      <c r="K23" s="414"/>
      <c r="L23" s="414"/>
      <c r="M23" s="414"/>
      <c r="N23" s="414"/>
    </row>
    <row r="24" spans="1:15" s="160" customFormat="1" x14ac:dyDescent="0.25">
      <c r="B24" s="203" t="s">
        <v>478</v>
      </c>
      <c r="C24" s="203" t="s">
        <v>20</v>
      </c>
      <c r="D24" s="203" t="s">
        <v>20</v>
      </c>
      <c r="E24" s="414"/>
      <c r="F24" s="414">
        <v>0.2</v>
      </c>
      <c r="G24" s="414"/>
      <c r="H24" s="630"/>
      <c r="I24" s="630"/>
      <c r="J24" s="630"/>
      <c r="K24" s="630"/>
      <c r="L24" s="630"/>
      <c r="M24" s="630"/>
      <c r="N24" s="630"/>
    </row>
    <row r="25" spans="1:15" s="160" customFormat="1" x14ac:dyDescent="0.25">
      <c r="B25" s="203" t="s">
        <v>480</v>
      </c>
      <c r="C25" s="203" t="s">
        <v>20</v>
      </c>
      <c r="D25" s="203" t="s">
        <v>20</v>
      </c>
      <c r="E25" s="414"/>
      <c r="F25" s="414"/>
      <c r="G25" s="414"/>
      <c r="H25" s="630"/>
      <c r="I25" s="630"/>
      <c r="J25" s="630"/>
      <c r="K25" s="630"/>
      <c r="L25" s="630"/>
      <c r="M25" s="630"/>
      <c r="N25" s="630"/>
      <c r="O25" s="360"/>
    </row>
    <row r="26" spans="1:15" s="160" customFormat="1" ht="15.5" x14ac:dyDescent="0.35">
      <c r="B26" s="217"/>
      <c r="C26" s="628"/>
      <c r="D26" s="278"/>
    </row>
    <row r="27" spans="1:15" s="160" customFormat="1" ht="15.5" x14ac:dyDescent="0.35">
      <c r="B27" s="217"/>
      <c r="C27" s="628"/>
      <c r="D27" s="278"/>
    </row>
    <row r="28" spans="1:15" s="133" customFormat="1" ht="15.5" x14ac:dyDescent="0.35">
      <c r="B28" s="221" t="s">
        <v>0</v>
      </c>
      <c r="C28" s="273" t="s">
        <v>231</v>
      </c>
      <c r="D28" s="198"/>
      <c r="E28" s="371"/>
      <c r="H28" s="160"/>
      <c r="I28" s="160"/>
      <c r="M28" s="684" t="str">
        <f>B28</f>
        <v>Units</v>
      </c>
      <c r="N28" s="685" t="str">
        <f>C28</f>
        <v>China-Telecom</v>
      </c>
      <c r="O28" s="160"/>
    </row>
    <row r="29" spans="1:15" s="133" customFormat="1" x14ac:dyDescent="0.25">
      <c r="B29" s="225" t="s">
        <v>10</v>
      </c>
      <c r="C29" s="7" t="s">
        <v>11</v>
      </c>
      <c r="D29" s="226" t="s">
        <v>12</v>
      </c>
      <c r="E29" s="39">
        <v>2016</v>
      </c>
      <c r="F29" s="7">
        <v>2017</v>
      </c>
      <c r="G29" s="7">
        <v>2018</v>
      </c>
      <c r="H29" s="7">
        <v>2019</v>
      </c>
      <c r="I29" s="7">
        <v>2020</v>
      </c>
      <c r="J29" s="7">
        <v>2021</v>
      </c>
      <c r="K29" s="7">
        <v>2022</v>
      </c>
      <c r="L29" s="7">
        <v>2023</v>
      </c>
      <c r="M29" s="7">
        <v>2024</v>
      </c>
      <c r="N29" s="7">
        <v>2025</v>
      </c>
      <c r="O29" s="160"/>
    </row>
    <row r="30" spans="1:15" s="133" customFormat="1" ht="12.75" customHeight="1" x14ac:dyDescent="0.25">
      <c r="A30" s="160"/>
      <c r="B30" s="355" t="s">
        <v>469</v>
      </c>
      <c r="C30" s="293" t="s">
        <v>20</v>
      </c>
      <c r="D30" s="203" t="s">
        <v>20</v>
      </c>
      <c r="E30" s="409">
        <f t="shared" ref="E30:M30" si="0">E8*E165</f>
        <v>959161.97075800004</v>
      </c>
      <c r="F30" s="409">
        <f t="shared" si="0"/>
        <v>715625.9142</v>
      </c>
      <c r="G30" s="409"/>
      <c r="H30" s="409"/>
      <c r="I30" s="409"/>
      <c r="J30" s="409"/>
      <c r="K30" s="409"/>
      <c r="L30" s="410"/>
      <c r="M30" s="410"/>
      <c r="N30" s="410"/>
      <c r="O30" s="160"/>
    </row>
    <row r="31" spans="1:15" s="133" customFormat="1" x14ac:dyDescent="0.25">
      <c r="A31" s="160"/>
      <c r="B31" s="355" t="s">
        <v>470</v>
      </c>
      <c r="C31" s="356" t="s">
        <v>20</v>
      </c>
      <c r="D31" s="203" t="s">
        <v>20</v>
      </c>
      <c r="E31" s="409">
        <f t="shared" ref="E31:M31" si="1">E9*E166</f>
        <v>486095.4108116962</v>
      </c>
      <c r="F31" s="409">
        <f t="shared" si="1"/>
        <v>498733.58954077639</v>
      </c>
      <c r="G31" s="409"/>
      <c r="H31" s="409"/>
      <c r="I31" s="409"/>
      <c r="J31" s="409"/>
      <c r="K31" s="409"/>
      <c r="L31" s="410"/>
      <c r="M31" s="410"/>
      <c r="N31" s="410"/>
      <c r="O31" s="160"/>
    </row>
    <row r="32" spans="1:15" s="160" customFormat="1" ht="13" x14ac:dyDescent="0.3">
      <c r="B32" s="280" t="s">
        <v>471</v>
      </c>
      <c r="C32" s="279" t="s">
        <v>20</v>
      </c>
      <c r="D32" s="282" t="s">
        <v>154</v>
      </c>
      <c r="E32" s="409">
        <f t="shared" ref="E32:M32" si="2">E10*E167</f>
        <v>68.22</v>
      </c>
      <c r="F32" s="409">
        <f t="shared" si="2"/>
        <v>366.702</v>
      </c>
      <c r="G32" s="409"/>
      <c r="H32" s="409"/>
      <c r="I32" s="409"/>
      <c r="J32" s="409"/>
      <c r="K32" s="409"/>
      <c r="L32" s="410"/>
      <c r="M32" s="410"/>
      <c r="N32" s="410"/>
    </row>
    <row r="33" spans="1:34" s="133" customFormat="1" x14ac:dyDescent="0.25">
      <c r="A33" s="160"/>
      <c r="B33" s="199" t="s">
        <v>472</v>
      </c>
      <c r="C33" s="321" t="s">
        <v>161</v>
      </c>
      <c r="D33" s="199" t="s">
        <v>137</v>
      </c>
      <c r="E33" s="409">
        <f t="shared" ref="E33:M33" si="3">E11*E168</f>
        <v>0</v>
      </c>
      <c r="F33" s="409">
        <f t="shared" si="3"/>
        <v>0</v>
      </c>
      <c r="G33" s="409"/>
      <c r="H33" s="409"/>
      <c r="I33" s="409"/>
      <c r="J33" s="409"/>
      <c r="K33" s="409"/>
      <c r="L33" s="410"/>
      <c r="M33" s="410"/>
      <c r="N33" s="410"/>
      <c r="O33" s="160"/>
    </row>
    <row r="34" spans="1:34" s="160" customFormat="1" ht="25" customHeight="1" x14ac:dyDescent="0.25">
      <c r="B34" s="203" t="s">
        <v>473</v>
      </c>
      <c r="C34" s="317" t="s">
        <v>22</v>
      </c>
      <c r="D34" s="203" t="s">
        <v>137</v>
      </c>
      <c r="E34" s="409">
        <f t="shared" ref="E34:M34" si="4">E12*E169</f>
        <v>0</v>
      </c>
      <c r="F34" s="409">
        <f t="shared" si="4"/>
        <v>0</v>
      </c>
      <c r="G34" s="409"/>
      <c r="H34" s="409"/>
      <c r="I34" s="409"/>
      <c r="J34" s="409"/>
      <c r="K34" s="409"/>
      <c r="L34" s="410"/>
      <c r="M34" s="410"/>
      <c r="N34" s="410"/>
    </row>
    <row r="35" spans="1:34" s="133" customFormat="1" x14ac:dyDescent="0.25">
      <c r="A35" s="160"/>
      <c r="B35" s="797" t="s">
        <v>474</v>
      </c>
      <c r="C35" s="800" t="s">
        <v>23</v>
      </c>
      <c r="D35" s="298" t="s">
        <v>146</v>
      </c>
      <c r="E35" s="409">
        <f t="shared" ref="E35:M35" si="5">E13*E170</f>
        <v>0</v>
      </c>
      <c r="F35" s="409">
        <f t="shared" si="5"/>
        <v>0</v>
      </c>
      <c r="G35" s="409"/>
      <c r="H35" s="409"/>
      <c r="I35" s="409"/>
      <c r="J35" s="409"/>
      <c r="K35" s="409"/>
      <c r="L35" s="409"/>
      <c r="M35" s="417"/>
      <c r="N35" s="417"/>
      <c r="O35" s="160"/>
    </row>
    <row r="36" spans="1:34" s="133" customFormat="1" ht="12" customHeight="1" x14ac:dyDescent="0.25">
      <c r="A36" s="160"/>
      <c r="B36" s="798"/>
      <c r="C36" s="801"/>
      <c r="D36" s="299" t="s">
        <v>147</v>
      </c>
      <c r="E36" s="409">
        <f t="shared" ref="E36:M36" si="6">E14*E171</f>
        <v>0</v>
      </c>
      <c r="F36" s="409">
        <f t="shared" si="6"/>
        <v>0</v>
      </c>
      <c r="G36" s="409"/>
      <c r="H36" s="409"/>
      <c r="I36" s="409"/>
      <c r="J36" s="409"/>
      <c r="K36" s="409"/>
      <c r="L36" s="410"/>
      <c r="M36" s="410"/>
      <c r="N36" s="410"/>
      <c r="O36" s="160"/>
    </row>
    <row r="37" spans="1:34" s="133" customFormat="1" x14ac:dyDescent="0.25">
      <c r="A37" s="160"/>
      <c r="B37" s="798"/>
      <c r="C37" s="317" t="s">
        <v>24</v>
      </c>
      <c r="D37" s="202" t="s">
        <v>20</v>
      </c>
      <c r="E37" s="409">
        <f t="shared" ref="E37:M37" si="7">E15*E172</f>
        <v>0</v>
      </c>
      <c r="F37" s="409">
        <f t="shared" si="7"/>
        <v>0</v>
      </c>
      <c r="G37" s="409"/>
      <c r="H37" s="409"/>
      <c r="I37" s="409"/>
      <c r="J37" s="409"/>
      <c r="K37" s="409"/>
      <c r="L37" s="410"/>
      <c r="M37" s="410"/>
      <c r="N37" s="410"/>
      <c r="O37" s="160"/>
    </row>
    <row r="38" spans="1:34" s="133" customFormat="1" x14ac:dyDescent="0.25">
      <c r="A38" s="160"/>
      <c r="B38" s="799"/>
      <c r="C38" s="171" t="s">
        <v>25</v>
      </c>
      <c r="D38" s="202" t="s">
        <v>20</v>
      </c>
      <c r="E38" s="409">
        <f t="shared" ref="E38:M38" si="8">E16*E173</f>
        <v>0</v>
      </c>
      <c r="F38" s="409">
        <f t="shared" si="8"/>
        <v>0</v>
      </c>
      <c r="G38" s="409"/>
      <c r="H38" s="409"/>
      <c r="I38" s="409"/>
      <c r="J38" s="409"/>
      <c r="K38" s="409"/>
      <c r="L38" s="410"/>
      <c r="M38" s="410"/>
      <c r="N38" s="410"/>
      <c r="O38" s="160"/>
    </row>
    <row r="39" spans="1:34" s="160" customFormat="1" x14ac:dyDescent="0.25">
      <c r="B39" s="319" t="s">
        <v>475</v>
      </c>
      <c r="C39" s="317" t="s">
        <v>60</v>
      </c>
      <c r="D39" s="202" t="s">
        <v>20</v>
      </c>
      <c r="E39" s="409">
        <f t="shared" ref="E39:M39" si="9">E17*E174</f>
        <v>0</v>
      </c>
      <c r="F39" s="409">
        <f t="shared" si="9"/>
        <v>0</v>
      </c>
      <c r="G39" s="409"/>
      <c r="H39" s="409"/>
      <c r="I39" s="409"/>
      <c r="J39" s="409"/>
      <c r="K39" s="409"/>
      <c r="L39" s="410"/>
      <c r="M39" s="410"/>
      <c r="N39" s="410"/>
    </row>
    <row r="40" spans="1:34" s="133" customFormat="1" x14ac:dyDescent="0.25">
      <c r="A40" s="160"/>
      <c r="B40" s="802" t="s">
        <v>476</v>
      </c>
      <c r="C40" s="317" t="s">
        <v>161</v>
      </c>
      <c r="D40" s="202" t="s">
        <v>20</v>
      </c>
      <c r="E40" s="409">
        <f t="shared" ref="E40:M40" si="10">E18*E175</f>
        <v>863.23500000000001</v>
      </c>
      <c r="F40" s="409">
        <f t="shared" si="10"/>
        <v>459.09999999999997</v>
      </c>
      <c r="G40" s="409"/>
      <c r="H40" s="409"/>
      <c r="I40" s="409"/>
      <c r="J40" s="409"/>
      <c r="K40" s="409"/>
      <c r="L40" s="410"/>
      <c r="M40" s="410"/>
      <c r="N40" s="410"/>
      <c r="O40" s="160"/>
    </row>
    <row r="41" spans="1:34" s="160" customFormat="1" x14ac:dyDescent="0.25">
      <c r="B41" s="803"/>
      <c r="C41" s="318" t="s">
        <v>22</v>
      </c>
      <c r="D41" s="203" t="s">
        <v>162</v>
      </c>
      <c r="E41" s="409">
        <f t="shared" ref="E41:M41" si="11">E19*E176</f>
        <v>0</v>
      </c>
      <c r="F41" s="409">
        <f t="shared" si="11"/>
        <v>0</v>
      </c>
      <c r="G41" s="409"/>
      <c r="H41" s="409"/>
      <c r="I41" s="409"/>
      <c r="J41" s="409"/>
      <c r="K41" s="409"/>
      <c r="L41" s="410"/>
      <c r="M41" s="410"/>
      <c r="N41" s="410"/>
    </row>
    <row r="42" spans="1:34" s="133" customFormat="1" x14ac:dyDescent="0.25">
      <c r="A42" s="160"/>
      <c r="B42" s="803"/>
      <c r="C42" s="317" t="s">
        <v>23</v>
      </c>
      <c r="D42" s="320" t="s">
        <v>162</v>
      </c>
      <c r="E42" s="409">
        <f t="shared" ref="E42:M42" si="12">E20*E177</f>
        <v>0</v>
      </c>
      <c r="F42" s="409">
        <f t="shared" si="12"/>
        <v>0</v>
      </c>
      <c r="G42" s="409"/>
      <c r="H42" s="409"/>
      <c r="I42" s="409"/>
      <c r="J42" s="409"/>
      <c r="K42" s="409"/>
      <c r="L42" s="410"/>
      <c r="M42" s="410"/>
      <c r="N42" s="410"/>
      <c r="O42" s="160"/>
    </row>
    <row r="43" spans="1:34" s="133" customFormat="1" x14ac:dyDescent="0.25">
      <c r="A43" s="160"/>
      <c r="B43" s="803"/>
      <c r="C43" s="317" t="s">
        <v>163</v>
      </c>
      <c r="D43" s="202" t="s">
        <v>20</v>
      </c>
      <c r="E43" s="409">
        <f t="shared" ref="E43:M43" si="13">E21*E178</f>
        <v>88107.040000000008</v>
      </c>
      <c r="F43" s="409">
        <f t="shared" si="13"/>
        <v>88989.809999999983</v>
      </c>
      <c r="G43" s="409"/>
      <c r="H43" s="409"/>
      <c r="I43" s="409"/>
      <c r="J43" s="409"/>
      <c r="K43" s="409"/>
      <c r="L43" s="410"/>
      <c r="M43" s="410"/>
      <c r="N43" s="410"/>
      <c r="O43" s="160"/>
    </row>
    <row r="44" spans="1:34" s="133" customFormat="1" x14ac:dyDescent="0.25">
      <c r="A44" s="160"/>
      <c r="B44" s="804"/>
      <c r="C44" s="171" t="s">
        <v>25</v>
      </c>
      <c r="D44" s="199" t="s">
        <v>20</v>
      </c>
      <c r="E44" s="409">
        <f t="shared" ref="E44:M44" si="14">E22*E179</f>
        <v>1640.32</v>
      </c>
      <c r="F44" s="409">
        <f t="shared" si="14"/>
        <v>2465.2799999999997</v>
      </c>
      <c r="G44" s="409"/>
      <c r="H44" s="409"/>
      <c r="I44" s="409"/>
      <c r="J44" s="409"/>
      <c r="K44" s="409"/>
      <c r="L44" s="410"/>
      <c r="M44" s="410"/>
      <c r="N44" s="410"/>
      <c r="O44" s="160"/>
    </row>
    <row r="45" spans="1:34" s="160" customFormat="1" x14ac:dyDescent="0.25">
      <c r="B45" s="287" t="s">
        <v>477</v>
      </c>
      <c r="C45" s="203" t="s">
        <v>20</v>
      </c>
      <c r="D45" s="203" t="s">
        <v>20</v>
      </c>
      <c r="E45" s="409">
        <f t="shared" ref="E45:M45" si="15">E23*E180</f>
        <v>0</v>
      </c>
      <c r="F45" s="409">
        <f t="shared" si="15"/>
        <v>0</v>
      </c>
      <c r="G45" s="409"/>
      <c r="H45" s="409"/>
      <c r="I45" s="409"/>
      <c r="J45" s="409"/>
      <c r="K45" s="409"/>
      <c r="L45" s="410"/>
      <c r="M45" s="410"/>
      <c r="N45" s="410"/>
    </row>
    <row r="46" spans="1:34" s="160" customFormat="1" x14ac:dyDescent="0.25">
      <c r="B46" s="203" t="s">
        <v>478</v>
      </c>
      <c r="C46" s="203" t="s">
        <v>20</v>
      </c>
      <c r="D46" s="203" t="s">
        <v>20</v>
      </c>
      <c r="E46" s="409">
        <f t="shared" ref="E46:N46" si="16">E24*E181</f>
        <v>0</v>
      </c>
      <c r="F46" s="409">
        <f t="shared" si="16"/>
        <v>16.400000000000002</v>
      </c>
      <c r="G46" s="409"/>
      <c r="H46" s="409"/>
      <c r="I46" s="409"/>
      <c r="J46" s="409"/>
      <c r="K46" s="409"/>
      <c r="L46" s="410"/>
      <c r="M46" s="410"/>
      <c r="N46" s="410"/>
    </row>
    <row r="47" spans="1:34" s="160" customFormat="1" x14ac:dyDescent="0.25">
      <c r="B47" s="203" t="s">
        <v>480</v>
      </c>
      <c r="C47" s="203" t="s">
        <v>20</v>
      </c>
      <c r="D47" s="203" t="s">
        <v>20</v>
      </c>
      <c r="E47" s="409">
        <f t="shared" ref="E47:N47" si="17">E25*E182</f>
        <v>0</v>
      </c>
      <c r="F47" s="409">
        <f t="shared" si="17"/>
        <v>0</v>
      </c>
      <c r="G47" s="409"/>
      <c r="H47" s="409"/>
      <c r="I47" s="409"/>
      <c r="J47" s="409"/>
      <c r="K47" s="409"/>
      <c r="L47" s="410"/>
      <c r="M47" s="410"/>
      <c r="N47" s="410"/>
    </row>
    <row r="48" spans="1:34" s="133" customFormat="1" x14ac:dyDescent="0.25">
      <c r="A48" s="160"/>
      <c r="B48" s="206" t="s">
        <v>9</v>
      </c>
      <c r="C48" s="203" t="s">
        <v>20</v>
      </c>
      <c r="D48" s="203" t="s">
        <v>20</v>
      </c>
      <c r="E48" s="235">
        <f>SUM(E30:E47)</f>
        <v>1535936.1965696963</v>
      </c>
      <c r="F48" s="235">
        <f t="shared" ref="F48:N48" si="18">SUM(F30:F47)</f>
        <v>1306656.7957407765</v>
      </c>
      <c r="G48" s="235"/>
      <c r="H48" s="235"/>
      <c r="I48" s="235"/>
      <c r="J48" s="235"/>
      <c r="K48" s="235"/>
      <c r="L48" s="235"/>
      <c r="M48" s="235"/>
      <c r="N48" s="235"/>
      <c r="O48" s="160"/>
      <c r="P48" s="160"/>
      <c r="Q48" s="160"/>
      <c r="R48" s="160"/>
      <c r="S48" s="160"/>
      <c r="T48" s="160"/>
      <c r="U48" s="160"/>
      <c r="V48" s="160"/>
      <c r="W48" s="160"/>
      <c r="X48" s="160"/>
      <c r="Y48" s="160"/>
      <c r="Z48" s="160"/>
      <c r="AA48" s="160"/>
      <c r="AB48" s="160"/>
      <c r="AC48" s="160"/>
      <c r="AD48" s="160"/>
      <c r="AE48" s="160"/>
      <c r="AF48" s="160"/>
      <c r="AG48" s="160"/>
      <c r="AH48" s="160"/>
    </row>
    <row r="49" spans="1:32" s="135" customFormat="1" x14ac:dyDescent="0.25">
      <c r="A49" s="160"/>
      <c r="C49" s="160"/>
      <c r="D49" s="207"/>
      <c r="E49" s="8"/>
      <c r="F49" s="8">
        <f t="shared" ref="F49:N49" si="19">IF(E48=0,"",F48/E48-1)</f>
        <v>-0.14927664400447371</v>
      </c>
      <c r="G49" s="8">
        <f t="shared" si="19"/>
        <v>-1</v>
      </c>
      <c r="H49" s="8" t="str">
        <f t="shared" si="19"/>
        <v/>
      </c>
      <c r="I49" s="8" t="str">
        <f t="shared" si="19"/>
        <v/>
      </c>
      <c r="J49" s="8" t="str">
        <f t="shared" si="19"/>
        <v/>
      </c>
      <c r="K49" s="8" t="str">
        <f t="shared" si="19"/>
        <v/>
      </c>
      <c r="L49" s="8" t="str">
        <f t="shared" si="19"/>
        <v/>
      </c>
      <c r="M49" s="8" t="str">
        <f t="shared" si="19"/>
        <v/>
      </c>
      <c r="N49" s="8" t="str">
        <f t="shared" si="19"/>
        <v/>
      </c>
      <c r="O49" s="160"/>
      <c r="P49" s="160"/>
      <c r="Q49" s="160"/>
      <c r="R49" s="207"/>
      <c r="S49" s="2"/>
      <c r="T49" s="8" t="str">
        <f t="shared" ref="T49:AF49" si="20">IF(S48=0,"",T48/S48-1)</f>
        <v/>
      </c>
      <c r="U49" s="8" t="str">
        <f t="shared" si="20"/>
        <v/>
      </c>
      <c r="V49" s="8" t="str">
        <f t="shared" si="20"/>
        <v/>
      </c>
      <c r="W49" s="8" t="str">
        <f t="shared" si="20"/>
        <v/>
      </c>
      <c r="X49" s="8" t="str">
        <f t="shared" si="20"/>
        <v/>
      </c>
      <c r="Y49" s="8" t="str">
        <f t="shared" si="20"/>
        <v/>
      </c>
      <c r="Z49" s="8" t="str">
        <f t="shared" si="20"/>
        <v/>
      </c>
      <c r="AA49" s="8" t="str">
        <f t="shared" si="20"/>
        <v/>
      </c>
      <c r="AB49" s="8" t="str">
        <f t="shared" si="20"/>
        <v/>
      </c>
      <c r="AC49" s="8" t="str">
        <f t="shared" si="20"/>
        <v/>
      </c>
      <c r="AD49" s="8" t="str">
        <f t="shared" si="20"/>
        <v/>
      </c>
      <c r="AE49" s="8" t="str">
        <f t="shared" si="20"/>
        <v/>
      </c>
      <c r="AF49" s="8" t="str">
        <f t="shared" si="20"/>
        <v/>
      </c>
    </row>
    <row r="50" spans="1:32" s="135" customFormat="1" ht="13" x14ac:dyDescent="0.3">
      <c r="A50" s="160"/>
      <c r="B50" s="220" t="s">
        <v>53</v>
      </c>
      <c r="C50" s="273" t="str">
        <f>C28</f>
        <v>China-Telecom</v>
      </c>
      <c r="D50" s="198"/>
      <c r="E50" s="283"/>
      <c r="F50" s="283"/>
      <c r="G50" s="283"/>
      <c r="H50" s="283"/>
      <c r="I50" s="283"/>
      <c r="J50" s="283"/>
      <c r="K50" s="283"/>
      <c r="M50" s="684" t="str">
        <f>B50</f>
        <v>ASP ($)</v>
      </c>
      <c r="N50" s="685" t="str">
        <f>C50</f>
        <v>China-Telecom</v>
      </c>
      <c r="O50" s="160"/>
    </row>
    <row r="51" spans="1:32" s="135" customFormat="1" x14ac:dyDescent="0.25">
      <c r="A51" s="160"/>
      <c r="B51" s="227" t="s">
        <v>10</v>
      </c>
      <c r="C51" s="129" t="s">
        <v>11</v>
      </c>
      <c r="D51" s="228" t="s">
        <v>12</v>
      </c>
      <c r="E51" s="136">
        <v>2016</v>
      </c>
      <c r="F51" s="129">
        <v>2017</v>
      </c>
      <c r="G51" s="129">
        <v>2018</v>
      </c>
      <c r="H51" s="129">
        <v>2019</v>
      </c>
      <c r="I51" s="129">
        <v>2020</v>
      </c>
      <c r="J51" s="129">
        <v>2021</v>
      </c>
      <c r="K51" s="129">
        <v>2022</v>
      </c>
      <c r="L51" s="129">
        <v>2023</v>
      </c>
      <c r="M51" s="129">
        <v>2024</v>
      </c>
      <c r="N51" s="129">
        <v>2025</v>
      </c>
      <c r="O51" s="160"/>
    </row>
    <row r="52" spans="1:32" s="135" customFormat="1" x14ac:dyDescent="0.25">
      <c r="A52" s="160"/>
      <c r="B52" s="355" t="str">
        <f t="shared" ref="B52:B69" si="21">B30</f>
        <v>1 G</v>
      </c>
      <c r="C52" s="293" t="str">
        <f>C30</f>
        <v>All</v>
      </c>
      <c r="D52" s="293" t="str">
        <f>D30</f>
        <v>All</v>
      </c>
      <c r="E52" s="294">
        <f t="shared" ref="E52:L52" si="22">E187</f>
        <v>13.444345309797832</v>
      </c>
      <c r="F52" s="294">
        <f t="shared" si="22"/>
        <v>11.752073385560035</v>
      </c>
      <c r="G52" s="294"/>
      <c r="H52" s="294"/>
      <c r="I52" s="294"/>
      <c r="J52" s="297"/>
      <c r="K52" s="297"/>
      <c r="L52" s="297"/>
      <c r="M52" s="297"/>
      <c r="N52" s="297"/>
      <c r="O52" s="160"/>
    </row>
    <row r="53" spans="1:32" s="135" customFormat="1" x14ac:dyDescent="0.25">
      <c r="B53" s="355" t="str">
        <f t="shared" si="21"/>
        <v>10 G</v>
      </c>
      <c r="C53" s="293" t="str">
        <f>C31</f>
        <v>All</v>
      </c>
      <c r="D53" s="293" t="str">
        <f>D31</f>
        <v>All</v>
      </c>
      <c r="E53" s="294">
        <f t="shared" ref="E53:L53" si="23">E188</f>
        <v>84.790693409687535</v>
      </c>
      <c r="F53" s="294">
        <f t="shared" si="23"/>
        <v>61.820946986524518</v>
      </c>
      <c r="G53" s="294"/>
      <c r="H53" s="294"/>
      <c r="I53" s="294"/>
      <c r="J53" s="297"/>
      <c r="K53" s="297"/>
      <c r="L53" s="297"/>
      <c r="M53" s="297"/>
      <c r="N53" s="297"/>
      <c r="O53" s="160"/>
    </row>
    <row r="54" spans="1:32" s="160" customFormat="1" ht="13" x14ac:dyDescent="0.3">
      <c r="B54" s="280" t="str">
        <f t="shared" si="21"/>
        <v>25 G</v>
      </c>
      <c r="C54" s="279" t="str">
        <f>C33</f>
        <v>100-300 m</v>
      </c>
      <c r="D54" s="282" t="s">
        <v>154</v>
      </c>
      <c r="E54" s="294">
        <f t="shared" ref="E54:L54" si="24">E189</f>
        <v>456.24032541776603</v>
      </c>
      <c r="F54" s="294">
        <f t="shared" si="24"/>
        <v>324.10355668962507</v>
      </c>
      <c r="G54" s="294"/>
      <c r="H54" s="294"/>
      <c r="I54" s="294"/>
      <c r="J54" s="297"/>
      <c r="K54" s="297"/>
      <c r="L54" s="297"/>
      <c r="M54" s="297"/>
      <c r="N54" s="297"/>
    </row>
    <row r="55" spans="1:32" s="135" customFormat="1" x14ac:dyDescent="0.25">
      <c r="B55" s="199" t="str">
        <f t="shared" si="21"/>
        <v>40 G</v>
      </c>
      <c r="C55" s="169" t="s">
        <v>21</v>
      </c>
      <c r="D55" s="199" t="s">
        <v>55</v>
      </c>
      <c r="E55" s="294">
        <f t="shared" ref="E55:L55" si="25">E190</f>
        <v>99.624177253256008</v>
      </c>
      <c r="F55" s="294">
        <f t="shared" si="25"/>
        <v>80.609108343448838</v>
      </c>
      <c r="G55" s="294"/>
      <c r="H55" s="294"/>
      <c r="I55" s="294"/>
      <c r="J55" s="297"/>
      <c r="K55" s="297"/>
      <c r="L55" s="297"/>
      <c r="M55" s="297"/>
      <c r="N55" s="297"/>
      <c r="O55" s="160"/>
    </row>
    <row r="56" spans="1:32" s="160" customFormat="1" ht="15.5" customHeight="1" x14ac:dyDescent="0.25">
      <c r="B56" s="203" t="str">
        <f t="shared" si="21"/>
        <v>40 G PSM4</v>
      </c>
      <c r="C56" s="271" t="s">
        <v>22</v>
      </c>
      <c r="D56" s="203" t="s">
        <v>137</v>
      </c>
      <c r="E56" s="294">
        <f t="shared" ref="E56:L56" si="26">E191</f>
        <v>0</v>
      </c>
      <c r="F56" s="294">
        <f t="shared" si="26"/>
        <v>0</v>
      </c>
      <c r="G56" s="294"/>
      <c r="H56" s="294"/>
      <c r="I56" s="294"/>
      <c r="J56" s="297"/>
      <c r="K56" s="297"/>
      <c r="L56" s="297"/>
      <c r="M56" s="297"/>
      <c r="N56" s="297"/>
    </row>
    <row r="57" spans="1:32" s="135" customFormat="1" x14ac:dyDescent="0.25">
      <c r="B57" s="797" t="str">
        <f t="shared" si="21"/>
        <v xml:space="preserve">40 G </v>
      </c>
      <c r="C57" s="805" t="s">
        <v>23</v>
      </c>
      <c r="D57" s="204" t="s">
        <v>146</v>
      </c>
      <c r="E57" s="294">
        <f t="shared" ref="E57:L57" si="27">E192</f>
        <v>4569.894941368153</v>
      </c>
      <c r="F57" s="294">
        <f t="shared" si="27"/>
        <v>5251.681208639473</v>
      </c>
      <c r="G57" s="294"/>
      <c r="H57" s="294"/>
      <c r="I57" s="294"/>
      <c r="J57" s="297"/>
      <c r="K57" s="297"/>
      <c r="L57" s="297"/>
      <c r="M57" s="297"/>
      <c r="N57" s="297"/>
      <c r="O57" s="160"/>
    </row>
    <row r="58" spans="1:32" s="135" customFormat="1" ht="14" customHeight="1" x14ac:dyDescent="0.25">
      <c r="B58" s="798"/>
      <c r="C58" s="806"/>
      <c r="D58" s="205" t="s">
        <v>147</v>
      </c>
      <c r="E58" s="294">
        <f t="shared" ref="E58:L58" si="28">E193</f>
        <v>0</v>
      </c>
      <c r="F58" s="294">
        <f t="shared" si="28"/>
        <v>0</v>
      </c>
      <c r="G58" s="294"/>
      <c r="H58" s="294"/>
      <c r="I58" s="294"/>
      <c r="J58" s="297"/>
      <c r="K58" s="297"/>
      <c r="L58" s="297"/>
      <c r="M58" s="297"/>
      <c r="N58" s="297"/>
      <c r="O58" s="160"/>
    </row>
    <row r="59" spans="1:32" s="135" customFormat="1" x14ac:dyDescent="0.25">
      <c r="B59" s="798"/>
      <c r="C59" s="318" t="s">
        <v>24</v>
      </c>
      <c r="D59" s="202" t="s">
        <v>20</v>
      </c>
      <c r="E59" s="294">
        <f t="shared" ref="E59:L59" si="29">E194</f>
        <v>1174.9655306999969</v>
      </c>
      <c r="F59" s="294">
        <f t="shared" si="29"/>
        <v>1350.8997571323105</v>
      </c>
      <c r="G59" s="294"/>
      <c r="H59" s="294"/>
      <c r="I59" s="294"/>
      <c r="J59" s="297"/>
      <c r="K59" s="297"/>
      <c r="L59" s="297"/>
      <c r="M59" s="297"/>
      <c r="N59" s="297"/>
      <c r="O59" s="160"/>
    </row>
    <row r="60" spans="1:32" s="135" customFormat="1" x14ac:dyDescent="0.25">
      <c r="B60" s="799"/>
      <c r="C60" s="170" t="s">
        <v>25</v>
      </c>
      <c r="D60" s="203" t="str">
        <f t="shared" ref="D60:D67" si="30">D38</f>
        <v>All</v>
      </c>
      <c r="E60" s="294">
        <f t="shared" ref="E60:L60" si="31">E195</f>
        <v>1673.0572324239706</v>
      </c>
      <c r="F60" s="294">
        <f t="shared" si="31"/>
        <v>1459.2330281290015</v>
      </c>
      <c r="G60" s="294"/>
      <c r="H60" s="294"/>
      <c r="I60" s="294"/>
      <c r="J60" s="297"/>
      <c r="K60" s="297"/>
      <c r="L60" s="297"/>
      <c r="M60" s="297"/>
      <c r="N60" s="297"/>
      <c r="O60" s="160"/>
    </row>
    <row r="61" spans="1:32" s="160" customFormat="1" x14ac:dyDescent="0.25">
      <c r="B61" s="289" t="str">
        <f t="shared" si="21"/>
        <v>50 G</v>
      </c>
      <c r="C61" s="288" t="str">
        <f>C39</f>
        <v>all</v>
      </c>
      <c r="D61" s="203" t="str">
        <f t="shared" si="30"/>
        <v>All</v>
      </c>
      <c r="E61" s="294">
        <f t="shared" ref="E61:L61" si="32">E196</f>
        <v>0</v>
      </c>
      <c r="F61" s="294">
        <f t="shared" si="32"/>
        <v>0</v>
      </c>
      <c r="G61" s="294"/>
      <c r="H61" s="294"/>
      <c r="I61" s="294"/>
      <c r="J61" s="297"/>
      <c r="K61" s="297"/>
      <c r="L61" s="297"/>
      <c r="M61" s="297"/>
      <c r="N61" s="297"/>
    </row>
    <row r="62" spans="1:32" s="135" customFormat="1" x14ac:dyDescent="0.25">
      <c r="B62" s="802" t="str">
        <f t="shared" si="21"/>
        <v>100 G</v>
      </c>
      <c r="C62" s="317" t="str">
        <f>C40</f>
        <v>100-300 m</v>
      </c>
      <c r="D62" s="203" t="str">
        <f t="shared" si="30"/>
        <v>All</v>
      </c>
      <c r="E62" s="294">
        <f t="shared" ref="E62:L62" si="33">E197</f>
        <v>1373.089819110671</v>
      </c>
      <c r="F62" s="294">
        <f t="shared" si="33"/>
        <v>1228.7228272707475</v>
      </c>
      <c r="G62" s="294"/>
      <c r="H62" s="294"/>
      <c r="I62" s="294"/>
      <c r="J62" s="297"/>
      <c r="K62" s="297"/>
      <c r="L62" s="297"/>
      <c r="M62" s="297"/>
      <c r="N62" s="297"/>
      <c r="O62" s="160"/>
    </row>
    <row r="63" spans="1:32" s="160" customFormat="1" x14ac:dyDescent="0.25">
      <c r="B63" s="803"/>
      <c r="C63" s="330" t="s">
        <v>22</v>
      </c>
      <c r="D63" s="203" t="str">
        <f t="shared" si="30"/>
        <v>QSFP28</v>
      </c>
      <c r="E63" s="294">
        <f t="shared" ref="E63:L63" si="34">E198</f>
        <v>0</v>
      </c>
      <c r="F63" s="294">
        <f t="shared" si="34"/>
        <v>0</v>
      </c>
      <c r="G63" s="294"/>
      <c r="H63" s="294"/>
      <c r="I63" s="294"/>
      <c r="J63" s="297"/>
      <c r="K63" s="297"/>
      <c r="L63" s="297"/>
      <c r="M63" s="297"/>
      <c r="N63" s="297"/>
    </row>
    <row r="64" spans="1:32" s="135" customFormat="1" ht="12.75" customHeight="1" x14ac:dyDescent="0.25">
      <c r="B64" s="803"/>
      <c r="C64" s="168" t="str">
        <f>C42</f>
        <v>2 km</v>
      </c>
      <c r="D64" s="205" t="str">
        <f t="shared" si="30"/>
        <v>QSFP28</v>
      </c>
      <c r="E64" s="294">
        <f t="shared" ref="E64:L64" si="35">E199</f>
        <v>0</v>
      </c>
      <c r="F64" s="294">
        <f t="shared" si="35"/>
        <v>0</v>
      </c>
      <c r="G64" s="294"/>
      <c r="H64" s="294"/>
      <c r="I64" s="294"/>
      <c r="J64" s="297"/>
      <c r="K64" s="297"/>
      <c r="L64" s="297"/>
      <c r="M64" s="297"/>
      <c r="N64" s="297"/>
      <c r="O64" s="160"/>
    </row>
    <row r="65" spans="2:29" s="135" customFormat="1" x14ac:dyDescent="0.25">
      <c r="B65" s="803"/>
      <c r="C65" s="318" t="str">
        <f>C43</f>
        <v>10-20 km</v>
      </c>
      <c r="D65" s="200" t="str">
        <f t="shared" si="30"/>
        <v>All</v>
      </c>
      <c r="E65" s="294">
        <f t="shared" ref="E65:L65" si="36">E200</f>
        <v>3127.0662136529249</v>
      </c>
      <c r="F65" s="294">
        <f t="shared" si="36"/>
        <v>1904.5783558413559</v>
      </c>
      <c r="G65" s="294"/>
      <c r="H65" s="294"/>
      <c r="I65" s="294"/>
      <c r="J65" s="297"/>
      <c r="K65" s="297"/>
      <c r="L65" s="297"/>
      <c r="M65" s="297"/>
      <c r="N65" s="297"/>
      <c r="O65" s="160"/>
    </row>
    <row r="66" spans="2:29" s="135" customFormat="1" x14ac:dyDescent="0.25">
      <c r="B66" s="804"/>
      <c r="C66" s="170" t="str">
        <f>C44</f>
        <v>40 km</v>
      </c>
      <c r="D66" s="199" t="str">
        <f t="shared" si="30"/>
        <v>All</v>
      </c>
      <c r="E66" s="294">
        <f t="shared" ref="E66:L66" si="37">E201</f>
        <v>8992.3605424008583</v>
      </c>
      <c r="F66" s="294">
        <f t="shared" si="37"/>
        <v>6042.927196558162</v>
      </c>
      <c r="G66" s="294"/>
      <c r="H66" s="294"/>
      <c r="I66" s="294"/>
      <c r="J66" s="297"/>
      <c r="K66" s="297"/>
      <c r="L66" s="297"/>
      <c r="M66" s="297"/>
      <c r="N66" s="297"/>
      <c r="O66" s="160"/>
    </row>
    <row r="67" spans="2:29" s="160" customFormat="1" x14ac:dyDescent="0.25">
      <c r="B67" s="201" t="str">
        <f t="shared" si="21"/>
        <v>200 G</v>
      </c>
      <c r="C67" s="203" t="str">
        <f>C45</f>
        <v>All</v>
      </c>
      <c r="D67" s="203" t="str">
        <f t="shared" si="30"/>
        <v>All</v>
      </c>
      <c r="E67" s="294">
        <f t="shared" ref="E67:L67" si="38">E202</f>
        <v>0</v>
      </c>
      <c r="F67" s="294">
        <f t="shared" si="38"/>
        <v>0</v>
      </c>
      <c r="G67" s="294"/>
      <c r="H67" s="294"/>
      <c r="I67" s="294"/>
      <c r="J67" s="296"/>
      <c r="K67" s="296"/>
      <c r="L67" s="296"/>
      <c r="M67" s="296"/>
      <c r="N67" s="296"/>
    </row>
    <row r="68" spans="2:29" s="160" customFormat="1" x14ac:dyDescent="0.25">
      <c r="B68" s="201" t="str">
        <f t="shared" si="21"/>
        <v>400 G</v>
      </c>
      <c r="C68" s="203" t="s">
        <v>20</v>
      </c>
      <c r="D68" s="203" t="s">
        <v>20</v>
      </c>
      <c r="E68" s="295">
        <f t="shared" ref="E68:L69" si="39">E203</f>
        <v>0</v>
      </c>
      <c r="F68" s="295">
        <f t="shared" si="39"/>
        <v>15451.219512195123</v>
      </c>
      <c r="G68" s="295"/>
      <c r="H68" s="295"/>
      <c r="I68" s="295"/>
      <c r="J68" s="296"/>
      <c r="K68" s="296"/>
      <c r="L68" s="296"/>
      <c r="M68" s="296"/>
      <c r="N68" s="296"/>
    </row>
    <row r="69" spans="2:29" s="160" customFormat="1" x14ac:dyDescent="0.25">
      <c r="B69" s="201" t="str">
        <f t="shared" si="21"/>
        <v>800 G</v>
      </c>
      <c r="C69" s="203" t="s">
        <v>20</v>
      </c>
      <c r="D69" s="203" t="s">
        <v>20</v>
      </c>
      <c r="E69" s="295">
        <f t="shared" si="39"/>
        <v>0</v>
      </c>
      <c r="F69" s="295">
        <f t="shared" si="39"/>
        <v>0</v>
      </c>
      <c r="G69" s="295"/>
      <c r="H69" s="295"/>
      <c r="I69" s="295"/>
      <c r="J69" s="296"/>
      <c r="K69" s="296"/>
      <c r="L69" s="296"/>
      <c r="M69" s="296"/>
      <c r="N69" s="296"/>
    </row>
    <row r="70" spans="2:29" s="135" customFormat="1" x14ac:dyDescent="0.25">
      <c r="B70" s="164"/>
      <c r="C70" s="160"/>
      <c r="D70" s="207"/>
      <c r="E70" s="2"/>
      <c r="F70" s="2"/>
      <c r="G70" s="2"/>
      <c r="H70" s="2"/>
      <c r="I70" s="2"/>
      <c r="J70" s="2"/>
      <c r="K70" s="2"/>
      <c r="L70" s="2"/>
      <c r="M70" s="2"/>
      <c r="N70" s="2"/>
      <c r="O70" s="160"/>
    </row>
    <row r="71" spans="2:29" s="135" customFormat="1" ht="15.5" x14ac:dyDescent="0.35">
      <c r="B71" s="220" t="s">
        <v>1</v>
      </c>
      <c r="C71" s="273" t="str">
        <f>C28</f>
        <v>China-Telecom</v>
      </c>
      <c r="D71" s="198"/>
      <c r="E71" s="371"/>
      <c r="H71" s="160"/>
      <c r="I71" s="160"/>
      <c r="L71" s="9"/>
      <c r="M71" s="684" t="str">
        <f>B71</f>
        <v>Sales ($M)</v>
      </c>
      <c r="N71" s="685" t="str">
        <f>C71</f>
        <v>China-Telecom</v>
      </c>
      <c r="O71" s="160"/>
      <c r="Q71" s="160"/>
      <c r="S71" s="160"/>
      <c r="T71" s="160"/>
      <c r="U71" s="160"/>
      <c r="V71" s="160"/>
      <c r="W71" s="160"/>
      <c r="X71" s="160"/>
      <c r="Y71" s="160"/>
      <c r="Z71" s="160"/>
      <c r="AA71" s="160"/>
      <c r="AB71" s="160"/>
      <c r="AC71" s="160"/>
    </row>
    <row r="72" spans="2:29" s="135" customFormat="1" x14ac:dyDescent="0.25">
      <c r="B72" s="225" t="s">
        <v>10</v>
      </c>
      <c r="C72" s="7" t="s">
        <v>11</v>
      </c>
      <c r="D72" s="226" t="s">
        <v>12</v>
      </c>
      <c r="E72" s="129">
        <v>2016</v>
      </c>
      <c r="F72" s="129">
        <v>2017</v>
      </c>
      <c r="G72" s="129">
        <v>2018</v>
      </c>
      <c r="H72" s="129">
        <v>2019</v>
      </c>
      <c r="I72" s="129">
        <v>2020</v>
      </c>
      <c r="J72" s="129">
        <v>2021</v>
      </c>
      <c r="K72" s="129">
        <v>2022</v>
      </c>
      <c r="L72" s="129">
        <v>2023</v>
      </c>
      <c r="M72" s="129">
        <v>2024</v>
      </c>
      <c r="N72" s="129">
        <v>2025</v>
      </c>
      <c r="O72" s="160"/>
      <c r="Q72" s="160"/>
      <c r="S72" s="160"/>
      <c r="T72" s="160"/>
      <c r="U72" s="160"/>
      <c r="V72" s="160"/>
      <c r="W72" s="160"/>
      <c r="X72" s="160"/>
      <c r="Y72" s="160"/>
      <c r="Z72" s="160"/>
      <c r="AA72" s="160"/>
      <c r="AB72" s="160"/>
      <c r="AC72" s="160"/>
    </row>
    <row r="73" spans="2:29" s="135" customFormat="1" x14ac:dyDescent="0.25">
      <c r="B73" s="355" t="str">
        <f t="shared" ref="B73:B90" si="40">B30</f>
        <v>1 G</v>
      </c>
      <c r="C73" s="293" t="str">
        <f>C30</f>
        <v>All</v>
      </c>
      <c r="D73" s="356" t="str">
        <f>D30</f>
        <v>All</v>
      </c>
      <c r="E73" s="294">
        <f t="shared" ref="E73:N73" si="41">E52*E30/10^6</f>
        <v>12.895304742896764</v>
      </c>
      <c r="F73" s="294">
        <f t="shared" si="41"/>
        <v>8.4100882602868889</v>
      </c>
      <c r="G73" s="294"/>
      <c r="H73" s="294"/>
      <c r="I73" s="294"/>
      <c r="J73" s="294"/>
      <c r="K73" s="294"/>
      <c r="L73" s="294"/>
      <c r="M73" s="294"/>
      <c r="N73" s="294"/>
      <c r="O73" s="160"/>
      <c r="Q73" s="160"/>
      <c r="S73" s="160"/>
      <c r="T73" s="160"/>
      <c r="U73" s="160"/>
      <c r="V73" s="160"/>
      <c r="W73" s="160"/>
      <c r="X73" s="160"/>
      <c r="Y73" s="160"/>
      <c r="Z73" s="160"/>
      <c r="AA73" s="160"/>
      <c r="AB73" s="160"/>
      <c r="AC73" s="160"/>
    </row>
    <row r="74" spans="2:29" s="135" customFormat="1" x14ac:dyDescent="0.25">
      <c r="B74" s="355" t="str">
        <f t="shared" si="40"/>
        <v>10 G</v>
      </c>
      <c r="C74" s="167" t="str">
        <f>C31</f>
        <v>All</v>
      </c>
      <c r="D74" s="167" t="str">
        <f>D31</f>
        <v>All</v>
      </c>
      <c r="E74" s="294">
        <f t="shared" ref="E74:I83" si="42">E53*E31/10^6</f>
        <v>41.216366945990643</v>
      </c>
      <c r="F74" s="294">
        <f t="shared" si="42"/>
        <v>30.832182799399416</v>
      </c>
      <c r="G74" s="294"/>
      <c r="H74" s="294"/>
      <c r="I74" s="294"/>
      <c r="J74" s="294"/>
      <c r="K74" s="294"/>
      <c r="L74" s="294"/>
      <c r="M74" s="294"/>
      <c r="N74" s="294"/>
      <c r="O74" s="160"/>
      <c r="Q74" s="160"/>
      <c r="R74" s="160"/>
      <c r="S74" s="160"/>
      <c r="T74" s="160"/>
      <c r="U74" s="160"/>
      <c r="V74" s="160"/>
      <c r="W74" s="160"/>
      <c r="X74" s="160"/>
      <c r="Y74" s="160"/>
      <c r="Z74" s="160"/>
      <c r="AA74" s="160"/>
      <c r="AB74" s="160"/>
      <c r="AC74" s="160"/>
    </row>
    <row r="75" spans="2:29" s="160" customFormat="1" ht="13" x14ac:dyDescent="0.3">
      <c r="B75" s="203" t="str">
        <f t="shared" si="40"/>
        <v>25 G</v>
      </c>
      <c r="C75" s="279" t="s">
        <v>20</v>
      </c>
      <c r="D75" s="282" t="s">
        <v>154</v>
      </c>
      <c r="E75" s="294">
        <f t="shared" si="42"/>
        <v>3.1124714999999997E-2</v>
      </c>
      <c r="F75" s="294">
        <f t="shared" si="42"/>
        <v>0.11884942244519889</v>
      </c>
      <c r="G75" s="294"/>
      <c r="H75" s="294"/>
      <c r="I75" s="294"/>
      <c r="J75" s="294"/>
      <c r="K75" s="294"/>
      <c r="L75" s="294"/>
      <c r="M75" s="294"/>
      <c r="N75" s="294"/>
    </row>
    <row r="76" spans="2:29" s="135" customFormat="1" x14ac:dyDescent="0.25">
      <c r="B76" s="199" t="str">
        <f t="shared" si="40"/>
        <v>40 G</v>
      </c>
      <c r="C76" s="169" t="str">
        <f>C54</f>
        <v>100-300 m</v>
      </c>
      <c r="D76" s="199" t="s">
        <v>137</v>
      </c>
      <c r="E76" s="294">
        <f t="shared" si="42"/>
        <v>0</v>
      </c>
      <c r="F76" s="294">
        <f t="shared" si="42"/>
        <v>0</v>
      </c>
      <c r="G76" s="294"/>
      <c r="H76" s="294"/>
      <c r="I76" s="294"/>
      <c r="J76" s="294"/>
      <c r="K76" s="294"/>
      <c r="L76" s="294"/>
      <c r="M76" s="294"/>
      <c r="N76" s="294"/>
      <c r="O76" s="160"/>
      <c r="Q76" s="160"/>
      <c r="R76" s="160"/>
      <c r="S76" s="160"/>
      <c r="T76" s="160"/>
      <c r="U76" s="160"/>
      <c r="V76" s="160"/>
      <c r="W76" s="160"/>
      <c r="X76" s="160"/>
      <c r="Y76" s="160"/>
      <c r="Z76" s="160"/>
      <c r="AA76" s="160"/>
      <c r="AB76" s="160"/>
      <c r="AC76" s="160"/>
    </row>
    <row r="77" spans="2:29" s="160" customFormat="1" ht="14.5" customHeight="1" x14ac:dyDescent="0.25">
      <c r="B77" s="203" t="str">
        <f t="shared" si="40"/>
        <v>40 G PSM4</v>
      </c>
      <c r="C77" s="271" t="s">
        <v>22</v>
      </c>
      <c r="D77" s="203" t="s">
        <v>137</v>
      </c>
      <c r="E77" s="294">
        <f t="shared" si="42"/>
        <v>0</v>
      </c>
      <c r="F77" s="294">
        <f t="shared" si="42"/>
        <v>0</v>
      </c>
      <c r="G77" s="294"/>
      <c r="H77" s="294"/>
      <c r="I77" s="294"/>
      <c r="J77" s="294"/>
      <c r="K77" s="294"/>
      <c r="L77" s="294"/>
      <c r="M77" s="294"/>
      <c r="N77" s="294"/>
    </row>
    <row r="78" spans="2:29" s="135" customFormat="1" x14ac:dyDescent="0.25">
      <c r="B78" s="797" t="str">
        <f t="shared" si="40"/>
        <v xml:space="preserve">40 G </v>
      </c>
      <c r="C78" s="805" t="s">
        <v>23</v>
      </c>
      <c r="D78" s="298" t="s">
        <v>146</v>
      </c>
      <c r="E78" s="294">
        <f t="shared" si="42"/>
        <v>0</v>
      </c>
      <c r="F78" s="294">
        <f t="shared" si="42"/>
        <v>0</v>
      </c>
      <c r="G78" s="294"/>
      <c r="H78" s="294"/>
      <c r="I78" s="294"/>
      <c r="J78" s="294"/>
      <c r="K78" s="294"/>
      <c r="L78" s="294"/>
      <c r="M78" s="294"/>
      <c r="N78" s="294"/>
      <c r="O78" s="160"/>
      <c r="P78" s="160"/>
      <c r="Q78" s="160"/>
      <c r="R78" s="160"/>
      <c r="S78" s="160"/>
      <c r="T78" s="160"/>
      <c r="U78" s="160"/>
      <c r="V78" s="160"/>
      <c r="W78" s="160"/>
      <c r="X78" s="160"/>
      <c r="Y78" s="160"/>
      <c r="Z78" s="160"/>
      <c r="AA78" s="160"/>
      <c r="AB78" s="160"/>
      <c r="AC78" s="160"/>
    </row>
    <row r="79" spans="2:29" s="135" customFormat="1" ht="13" customHeight="1" x14ac:dyDescent="0.25">
      <c r="B79" s="798"/>
      <c r="C79" s="806"/>
      <c r="D79" s="270" t="s">
        <v>147</v>
      </c>
      <c r="E79" s="294">
        <f t="shared" si="42"/>
        <v>0</v>
      </c>
      <c r="F79" s="294">
        <f t="shared" si="42"/>
        <v>0</v>
      </c>
      <c r="G79" s="294"/>
      <c r="H79" s="294"/>
      <c r="I79" s="294"/>
      <c r="J79" s="294"/>
      <c r="K79" s="294"/>
      <c r="L79" s="294"/>
      <c r="M79" s="294"/>
      <c r="N79" s="294"/>
      <c r="O79" s="160"/>
      <c r="P79" s="160"/>
      <c r="Q79" s="160"/>
      <c r="R79" s="160"/>
      <c r="S79" s="160"/>
      <c r="T79" s="160"/>
      <c r="U79" s="160"/>
      <c r="V79" s="160"/>
      <c r="W79" s="160"/>
      <c r="X79" s="160"/>
      <c r="Y79" s="160"/>
      <c r="Z79" s="160"/>
      <c r="AA79" s="160"/>
      <c r="AB79" s="160"/>
      <c r="AC79" s="160"/>
    </row>
    <row r="80" spans="2:29" s="135" customFormat="1" x14ac:dyDescent="0.25">
      <c r="B80" s="798"/>
      <c r="C80" s="318" t="s">
        <v>24</v>
      </c>
      <c r="D80" s="355" t="str">
        <f t="shared" ref="D80:D90" si="43">D37</f>
        <v>All</v>
      </c>
      <c r="E80" s="294">
        <f t="shared" si="42"/>
        <v>0</v>
      </c>
      <c r="F80" s="294">
        <f t="shared" si="42"/>
        <v>0</v>
      </c>
      <c r="G80" s="294"/>
      <c r="H80" s="294"/>
      <c r="I80" s="294"/>
      <c r="J80" s="294"/>
      <c r="K80" s="294"/>
      <c r="L80" s="294"/>
      <c r="M80" s="294"/>
      <c r="N80" s="294"/>
      <c r="O80" s="160"/>
      <c r="P80" s="160"/>
      <c r="Q80" s="160"/>
      <c r="R80" s="160"/>
      <c r="S80" s="160"/>
      <c r="T80" s="160"/>
      <c r="U80" s="160"/>
      <c r="V80" s="160"/>
      <c r="W80" s="160"/>
      <c r="X80" s="160"/>
      <c r="Y80" s="160"/>
      <c r="Z80" s="160"/>
      <c r="AA80" s="160"/>
      <c r="AB80" s="160"/>
      <c r="AC80" s="160"/>
    </row>
    <row r="81" spans="2:29" s="135" customFormat="1" x14ac:dyDescent="0.25">
      <c r="B81" s="799"/>
      <c r="C81" s="170" t="s">
        <v>25</v>
      </c>
      <c r="D81" s="355" t="str">
        <f t="shared" si="43"/>
        <v>All</v>
      </c>
      <c r="E81" s="294">
        <f t="shared" si="42"/>
        <v>0</v>
      </c>
      <c r="F81" s="294">
        <f t="shared" si="42"/>
        <v>0</v>
      </c>
      <c r="G81" s="294"/>
      <c r="H81" s="294"/>
      <c r="I81" s="294"/>
      <c r="J81" s="294"/>
      <c r="K81" s="294"/>
      <c r="L81" s="294"/>
      <c r="M81" s="294"/>
      <c r="N81" s="294"/>
      <c r="O81" s="160"/>
      <c r="P81" s="160"/>
      <c r="Q81" s="160"/>
      <c r="R81" s="160"/>
      <c r="S81" s="160"/>
      <c r="T81" s="160"/>
      <c r="U81" s="160"/>
      <c r="V81" s="160"/>
      <c r="W81" s="160"/>
      <c r="X81" s="160"/>
      <c r="Y81" s="160"/>
      <c r="Z81" s="160"/>
      <c r="AA81" s="160"/>
      <c r="AB81" s="160"/>
      <c r="AC81" s="160"/>
    </row>
    <row r="82" spans="2:29" s="160" customFormat="1" x14ac:dyDescent="0.25">
      <c r="B82" s="289" t="str">
        <f t="shared" si="40"/>
        <v>50 G</v>
      </c>
      <c r="C82" s="288" t="str">
        <f t="shared" ref="C82:C90" si="44">C39</f>
        <v>all</v>
      </c>
      <c r="D82" s="286" t="str">
        <f t="shared" si="43"/>
        <v>All</v>
      </c>
      <c r="E82" s="294">
        <f t="shared" si="42"/>
        <v>0</v>
      </c>
      <c r="F82" s="294">
        <f t="shared" si="42"/>
        <v>0</v>
      </c>
      <c r="G82" s="294"/>
      <c r="H82" s="294"/>
      <c r="I82" s="294"/>
      <c r="J82" s="294"/>
      <c r="K82" s="294"/>
      <c r="L82" s="294"/>
      <c r="M82" s="294"/>
      <c r="N82" s="294"/>
    </row>
    <row r="83" spans="2:29" s="135" customFormat="1" x14ac:dyDescent="0.25">
      <c r="B83" s="802" t="str">
        <f t="shared" si="40"/>
        <v>100 G</v>
      </c>
      <c r="C83" s="317" t="str">
        <f t="shared" si="44"/>
        <v>100-300 m</v>
      </c>
      <c r="D83" s="253" t="str">
        <f t="shared" si="43"/>
        <v>All</v>
      </c>
      <c r="E83" s="294">
        <f t="shared" si="42"/>
        <v>1.1852991900000003</v>
      </c>
      <c r="F83" s="294">
        <f t="shared" si="42"/>
        <v>0.56410665000000015</v>
      </c>
      <c r="G83" s="294"/>
      <c r="H83" s="294"/>
      <c r="I83" s="294"/>
      <c r="J83" s="294"/>
      <c r="K83" s="294"/>
      <c r="L83" s="294"/>
      <c r="M83" s="294"/>
      <c r="N83" s="294"/>
      <c r="O83" s="160"/>
      <c r="P83" s="160"/>
      <c r="Q83" s="160"/>
      <c r="R83" s="160"/>
      <c r="S83" s="160"/>
      <c r="T83" s="160"/>
      <c r="U83" s="160"/>
      <c r="V83" s="160"/>
      <c r="W83" s="160"/>
      <c r="X83" s="160"/>
      <c r="Y83" s="160"/>
      <c r="Z83" s="160"/>
      <c r="AA83" s="160"/>
      <c r="AB83" s="160"/>
      <c r="AC83" s="160"/>
    </row>
    <row r="84" spans="2:29" s="135" customFormat="1" x14ac:dyDescent="0.25">
      <c r="B84" s="803"/>
      <c r="C84" s="318" t="str">
        <f t="shared" si="44"/>
        <v>500 m</v>
      </c>
      <c r="D84" s="270" t="str">
        <f t="shared" si="43"/>
        <v>QSFP28</v>
      </c>
      <c r="E84" s="294">
        <f t="shared" ref="E84:I90" si="45">E63*E41/10^6</f>
        <v>0</v>
      </c>
      <c r="F84" s="294">
        <f t="shared" si="45"/>
        <v>0</v>
      </c>
      <c r="G84" s="294"/>
      <c r="H84" s="294"/>
      <c r="I84" s="294"/>
      <c r="J84" s="294"/>
      <c r="K84" s="294"/>
      <c r="L84" s="294"/>
      <c r="M84" s="294"/>
      <c r="N84" s="294"/>
      <c r="O84" s="160"/>
      <c r="P84" s="160"/>
      <c r="Q84" s="160"/>
      <c r="R84" s="160"/>
      <c r="S84" s="160"/>
      <c r="T84" s="160"/>
      <c r="U84" s="160"/>
      <c r="V84" s="160"/>
      <c r="W84" s="160"/>
      <c r="X84" s="160"/>
      <c r="Y84" s="160"/>
      <c r="Z84" s="160"/>
      <c r="AA84" s="160"/>
      <c r="AB84" s="160"/>
      <c r="AC84" s="160"/>
    </row>
    <row r="85" spans="2:29" s="135" customFormat="1" ht="12.75" customHeight="1" x14ac:dyDescent="0.25">
      <c r="B85" s="803"/>
      <c r="C85" s="168" t="str">
        <f t="shared" si="44"/>
        <v>2 km</v>
      </c>
      <c r="D85" s="205" t="str">
        <f t="shared" si="43"/>
        <v>QSFP28</v>
      </c>
      <c r="E85" s="294">
        <f t="shared" si="45"/>
        <v>0</v>
      </c>
      <c r="F85" s="294">
        <f t="shared" si="45"/>
        <v>0</v>
      </c>
      <c r="G85" s="294"/>
      <c r="H85" s="294"/>
      <c r="I85" s="294"/>
      <c r="J85" s="294"/>
      <c r="K85" s="294"/>
      <c r="L85" s="294"/>
      <c r="M85" s="294"/>
      <c r="N85" s="294"/>
      <c r="O85" s="160"/>
      <c r="P85" s="160"/>
      <c r="Q85" s="160"/>
      <c r="R85" s="160"/>
      <c r="S85" s="160"/>
      <c r="T85" s="160"/>
      <c r="U85" s="160"/>
      <c r="V85" s="160"/>
      <c r="W85" s="160"/>
      <c r="X85" s="160"/>
      <c r="Y85" s="160"/>
      <c r="Z85" s="160"/>
      <c r="AA85" s="160"/>
      <c r="AB85" s="160"/>
      <c r="AC85" s="160"/>
    </row>
    <row r="86" spans="2:29" s="135" customFormat="1" x14ac:dyDescent="0.25">
      <c r="B86" s="803"/>
      <c r="C86" s="318" t="str">
        <f t="shared" si="44"/>
        <v>10-20 km</v>
      </c>
      <c r="D86" s="200" t="str">
        <f t="shared" si="43"/>
        <v>All</v>
      </c>
      <c r="E86" s="294">
        <f t="shared" si="45"/>
        <v>275.51654796896685</v>
      </c>
      <c r="F86" s="294">
        <f t="shared" si="45"/>
        <v>169.4880660164346</v>
      </c>
      <c r="G86" s="294"/>
      <c r="H86" s="294"/>
      <c r="I86" s="294"/>
      <c r="J86" s="294"/>
      <c r="K86" s="294"/>
      <c r="L86" s="294"/>
      <c r="M86" s="294"/>
      <c r="N86" s="294"/>
      <c r="O86" s="160"/>
      <c r="P86" s="160"/>
      <c r="Q86" s="160"/>
      <c r="R86" s="160"/>
      <c r="S86" s="160"/>
      <c r="T86" s="160"/>
      <c r="U86" s="160"/>
      <c r="V86" s="160"/>
      <c r="W86" s="160"/>
      <c r="X86" s="160"/>
      <c r="Y86" s="160"/>
      <c r="Z86" s="160"/>
      <c r="AA86" s="160"/>
      <c r="AB86" s="160"/>
      <c r="AC86" s="160"/>
    </row>
    <row r="87" spans="2:29" s="135" customFormat="1" x14ac:dyDescent="0.25">
      <c r="B87" s="804"/>
      <c r="C87" s="170" t="str">
        <f t="shared" si="44"/>
        <v>40 km</v>
      </c>
      <c r="D87" s="199" t="str">
        <f t="shared" si="43"/>
        <v>All</v>
      </c>
      <c r="E87" s="294">
        <f t="shared" si="45"/>
        <v>14.750348844910976</v>
      </c>
      <c r="F87" s="294">
        <f t="shared" si="45"/>
        <v>14.897507559130903</v>
      </c>
      <c r="G87" s="294"/>
      <c r="H87" s="294"/>
      <c r="I87" s="294"/>
      <c r="J87" s="294"/>
      <c r="K87" s="294"/>
      <c r="L87" s="294"/>
      <c r="M87" s="294"/>
      <c r="N87" s="294"/>
      <c r="O87" s="160"/>
      <c r="P87" s="160"/>
      <c r="Q87" s="160"/>
      <c r="R87" s="160"/>
      <c r="S87" s="160"/>
      <c r="T87" s="160"/>
      <c r="U87" s="160"/>
      <c r="V87" s="160"/>
      <c r="W87" s="160"/>
      <c r="X87" s="160"/>
      <c r="Y87" s="160"/>
      <c r="Z87" s="160"/>
      <c r="AA87" s="160"/>
      <c r="AB87" s="160"/>
      <c r="AC87" s="160"/>
    </row>
    <row r="88" spans="2:29" s="160" customFormat="1" x14ac:dyDescent="0.25">
      <c r="B88" s="201" t="str">
        <f t="shared" si="40"/>
        <v>200 G</v>
      </c>
      <c r="C88" s="203" t="str">
        <f t="shared" si="44"/>
        <v>All</v>
      </c>
      <c r="D88" s="203" t="str">
        <f t="shared" si="43"/>
        <v>All</v>
      </c>
      <c r="E88" s="294">
        <f t="shared" si="45"/>
        <v>0</v>
      </c>
      <c r="F88" s="294">
        <f t="shared" si="45"/>
        <v>0</v>
      </c>
      <c r="G88" s="294"/>
      <c r="H88" s="294"/>
      <c r="I88" s="294"/>
      <c r="J88" s="294"/>
      <c r="K88" s="294"/>
      <c r="L88" s="294"/>
      <c r="M88" s="294"/>
      <c r="N88" s="294"/>
    </row>
    <row r="89" spans="2:29" s="160" customFormat="1" x14ac:dyDescent="0.25">
      <c r="B89" s="201" t="str">
        <f t="shared" si="40"/>
        <v>400 G</v>
      </c>
      <c r="C89" s="203" t="str">
        <f t="shared" si="44"/>
        <v>All</v>
      </c>
      <c r="D89" s="203" t="str">
        <f t="shared" si="43"/>
        <v>All</v>
      </c>
      <c r="E89" s="294">
        <f t="shared" si="45"/>
        <v>0</v>
      </c>
      <c r="F89" s="294">
        <f t="shared" si="45"/>
        <v>0.25340000000000007</v>
      </c>
      <c r="G89" s="294"/>
      <c r="H89" s="294"/>
      <c r="I89" s="294"/>
      <c r="J89" s="294"/>
      <c r="K89" s="294"/>
      <c r="L89" s="294"/>
      <c r="M89" s="294"/>
      <c r="N89" s="294"/>
    </row>
    <row r="90" spans="2:29" s="160" customFormat="1" x14ac:dyDescent="0.25">
      <c r="B90" s="201" t="str">
        <f t="shared" si="40"/>
        <v>800 G</v>
      </c>
      <c r="C90" s="203" t="str">
        <f t="shared" si="44"/>
        <v>All</v>
      </c>
      <c r="D90" s="203" t="str">
        <f t="shared" si="43"/>
        <v>All</v>
      </c>
      <c r="E90" s="294">
        <f t="shared" si="45"/>
        <v>0</v>
      </c>
      <c r="F90" s="294">
        <f t="shared" si="45"/>
        <v>0</v>
      </c>
      <c r="G90" s="294"/>
      <c r="H90" s="294"/>
      <c r="I90" s="294"/>
      <c r="J90" s="294"/>
      <c r="K90" s="294"/>
      <c r="L90" s="294"/>
      <c r="M90" s="294"/>
      <c r="N90" s="294"/>
    </row>
    <row r="91" spans="2:29" s="135" customFormat="1" x14ac:dyDescent="0.25">
      <c r="B91" s="206" t="s">
        <v>9</v>
      </c>
      <c r="C91" s="203" t="str">
        <f>C48</f>
        <v>All</v>
      </c>
      <c r="D91" s="203" t="str">
        <f>D48</f>
        <v>All</v>
      </c>
      <c r="E91" s="290">
        <f>SUM(E73:E90)</f>
        <v>345.59499240776523</v>
      </c>
      <c r="F91" s="290">
        <f>SUM(F73:F90)</f>
        <v>224.56420070769701</v>
      </c>
      <c r="G91" s="290"/>
      <c r="H91" s="290"/>
      <c r="I91" s="290"/>
      <c r="J91" s="290"/>
      <c r="K91" s="290"/>
      <c r="L91" s="290"/>
      <c r="M91" s="290"/>
      <c r="N91" s="290"/>
      <c r="O91" s="160"/>
      <c r="Q91" s="160"/>
      <c r="R91" s="160"/>
      <c r="S91" s="160"/>
      <c r="T91" s="160"/>
      <c r="U91" s="160"/>
      <c r="V91" s="160"/>
      <c r="W91" s="160"/>
      <c r="X91" s="160"/>
      <c r="Y91" s="160"/>
      <c r="Z91" s="160"/>
      <c r="AA91" s="160"/>
      <c r="AB91" s="160"/>
      <c r="AC91" s="160"/>
    </row>
    <row r="92" spans="2:29" x14ac:dyDescent="0.25">
      <c r="C92" s="160"/>
      <c r="E92" s="8"/>
      <c r="F92" s="8">
        <f t="shared" ref="F92:N92" si="46">IF(E91=0,"",F91/E91-1)</f>
        <v>-0.35020991148293257</v>
      </c>
      <c r="G92" s="8">
        <f t="shared" si="46"/>
        <v>-1</v>
      </c>
      <c r="H92" s="8" t="str">
        <f t="shared" si="46"/>
        <v/>
      </c>
      <c r="I92" s="8" t="str">
        <f t="shared" si="46"/>
        <v/>
      </c>
      <c r="J92" s="8" t="str">
        <f t="shared" si="46"/>
        <v/>
      </c>
      <c r="K92" s="8" t="str">
        <f t="shared" si="46"/>
        <v/>
      </c>
      <c r="L92" s="8" t="str">
        <f t="shared" si="46"/>
        <v/>
      </c>
      <c r="M92" s="8" t="str">
        <f t="shared" si="46"/>
        <v/>
      </c>
      <c r="N92" s="8" t="str">
        <f t="shared" si="46"/>
        <v/>
      </c>
      <c r="O92" s="160"/>
    </row>
    <row r="93" spans="2:29" x14ac:dyDescent="0.25">
      <c r="B93" s="446"/>
      <c r="C93" s="445"/>
      <c r="D93" s="445"/>
      <c r="E93" s="445"/>
      <c r="F93" s="445"/>
      <c r="G93" s="445"/>
      <c r="H93" s="445"/>
      <c r="I93" s="445"/>
      <c r="J93" s="445"/>
      <c r="K93" s="445"/>
      <c r="L93" s="445"/>
      <c r="M93" s="445"/>
      <c r="N93" s="445"/>
      <c r="O93" s="160"/>
    </row>
    <row r="94" spans="2:29" x14ac:dyDescent="0.25">
      <c r="C94" s="160"/>
      <c r="E94" s="173"/>
      <c r="F94" s="173"/>
      <c r="G94" s="173"/>
      <c r="H94" s="173"/>
      <c r="I94" s="173"/>
      <c r="J94" s="284"/>
      <c r="K94" s="326"/>
      <c r="L94" s="343"/>
      <c r="M94" s="564"/>
      <c r="N94" s="665"/>
      <c r="O94" s="160"/>
    </row>
    <row r="95" spans="2:29" ht="15.5" x14ac:dyDescent="0.35">
      <c r="B95" s="221" t="s">
        <v>0</v>
      </c>
      <c r="C95" s="221" t="s">
        <v>229</v>
      </c>
      <c r="D95" s="198"/>
      <c r="E95" s="371" t="s">
        <v>232</v>
      </c>
      <c r="F95" s="160"/>
      <c r="G95" s="160"/>
      <c r="L95" s="684" t="str">
        <f>B95</f>
        <v>Units</v>
      </c>
      <c r="M95" s="684"/>
      <c r="N95" s="684" t="str">
        <f>C95</f>
        <v>Rest of World-Telecom</v>
      </c>
      <c r="O95" s="160"/>
      <c r="P95" s="160"/>
    </row>
    <row r="96" spans="2:29" x14ac:dyDescent="0.25">
      <c r="B96" s="225" t="s">
        <v>10</v>
      </c>
      <c r="C96" s="7" t="s">
        <v>11</v>
      </c>
      <c r="D96" s="226" t="s">
        <v>12</v>
      </c>
      <c r="E96" s="39">
        <v>2016</v>
      </c>
      <c r="F96" s="7">
        <v>2017</v>
      </c>
      <c r="G96" s="7">
        <v>2018</v>
      </c>
      <c r="H96" s="7">
        <v>2019</v>
      </c>
      <c r="I96" s="7">
        <v>2020</v>
      </c>
      <c r="J96" s="7">
        <v>2021</v>
      </c>
      <c r="K96" s="7">
        <v>2022</v>
      </c>
      <c r="L96" s="7">
        <v>2023</v>
      </c>
      <c r="M96" s="7">
        <v>2024</v>
      </c>
      <c r="N96" s="7">
        <v>2025</v>
      </c>
      <c r="O96" s="160"/>
      <c r="P96" s="160"/>
    </row>
    <row r="97" spans="2:16" x14ac:dyDescent="0.25">
      <c r="B97" s="388" t="str">
        <f t="shared" ref="B97:B114" si="47">B30</f>
        <v>1 G</v>
      </c>
      <c r="C97" s="395" t="s">
        <v>20</v>
      </c>
      <c r="D97" s="203" t="s">
        <v>20</v>
      </c>
      <c r="E97" s="373">
        <f t="shared" ref="E97:L97" si="48">E165-E30</f>
        <v>1367799.3941420005</v>
      </c>
      <c r="F97" s="373">
        <f t="shared" si="48"/>
        <v>1167600.1758000001</v>
      </c>
      <c r="G97" s="373"/>
      <c r="H97" s="373"/>
      <c r="I97" s="373"/>
      <c r="J97" s="373"/>
      <c r="K97" s="373"/>
      <c r="L97" s="378"/>
      <c r="M97" s="378"/>
      <c r="N97" s="378"/>
      <c r="O97" s="160"/>
      <c r="P97" s="160"/>
    </row>
    <row r="98" spans="2:16" x14ac:dyDescent="0.25">
      <c r="B98" s="388" t="str">
        <f t="shared" si="47"/>
        <v>10 G</v>
      </c>
      <c r="C98" s="395" t="s">
        <v>20</v>
      </c>
      <c r="D98" s="203" t="s">
        <v>20</v>
      </c>
      <c r="E98" s="373">
        <f t="shared" ref="E98:L107" si="49">E166-E31</f>
        <v>1249959.6278015045</v>
      </c>
      <c r="F98" s="373">
        <f t="shared" si="49"/>
        <v>1163711.7089284784</v>
      </c>
      <c r="G98" s="373"/>
      <c r="H98" s="373"/>
      <c r="I98" s="373"/>
      <c r="J98" s="373"/>
      <c r="K98" s="373"/>
      <c r="L98" s="378"/>
      <c r="M98" s="378"/>
      <c r="N98" s="378"/>
      <c r="O98" s="160"/>
      <c r="P98" s="160"/>
    </row>
    <row r="99" spans="2:16" ht="13" x14ac:dyDescent="0.3">
      <c r="B99" s="388" t="str">
        <f t="shared" si="47"/>
        <v>25 G</v>
      </c>
      <c r="C99" s="395" t="s">
        <v>20</v>
      </c>
      <c r="D99" s="282" t="s">
        <v>154</v>
      </c>
      <c r="E99" s="373">
        <f t="shared" si="49"/>
        <v>1296.1799999999998</v>
      </c>
      <c r="F99" s="373">
        <f t="shared" si="49"/>
        <v>4871.8979999999992</v>
      </c>
      <c r="G99" s="373"/>
      <c r="H99" s="373"/>
      <c r="I99" s="373"/>
      <c r="J99" s="373"/>
      <c r="K99" s="373"/>
      <c r="L99" s="378"/>
      <c r="M99" s="378"/>
      <c r="N99" s="378"/>
      <c r="O99" s="160"/>
      <c r="P99" s="160"/>
    </row>
    <row r="100" spans="2:16" x14ac:dyDescent="0.25">
      <c r="B100" s="199" t="str">
        <f t="shared" si="47"/>
        <v>40 G</v>
      </c>
      <c r="C100" s="321" t="s">
        <v>161</v>
      </c>
      <c r="D100" s="199" t="s">
        <v>137</v>
      </c>
      <c r="E100" s="373">
        <f t="shared" si="49"/>
        <v>45760.2</v>
      </c>
      <c r="F100" s="373">
        <f t="shared" si="49"/>
        <v>63017.350000000006</v>
      </c>
      <c r="G100" s="373"/>
      <c r="H100" s="373"/>
      <c r="I100" s="373"/>
      <c r="J100" s="373"/>
      <c r="K100" s="373"/>
      <c r="L100" s="378"/>
      <c r="M100" s="378"/>
      <c r="N100" s="378"/>
      <c r="O100" s="160"/>
      <c r="P100" s="160"/>
    </row>
    <row r="101" spans="2:16" x14ac:dyDescent="0.25">
      <c r="B101" s="203" t="str">
        <f t="shared" si="47"/>
        <v>40 G PSM4</v>
      </c>
      <c r="C101" s="391" t="s">
        <v>22</v>
      </c>
      <c r="D101" s="203" t="s">
        <v>137</v>
      </c>
      <c r="E101" s="373">
        <f t="shared" si="49"/>
        <v>0</v>
      </c>
      <c r="F101" s="373">
        <f t="shared" si="49"/>
        <v>0</v>
      </c>
      <c r="G101" s="373"/>
      <c r="H101" s="373"/>
      <c r="I101" s="373"/>
      <c r="J101" s="373"/>
      <c r="K101" s="373"/>
      <c r="L101" s="378"/>
      <c r="M101" s="378"/>
      <c r="N101" s="378"/>
      <c r="O101" s="160"/>
      <c r="P101" s="160"/>
    </row>
    <row r="102" spans="2:16" x14ac:dyDescent="0.25">
      <c r="B102" s="797" t="str">
        <f t="shared" si="47"/>
        <v xml:space="preserve">40 G </v>
      </c>
      <c r="C102" s="800" t="s">
        <v>23</v>
      </c>
      <c r="D102" s="298" t="s">
        <v>146</v>
      </c>
      <c r="E102" s="373">
        <f t="shared" si="49"/>
        <v>791</v>
      </c>
      <c r="F102" s="373">
        <f t="shared" si="49"/>
        <v>402</v>
      </c>
      <c r="G102" s="373"/>
      <c r="H102" s="373"/>
      <c r="I102" s="373"/>
      <c r="J102" s="373"/>
      <c r="K102" s="373"/>
      <c r="L102" s="378"/>
      <c r="M102" s="378"/>
      <c r="N102" s="378"/>
      <c r="O102" s="160"/>
      <c r="P102" s="160"/>
    </row>
    <row r="103" spans="2:16" ht="25" x14ac:dyDescent="0.25">
      <c r="B103" s="798"/>
      <c r="C103" s="801"/>
      <c r="D103" s="299" t="s">
        <v>147</v>
      </c>
      <c r="E103" s="373">
        <f t="shared" si="49"/>
        <v>0</v>
      </c>
      <c r="F103" s="373">
        <f t="shared" si="49"/>
        <v>0</v>
      </c>
      <c r="G103" s="373"/>
      <c r="H103" s="373"/>
      <c r="I103" s="373"/>
      <c r="J103" s="373"/>
      <c r="K103" s="373"/>
      <c r="L103" s="378"/>
      <c r="M103" s="378"/>
      <c r="N103" s="378"/>
      <c r="O103" s="160"/>
      <c r="P103" s="160"/>
    </row>
    <row r="104" spans="2:16" x14ac:dyDescent="0.25">
      <c r="B104" s="798"/>
      <c r="C104" s="391" t="s">
        <v>24</v>
      </c>
      <c r="D104" s="202" t="s">
        <v>20</v>
      </c>
      <c r="E104" s="373">
        <f t="shared" si="49"/>
        <v>6322.25</v>
      </c>
      <c r="F104" s="373">
        <f t="shared" si="49"/>
        <v>2703.7</v>
      </c>
      <c r="G104" s="373"/>
      <c r="H104" s="373"/>
      <c r="I104" s="373"/>
      <c r="J104" s="373"/>
      <c r="K104" s="373"/>
      <c r="L104" s="378"/>
      <c r="M104" s="378"/>
      <c r="N104" s="378"/>
      <c r="O104" s="160"/>
      <c r="P104" s="160"/>
    </row>
    <row r="105" spans="2:16" x14ac:dyDescent="0.25">
      <c r="B105" s="799"/>
      <c r="C105" s="171" t="s">
        <v>25</v>
      </c>
      <c r="D105" s="202" t="s">
        <v>20</v>
      </c>
      <c r="E105" s="373">
        <f t="shared" si="49"/>
        <v>1468.2</v>
      </c>
      <c r="F105" s="373">
        <f t="shared" si="49"/>
        <v>1249.3599999999999</v>
      </c>
      <c r="G105" s="373"/>
      <c r="H105" s="373"/>
      <c r="I105" s="373"/>
      <c r="J105" s="373"/>
      <c r="K105" s="373"/>
      <c r="L105" s="378"/>
      <c r="M105" s="378"/>
      <c r="N105" s="378"/>
      <c r="O105" s="160"/>
      <c r="P105" s="160"/>
    </row>
    <row r="106" spans="2:16" x14ac:dyDescent="0.25">
      <c r="B106" s="393" t="str">
        <f t="shared" si="47"/>
        <v>50 G</v>
      </c>
      <c r="C106" s="391" t="s">
        <v>60</v>
      </c>
      <c r="D106" s="202" t="s">
        <v>20</v>
      </c>
      <c r="E106" s="373">
        <f t="shared" si="49"/>
        <v>0</v>
      </c>
      <c r="F106" s="373">
        <f t="shared" si="49"/>
        <v>0</v>
      </c>
      <c r="G106" s="373"/>
      <c r="H106" s="373"/>
      <c r="I106" s="373"/>
      <c r="J106" s="373"/>
      <c r="K106" s="373"/>
      <c r="L106" s="378"/>
      <c r="M106" s="378"/>
      <c r="N106" s="378"/>
      <c r="O106" s="160"/>
      <c r="P106" s="160"/>
    </row>
    <row r="107" spans="2:16" x14ac:dyDescent="0.25">
      <c r="B107" s="802" t="str">
        <f t="shared" si="47"/>
        <v>100 G</v>
      </c>
      <c r="C107" s="391" t="s">
        <v>161</v>
      </c>
      <c r="D107" s="202" t="s">
        <v>20</v>
      </c>
      <c r="E107" s="373">
        <f t="shared" si="49"/>
        <v>18319.764999999999</v>
      </c>
      <c r="F107" s="373">
        <f t="shared" si="49"/>
        <v>8722.9</v>
      </c>
      <c r="G107" s="373"/>
      <c r="H107" s="373"/>
      <c r="I107" s="373"/>
      <c r="J107" s="373"/>
      <c r="K107" s="373"/>
      <c r="L107" s="378"/>
      <c r="M107" s="378"/>
      <c r="N107" s="378"/>
      <c r="O107" s="160"/>
      <c r="P107" s="160"/>
    </row>
    <row r="108" spans="2:16" x14ac:dyDescent="0.25">
      <c r="B108" s="803"/>
      <c r="C108" s="395" t="s">
        <v>22</v>
      </c>
      <c r="D108" s="203" t="s">
        <v>162</v>
      </c>
      <c r="E108" s="373">
        <f t="shared" ref="E108:L114" si="50">E176-E41</f>
        <v>0</v>
      </c>
      <c r="F108" s="373">
        <f t="shared" si="50"/>
        <v>0</v>
      </c>
      <c r="G108" s="373"/>
      <c r="H108" s="373"/>
      <c r="I108" s="373"/>
      <c r="J108" s="373"/>
      <c r="K108" s="373"/>
      <c r="L108" s="378"/>
      <c r="M108" s="378"/>
      <c r="N108" s="378"/>
      <c r="O108" s="160"/>
      <c r="P108" s="160"/>
    </row>
    <row r="109" spans="2:16" x14ac:dyDescent="0.25">
      <c r="B109" s="803"/>
      <c r="C109" s="391" t="s">
        <v>23</v>
      </c>
      <c r="D109" s="394" t="s">
        <v>162</v>
      </c>
      <c r="E109" s="373">
        <f t="shared" si="50"/>
        <v>0</v>
      </c>
      <c r="F109" s="373">
        <f t="shared" si="50"/>
        <v>0</v>
      </c>
      <c r="G109" s="373"/>
      <c r="H109" s="373"/>
      <c r="I109" s="373"/>
      <c r="J109" s="373"/>
      <c r="K109" s="373"/>
      <c r="L109" s="378"/>
      <c r="M109" s="378"/>
      <c r="N109" s="378"/>
      <c r="O109" s="160"/>
    </row>
    <row r="110" spans="2:16" x14ac:dyDescent="0.25">
      <c r="B110" s="803"/>
      <c r="C110" s="391" t="s">
        <v>163</v>
      </c>
      <c r="D110" s="202" t="s">
        <v>20</v>
      </c>
      <c r="E110" s="373">
        <f t="shared" si="50"/>
        <v>132160.56</v>
      </c>
      <c r="F110" s="373">
        <f t="shared" si="50"/>
        <v>165266.78999999998</v>
      </c>
      <c r="G110" s="373"/>
      <c r="H110" s="373"/>
      <c r="I110" s="373"/>
      <c r="J110" s="373"/>
      <c r="K110" s="373"/>
      <c r="L110" s="378"/>
      <c r="M110" s="378"/>
      <c r="N110" s="378"/>
      <c r="O110" s="160"/>
    </row>
    <row r="111" spans="2:16" x14ac:dyDescent="0.25">
      <c r="B111" s="804"/>
      <c r="C111" s="171" t="s">
        <v>25</v>
      </c>
      <c r="D111" s="199" t="s">
        <v>20</v>
      </c>
      <c r="E111" s="373">
        <f t="shared" si="50"/>
        <v>5815.68</v>
      </c>
      <c r="F111" s="373">
        <f t="shared" si="50"/>
        <v>7806.72</v>
      </c>
      <c r="G111" s="373"/>
      <c r="H111" s="373"/>
      <c r="I111" s="373"/>
      <c r="J111" s="373"/>
      <c r="K111" s="373"/>
      <c r="L111" s="378"/>
      <c r="M111" s="378"/>
      <c r="N111" s="378"/>
      <c r="O111" s="160"/>
    </row>
    <row r="112" spans="2:16" x14ac:dyDescent="0.25">
      <c r="B112" s="390" t="str">
        <f t="shared" si="47"/>
        <v>200 G</v>
      </c>
      <c r="C112" s="203" t="s">
        <v>20</v>
      </c>
      <c r="D112" s="203" t="s">
        <v>20</v>
      </c>
      <c r="E112" s="373">
        <f t="shared" si="50"/>
        <v>0</v>
      </c>
      <c r="F112" s="373">
        <f t="shared" si="50"/>
        <v>0</v>
      </c>
      <c r="G112" s="373"/>
      <c r="H112" s="373"/>
      <c r="I112" s="373"/>
      <c r="J112" s="373"/>
      <c r="K112" s="373"/>
      <c r="L112" s="378"/>
      <c r="M112" s="378"/>
      <c r="N112" s="378"/>
      <c r="O112" s="160"/>
    </row>
    <row r="113" spans="2:15" x14ac:dyDescent="0.25">
      <c r="B113" s="203" t="str">
        <f t="shared" si="47"/>
        <v>400 G</v>
      </c>
      <c r="C113" s="203" t="s">
        <v>20</v>
      </c>
      <c r="D113" s="203" t="s">
        <v>20</v>
      </c>
      <c r="E113" s="373">
        <f t="shared" si="50"/>
        <v>0</v>
      </c>
      <c r="F113" s="373">
        <f t="shared" si="50"/>
        <v>65.599999999999994</v>
      </c>
      <c r="G113" s="373"/>
      <c r="H113" s="373"/>
      <c r="I113" s="373"/>
      <c r="J113" s="373"/>
      <c r="K113" s="373"/>
      <c r="L113" s="378"/>
      <c r="M113" s="378"/>
      <c r="N113" s="378"/>
      <c r="O113" s="160"/>
    </row>
    <row r="114" spans="2:15" s="160" customFormat="1" x14ac:dyDescent="0.25">
      <c r="B114" s="203" t="str">
        <f t="shared" si="47"/>
        <v>800 G</v>
      </c>
      <c r="C114" s="203" t="s">
        <v>20</v>
      </c>
      <c r="D114" s="203" t="s">
        <v>20</v>
      </c>
      <c r="E114" s="373">
        <f t="shared" si="50"/>
        <v>0</v>
      </c>
      <c r="F114" s="373">
        <f t="shared" si="50"/>
        <v>0</v>
      </c>
      <c r="G114" s="373"/>
      <c r="H114" s="373"/>
      <c r="I114" s="373"/>
      <c r="J114" s="373"/>
      <c r="K114" s="373"/>
      <c r="L114" s="378"/>
      <c r="M114" s="378"/>
      <c r="N114" s="378"/>
    </row>
    <row r="115" spans="2:15" x14ac:dyDescent="0.25">
      <c r="B115" s="206" t="s">
        <v>9</v>
      </c>
      <c r="C115" s="203" t="s">
        <v>20</v>
      </c>
      <c r="D115" s="203" t="s">
        <v>20</v>
      </c>
      <c r="E115" s="235">
        <f>SUM(E97:E114)</f>
        <v>2829692.8569435058</v>
      </c>
      <c r="F115" s="235">
        <f t="shared" ref="F115:N115" si="51">SUM(F97:F114)</f>
        <v>2585418.2027284787</v>
      </c>
      <c r="G115" s="235"/>
      <c r="H115" s="235"/>
      <c r="I115" s="235"/>
      <c r="J115" s="235"/>
      <c r="K115" s="235"/>
      <c r="L115" s="235"/>
      <c r="M115" s="235"/>
      <c r="N115" s="235"/>
      <c r="O115" s="160"/>
    </row>
    <row r="116" spans="2:15" x14ac:dyDescent="0.25">
      <c r="B116" s="160"/>
      <c r="C116" s="160"/>
      <c r="D116" s="207"/>
      <c r="E116" s="8"/>
      <c r="F116" s="8">
        <f t="shared" ref="F116:N116" si="52">IF(E115=0,"",F115/E115-1)</f>
        <v>-8.6325501234392088E-2</v>
      </c>
      <c r="G116" s="8"/>
      <c r="H116" s="8"/>
      <c r="I116" s="8"/>
      <c r="J116" s="8"/>
      <c r="K116" s="8"/>
      <c r="L116" s="8"/>
      <c r="M116" s="8"/>
      <c r="N116" s="8"/>
      <c r="O116" s="160"/>
    </row>
    <row r="117" spans="2:15" ht="13" x14ac:dyDescent="0.3">
      <c r="B117" s="221" t="s">
        <v>53</v>
      </c>
      <c r="C117" s="221" t="str">
        <f>C95</f>
        <v>Rest of World-Telecom</v>
      </c>
      <c r="D117" s="198"/>
      <c r="E117" s="283"/>
      <c r="F117" s="283"/>
      <c r="G117" s="283"/>
      <c r="H117" s="283"/>
      <c r="I117" s="283"/>
      <c r="J117" s="283"/>
      <c r="K117" s="283"/>
      <c r="L117" s="684" t="str">
        <f>B117</f>
        <v>ASP ($)</v>
      </c>
      <c r="M117" s="684"/>
      <c r="N117" s="684" t="str">
        <f>C117</f>
        <v>Rest of World-Telecom</v>
      </c>
      <c r="O117" s="160"/>
    </row>
    <row r="118" spans="2:15" x14ac:dyDescent="0.25">
      <c r="B118" s="227" t="s">
        <v>10</v>
      </c>
      <c r="C118" s="129" t="s">
        <v>11</v>
      </c>
      <c r="D118" s="228" t="s">
        <v>12</v>
      </c>
      <c r="E118" s="136">
        <v>2016</v>
      </c>
      <c r="F118" s="129">
        <v>2017</v>
      </c>
      <c r="G118" s="129">
        <v>2018</v>
      </c>
      <c r="H118" s="129">
        <v>2019</v>
      </c>
      <c r="I118" s="129">
        <v>2020</v>
      </c>
      <c r="J118" s="129">
        <v>2021</v>
      </c>
      <c r="K118" s="129">
        <v>2022</v>
      </c>
      <c r="L118" s="129">
        <v>2023</v>
      </c>
      <c r="M118" s="129">
        <v>2024</v>
      </c>
      <c r="N118" s="129">
        <v>2025</v>
      </c>
      <c r="O118" s="160"/>
    </row>
    <row r="119" spans="2:15" x14ac:dyDescent="0.25">
      <c r="B119" s="388" t="str">
        <f t="shared" ref="B119:B136" si="53">B30</f>
        <v>1 G</v>
      </c>
      <c r="C119" s="395" t="str">
        <f>C97</f>
        <v>All</v>
      </c>
      <c r="D119" s="395" t="str">
        <f>D97</f>
        <v>All</v>
      </c>
      <c r="E119" s="294">
        <f t="shared" ref="E119:L119" si="54">E187</f>
        <v>13.444345309797832</v>
      </c>
      <c r="F119" s="294">
        <f t="shared" si="54"/>
        <v>11.752073385560035</v>
      </c>
      <c r="G119" s="294"/>
      <c r="H119" s="294"/>
      <c r="I119" s="294"/>
      <c r="J119" s="297"/>
      <c r="K119" s="297"/>
      <c r="L119" s="297"/>
      <c r="M119" s="297"/>
      <c r="N119" s="297"/>
      <c r="O119" s="160"/>
    </row>
    <row r="120" spans="2:15" x14ac:dyDescent="0.25">
      <c r="B120" s="388" t="str">
        <f t="shared" si="53"/>
        <v>10 G</v>
      </c>
      <c r="C120" s="395" t="str">
        <f>C98</f>
        <v>All</v>
      </c>
      <c r="D120" s="395" t="str">
        <f>D98</f>
        <v>All</v>
      </c>
      <c r="E120" s="294">
        <f t="shared" ref="E120:L120" si="55">E188</f>
        <v>84.790693409687535</v>
      </c>
      <c r="F120" s="294">
        <f t="shared" si="55"/>
        <v>61.820946986524518</v>
      </c>
      <c r="G120" s="294"/>
      <c r="H120" s="294"/>
      <c r="I120" s="294"/>
      <c r="J120" s="297"/>
      <c r="K120" s="297"/>
      <c r="L120" s="297"/>
      <c r="M120" s="297"/>
      <c r="N120" s="297"/>
      <c r="O120" s="160"/>
    </row>
    <row r="121" spans="2:15" ht="13" x14ac:dyDescent="0.3">
      <c r="B121" s="388" t="str">
        <f t="shared" si="53"/>
        <v>25 G</v>
      </c>
      <c r="C121" s="395" t="str">
        <f>C100</f>
        <v>100-300 m</v>
      </c>
      <c r="D121" s="282" t="s">
        <v>154</v>
      </c>
      <c r="E121" s="294">
        <f t="shared" ref="E121:L121" si="56">E189</f>
        <v>456.24032541776603</v>
      </c>
      <c r="F121" s="294">
        <f t="shared" si="56"/>
        <v>324.10355668962507</v>
      </c>
      <c r="G121" s="294"/>
      <c r="H121" s="294"/>
      <c r="I121" s="294"/>
      <c r="J121" s="297"/>
      <c r="K121" s="297"/>
      <c r="L121" s="297"/>
      <c r="M121" s="297"/>
      <c r="N121" s="297"/>
      <c r="O121" s="160"/>
    </row>
    <row r="122" spans="2:15" x14ac:dyDescent="0.25">
      <c r="B122" s="199" t="str">
        <f t="shared" si="53"/>
        <v>40 G</v>
      </c>
      <c r="C122" s="391" t="s">
        <v>21</v>
      </c>
      <c r="D122" s="199" t="s">
        <v>55</v>
      </c>
      <c r="E122" s="294">
        <f t="shared" ref="E122:L122" si="57">E190</f>
        <v>99.624177253256008</v>
      </c>
      <c r="F122" s="294">
        <f t="shared" si="57"/>
        <v>80.609108343448838</v>
      </c>
      <c r="G122" s="294"/>
      <c r="H122" s="294"/>
      <c r="I122" s="294"/>
      <c r="J122" s="297"/>
      <c r="K122" s="297"/>
      <c r="L122" s="297"/>
      <c r="M122" s="297"/>
      <c r="N122" s="297"/>
      <c r="O122" s="160"/>
    </row>
    <row r="123" spans="2:15" x14ac:dyDescent="0.25">
      <c r="B123" s="203" t="str">
        <f t="shared" si="53"/>
        <v>40 G PSM4</v>
      </c>
      <c r="C123" s="395" t="s">
        <v>22</v>
      </c>
      <c r="D123" s="203" t="s">
        <v>137</v>
      </c>
      <c r="E123" s="294">
        <f t="shared" ref="E123:L123" si="58">E191</f>
        <v>0</v>
      </c>
      <c r="F123" s="294">
        <f t="shared" si="58"/>
        <v>0</v>
      </c>
      <c r="G123" s="294"/>
      <c r="H123" s="294"/>
      <c r="I123" s="294"/>
      <c r="J123" s="297"/>
      <c r="K123" s="297"/>
      <c r="L123" s="297"/>
      <c r="M123" s="297"/>
      <c r="N123" s="297"/>
      <c r="O123" s="160"/>
    </row>
    <row r="124" spans="2:15" x14ac:dyDescent="0.25">
      <c r="B124" s="797" t="str">
        <f t="shared" si="53"/>
        <v xml:space="preserve">40 G </v>
      </c>
      <c r="C124" s="805" t="s">
        <v>23</v>
      </c>
      <c r="D124" s="392" t="s">
        <v>146</v>
      </c>
      <c r="E124" s="294">
        <f t="shared" ref="E124:L124" si="59">E192</f>
        <v>4569.894941368153</v>
      </c>
      <c r="F124" s="294">
        <f t="shared" si="59"/>
        <v>5251.681208639473</v>
      </c>
      <c r="G124" s="294"/>
      <c r="H124" s="294"/>
      <c r="I124" s="294"/>
      <c r="J124" s="297"/>
      <c r="K124" s="297"/>
      <c r="L124" s="297"/>
      <c r="M124" s="297"/>
      <c r="N124" s="297"/>
      <c r="O124" s="160"/>
    </row>
    <row r="125" spans="2:15" ht="25" x14ac:dyDescent="0.25">
      <c r="B125" s="798"/>
      <c r="C125" s="806"/>
      <c r="D125" s="394" t="s">
        <v>147</v>
      </c>
      <c r="E125" s="294">
        <f t="shared" ref="E125:L125" si="60">E193</f>
        <v>0</v>
      </c>
      <c r="F125" s="294">
        <f t="shared" si="60"/>
        <v>0</v>
      </c>
      <c r="G125" s="294"/>
      <c r="H125" s="294"/>
      <c r="I125" s="294"/>
      <c r="J125" s="297"/>
      <c r="K125" s="297"/>
      <c r="L125" s="297"/>
      <c r="M125" s="297"/>
      <c r="N125" s="297"/>
      <c r="O125" s="160"/>
    </row>
    <row r="126" spans="2:15" x14ac:dyDescent="0.25">
      <c r="B126" s="798"/>
      <c r="C126" s="395" t="s">
        <v>24</v>
      </c>
      <c r="D126" s="202" t="s">
        <v>20</v>
      </c>
      <c r="E126" s="294">
        <f t="shared" ref="E126:L126" si="61">E194</f>
        <v>1174.9655306999969</v>
      </c>
      <c r="F126" s="294">
        <f t="shared" si="61"/>
        <v>1350.8997571323105</v>
      </c>
      <c r="G126" s="294"/>
      <c r="H126" s="294"/>
      <c r="I126" s="294"/>
      <c r="J126" s="297"/>
      <c r="K126" s="297"/>
      <c r="L126" s="297"/>
      <c r="M126" s="297"/>
      <c r="N126" s="297"/>
      <c r="O126" s="160"/>
    </row>
    <row r="127" spans="2:15" x14ac:dyDescent="0.25">
      <c r="B127" s="799"/>
      <c r="C127" s="170" t="s">
        <v>25</v>
      </c>
      <c r="D127" s="203" t="str">
        <f t="shared" ref="D127:D134" si="62">D105</f>
        <v>All</v>
      </c>
      <c r="E127" s="294">
        <f t="shared" ref="E127:L127" si="63">E195</f>
        <v>1673.0572324239706</v>
      </c>
      <c r="F127" s="294">
        <f t="shared" si="63"/>
        <v>1459.2330281290015</v>
      </c>
      <c r="G127" s="294"/>
      <c r="H127" s="294"/>
      <c r="I127" s="294"/>
      <c r="J127" s="297"/>
      <c r="K127" s="297"/>
      <c r="L127" s="297"/>
      <c r="M127" s="297"/>
      <c r="N127" s="297"/>
      <c r="O127" s="160"/>
    </row>
    <row r="128" spans="2:15" x14ac:dyDescent="0.25">
      <c r="B128" s="393" t="str">
        <f t="shared" si="53"/>
        <v>50 G</v>
      </c>
      <c r="C128" s="395" t="str">
        <f>C106</f>
        <v>all</v>
      </c>
      <c r="D128" s="203" t="str">
        <f t="shared" si="62"/>
        <v>All</v>
      </c>
      <c r="E128" s="294">
        <f t="shared" ref="E128:L128" si="64">E196</f>
        <v>0</v>
      </c>
      <c r="F128" s="294">
        <f t="shared" si="64"/>
        <v>0</v>
      </c>
      <c r="G128" s="294"/>
      <c r="H128" s="294"/>
      <c r="I128" s="294"/>
      <c r="J128" s="297"/>
      <c r="K128" s="297"/>
      <c r="L128" s="297"/>
      <c r="M128" s="297"/>
      <c r="N128" s="297"/>
      <c r="O128" s="160"/>
    </row>
    <row r="129" spans="2:15" x14ac:dyDescent="0.25">
      <c r="B129" s="802" t="str">
        <f t="shared" si="53"/>
        <v>100 G</v>
      </c>
      <c r="C129" s="391" t="str">
        <f>C107</f>
        <v>100-300 m</v>
      </c>
      <c r="D129" s="203" t="str">
        <f t="shared" si="62"/>
        <v>All</v>
      </c>
      <c r="E129" s="294">
        <f t="shared" ref="E129:L129" si="65">E197</f>
        <v>1373.089819110671</v>
      </c>
      <c r="F129" s="294">
        <f t="shared" si="65"/>
        <v>1228.7228272707475</v>
      </c>
      <c r="G129" s="294"/>
      <c r="H129" s="294"/>
      <c r="I129" s="294"/>
      <c r="J129" s="297"/>
      <c r="K129" s="297"/>
      <c r="L129" s="297"/>
      <c r="M129" s="297"/>
      <c r="N129" s="297"/>
      <c r="O129" s="160"/>
    </row>
    <row r="130" spans="2:15" x14ac:dyDescent="0.25">
      <c r="B130" s="803"/>
      <c r="C130" s="391" t="s">
        <v>22</v>
      </c>
      <c r="D130" s="203" t="str">
        <f t="shared" si="62"/>
        <v>QSFP28</v>
      </c>
      <c r="E130" s="294">
        <f t="shared" ref="E130:L130" si="66">E198</f>
        <v>0</v>
      </c>
      <c r="F130" s="294">
        <f t="shared" si="66"/>
        <v>0</v>
      </c>
      <c r="G130" s="294"/>
      <c r="H130" s="294"/>
      <c r="I130" s="294"/>
      <c r="J130" s="297"/>
      <c r="K130" s="297"/>
      <c r="L130" s="297"/>
      <c r="M130" s="297"/>
      <c r="N130" s="297"/>
      <c r="O130" s="160"/>
    </row>
    <row r="131" spans="2:15" x14ac:dyDescent="0.25">
      <c r="B131" s="803"/>
      <c r="C131" s="395" t="str">
        <f>C109</f>
        <v>2 km</v>
      </c>
      <c r="D131" s="394" t="str">
        <f t="shared" si="62"/>
        <v>QSFP28</v>
      </c>
      <c r="E131" s="294">
        <f t="shared" ref="E131:L131" si="67">E199</f>
        <v>0</v>
      </c>
      <c r="F131" s="294">
        <f t="shared" si="67"/>
        <v>0</v>
      </c>
      <c r="G131" s="294"/>
      <c r="H131" s="294"/>
      <c r="I131" s="294"/>
      <c r="J131" s="297"/>
      <c r="K131" s="297"/>
      <c r="L131" s="297"/>
      <c r="M131" s="297"/>
      <c r="N131" s="297"/>
      <c r="O131" s="160"/>
    </row>
    <row r="132" spans="2:15" x14ac:dyDescent="0.25">
      <c r="B132" s="803"/>
      <c r="C132" s="395" t="str">
        <f>C110</f>
        <v>10-20 km</v>
      </c>
      <c r="D132" s="389" t="str">
        <f t="shared" si="62"/>
        <v>All</v>
      </c>
      <c r="E132" s="294">
        <f t="shared" ref="E132:L132" si="68">E200</f>
        <v>3127.0662136529249</v>
      </c>
      <c r="F132" s="294">
        <f t="shared" si="68"/>
        <v>1904.5783558413559</v>
      </c>
      <c r="G132" s="294"/>
      <c r="H132" s="294"/>
      <c r="I132" s="294"/>
      <c r="J132" s="297"/>
      <c r="K132" s="297"/>
      <c r="L132" s="297"/>
      <c r="M132" s="297"/>
      <c r="N132" s="297"/>
      <c r="O132" s="160"/>
    </row>
    <row r="133" spans="2:15" x14ac:dyDescent="0.25">
      <c r="B133" s="804"/>
      <c r="C133" s="170" t="str">
        <f>C111</f>
        <v>40 km</v>
      </c>
      <c r="D133" s="199" t="str">
        <f t="shared" si="62"/>
        <v>All</v>
      </c>
      <c r="E133" s="294">
        <f t="shared" ref="E133:L133" si="69">E201</f>
        <v>8992.3605424008583</v>
      </c>
      <c r="F133" s="294">
        <f t="shared" si="69"/>
        <v>6042.927196558162</v>
      </c>
      <c r="G133" s="294"/>
      <c r="H133" s="294"/>
      <c r="I133" s="294"/>
      <c r="J133" s="297"/>
      <c r="K133" s="297"/>
      <c r="L133" s="297"/>
      <c r="M133" s="297"/>
      <c r="N133" s="297"/>
      <c r="O133" s="160"/>
    </row>
    <row r="134" spans="2:15" x14ac:dyDescent="0.25">
      <c r="B134" s="201" t="str">
        <f t="shared" si="53"/>
        <v>200 G</v>
      </c>
      <c r="C134" s="203" t="str">
        <f>C112</f>
        <v>All</v>
      </c>
      <c r="D134" s="203" t="str">
        <f t="shared" si="62"/>
        <v>All</v>
      </c>
      <c r="E134" s="294">
        <f t="shared" ref="E134:L134" si="70">E202</f>
        <v>0</v>
      </c>
      <c r="F134" s="294">
        <f t="shared" si="70"/>
        <v>0</v>
      </c>
      <c r="G134" s="294"/>
      <c r="H134" s="294"/>
      <c r="I134" s="294"/>
      <c r="J134" s="296"/>
      <c r="K134" s="296"/>
      <c r="L134" s="296"/>
      <c r="M134" s="296"/>
      <c r="N134" s="296"/>
      <c r="O134" s="160"/>
    </row>
    <row r="135" spans="2:15" x14ac:dyDescent="0.25">
      <c r="B135" s="201" t="str">
        <f t="shared" si="53"/>
        <v>400 G</v>
      </c>
      <c r="C135" s="203" t="s">
        <v>20</v>
      </c>
      <c r="D135" s="203" t="s">
        <v>20</v>
      </c>
      <c r="E135" s="295">
        <f t="shared" ref="E135:L136" si="71">E203</f>
        <v>0</v>
      </c>
      <c r="F135" s="295">
        <f t="shared" si="71"/>
        <v>15451.219512195123</v>
      </c>
      <c r="G135" s="295"/>
      <c r="H135" s="295"/>
      <c r="I135" s="295"/>
      <c r="J135" s="296"/>
      <c r="K135" s="296"/>
      <c r="L135" s="296"/>
      <c r="M135" s="296"/>
      <c r="N135" s="296"/>
      <c r="O135" s="160"/>
    </row>
    <row r="136" spans="2:15" s="160" customFormat="1" x14ac:dyDescent="0.25">
      <c r="B136" s="201" t="str">
        <f t="shared" si="53"/>
        <v>800 G</v>
      </c>
      <c r="C136" s="203" t="s">
        <v>20</v>
      </c>
      <c r="D136" s="203" t="s">
        <v>20</v>
      </c>
      <c r="E136" s="295">
        <f t="shared" si="71"/>
        <v>0</v>
      </c>
      <c r="F136" s="295">
        <f t="shared" si="71"/>
        <v>0</v>
      </c>
      <c r="G136" s="295"/>
      <c r="H136" s="295"/>
      <c r="I136" s="295"/>
      <c r="J136" s="296"/>
      <c r="K136" s="296"/>
      <c r="L136" s="296"/>
      <c r="M136" s="296"/>
      <c r="N136" s="296"/>
    </row>
    <row r="137" spans="2:15" ht="13" x14ac:dyDescent="0.3">
      <c r="B137" s="387"/>
      <c r="C137" s="160"/>
      <c r="D137" s="207"/>
      <c r="E137" s="2"/>
      <c r="F137" s="2"/>
      <c r="G137" s="2"/>
      <c r="H137" s="2"/>
      <c r="I137" s="2"/>
      <c r="J137" s="2"/>
      <c r="K137" s="2"/>
      <c r="L137" s="684"/>
      <c r="M137" s="684"/>
      <c r="N137" s="684"/>
      <c r="O137" s="160"/>
    </row>
    <row r="138" spans="2:15" ht="15.5" x14ac:dyDescent="0.35">
      <c r="B138" s="221" t="s">
        <v>1</v>
      </c>
      <c r="C138" s="221" t="str">
        <f>C117</f>
        <v>Rest of World-Telecom</v>
      </c>
      <c r="D138" s="198"/>
      <c r="E138" s="371" t="str">
        <f>E95</f>
        <v>this table is calculated as the difference between Global (below) and China (above)</v>
      </c>
      <c r="F138" s="160"/>
      <c r="G138" s="160"/>
      <c r="L138" s="684" t="str">
        <f>B138</f>
        <v>Sales ($M)</v>
      </c>
      <c r="M138" s="684"/>
      <c r="N138" s="685" t="str">
        <f>C138</f>
        <v>Rest of World-Telecom</v>
      </c>
      <c r="O138" s="160"/>
    </row>
    <row r="139" spans="2:15" x14ac:dyDescent="0.25">
      <c r="B139" s="225" t="s">
        <v>10</v>
      </c>
      <c r="C139" s="7" t="s">
        <v>11</v>
      </c>
      <c r="D139" s="226" t="s">
        <v>12</v>
      </c>
      <c r="E139" s="129">
        <v>2016</v>
      </c>
      <c r="F139" s="129">
        <v>2017</v>
      </c>
      <c r="G139" s="129">
        <v>2018</v>
      </c>
      <c r="H139" s="129">
        <v>2019</v>
      </c>
      <c r="I139" s="129">
        <v>2020</v>
      </c>
      <c r="J139" s="129">
        <v>2021</v>
      </c>
      <c r="K139" s="129">
        <v>2022</v>
      </c>
      <c r="L139" s="129">
        <v>2023</v>
      </c>
      <c r="M139" s="129">
        <v>2024</v>
      </c>
      <c r="N139" s="129">
        <v>2025</v>
      </c>
      <c r="O139" s="160"/>
    </row>
    <row r="140" spans="2:15" x14ac:dyDescent="0.25">
      <c r="B140" s="388" t="str">
        <f t="shared" ref="B140:B157" si="72">B30</f>
        <v>1 G</v>
      </c>
      <c r="C140" s="395" t="str">
        <f>C97</f>
        <v>All</v>
      </c>
      <c r="D140" s="395" t="str">
        <f>D97</f>
        <v>All</v>
      </c>
      <c r="E140" s="294">
        <f t="shared" ref="E140:L140" si="73">E119*E97/10^6</f>
        <v>18.389167369377319</v>
      </c>
      <c r="F140" s="294">
        <f t="shared" si="73"/>
        <v>13.721722950994398</v>
      </c>
      <c r="G140" s="294"/>
      <c r="H140" s="294"/>
      <c r="I140" s="294"/>
      <c r="J140" s="294"/>
      <c r="K140" s="294"/>
      <c r="L140" s="297"/>
      <c r="M140" s="297"/>
      <c r="N140" s="297"/>
      <c r="O140" s="160"/>
    </row>
    <row r="141" spans="2:15" x14ac:dyDescent="0.25">
      <c r="B141" s="388" t="str">
        <f t="shared" si="72"/>
        <v>10 G</v>
      </c>
      <c r="C141" s="167" t="str">
        <f>C98</f>
        <v>All</v>
      </c>
      <c r="D141" s="167" t="str">
        <f>D98</f>
        <v>All</v>
      </c>
      <c r="E141" s="294">
        <f t="shared" ref="E141:L150" si="74">E120*E98/10^6</f>
        <v>105.98494357540451</v>
      </c>
      <c r="F141" s="294">
        <f t="shared" si="74"/>
        <v>71.941759865265311</v>
      </c>
      <c r="G141" s="294"/>
      <c r="H141" s="294"/>
      <c r="I141" s="294"/>
      <c r="J141" s="294"/>
      <c r="K141" s="294"/>
      <c r="L141" s="297"/>
      <c r="M141" s="297"/>
      <c r="N141" s="297"/>
      <c r="O141" s="160"/>
    </row>
    <row r="142" spans="2:15" ht="13" x14ac:dyDescent="0.3">
      <c r="B142" s="203" t="str">
        <f t="shared" si="72"/>
        <v>25 G</v>
      </c>
      <c r="C142" s="395" t="s">
        <v>20</v>
      </c>
      <c r="D142" s="282" t="s">
        <v>154</v>
      </c>
      <c r="E142" s="294">
        <f t="shared" si="74"/>
        <v>0.59136958499999981</v>
      </c>
      <c r="F142" s="294">
        <f t="shared" si="74"/>
        <v>1.5789994696290708</v>
      </c>
      <c r="G142" s="294"/>
      <c r="H142" s="294"/>
      <c r="I142" s="294"/>
      <c r="J142" s="294"/>
      <c r="K142" s="294"/>
      <c r="L142" s="297"/>
      <c r="M142" s="297"/>
      <c r="N142" s="297"/>
      <c r="O142" s="160"/>
    </row>
    <row r="143" spans="2:15" x14ac:dyDescent="0.25">
      <c r="B143" s="199" t="str">
        <f t="shared" si="72"/>
        <v>40 G</v>
      </c>
      <c r="C143" s="391" t="str">
        <f>C121</f>
        <v>100-300 m</v>
      </c>
      <c r="D143" s="199" t="s">
        <v>137</v>
      </c>
      <c r="E143" s="294">
        <f t="shared" si="74"/>
        <v>4.5588222759444452</v>
      </c>
      <c r="F143" s="294">
        <f t="shared" si="74"/>
        <v>5.079772393667036</v>
      </c>
      <c r="G143" s="294"/>
      <c r="H143" s="294"/>
      <c r="I143" s="294"/>
      <c r="J143" s="294"/>
      <c r="K143" s="294"/>
      <c r="L143" s="297"/>
      <c r="M143" s="297"/>
      <c r="N143" s="297"/>
      <c r="O143" s="160"/>
    </row>
    <row r="144" spans="2:15" x14ac:dyDescent="0.25">
      <c r="B144" s="203" t="str">
        <f t="shared" si="72"/>
        <v>40 G PSM4</v>
      </c>
      <c r="C144" s="395" t="s">
        <v>22</v>
      </c>
      <c r="D144" s="203" t="s">
        <v>137</v>
      </c>
      <c r="E144" s="294">
        <f t="shared" si="74"/>
        <v>0</v>
      </c>
      <c r="F144" s="294">
        <f t="shared" si="74"/>
        <v>0</v>
      </c>
      <c r="G144" s="294"/>
      <c r="H144" s="294"/>
      <c r="I144" s="294"/>
      <c r="J144" s="294"/>
      <c r="K144" s="294"/>
      <c r="L144" s="297"/>
      <c r="M144" s="297"/>
      <c r="N144" s="297"/>
      <c r="O144" s="160"/>
    </row>
    <row r="145" spans="2:16" x14ac:dyDescent="0.25">
      <c r="B145" s="797" t="str">
        <f t="shared" si="72"/>
        <v xml:space="preserve">40 G </v>
      </c>
      <c r="C145" s="805" t="s">
        <v>23</v>
      </c>
      <c r="D145" s="298" t="s">
        <v>146</v>
      </c>
      <c r="E145" s="294">
        <f t="shared" si="74"/>
        <v>3.6147868986222091</v>
      </c>
      <c r="F145" s="294">
        <f t="shared" si="74"/>
        <v>2.1111758458730683</v>
      </c>
      <c r="G145" s="294"/>
      <c r="H145" s="294"/>
      <c r="I145" s="294"/>
      <c r="J145" s="294"/>
      <c r="K145" s="294"/>
      <c r="L145" s="297"/>
      <c r="M145" s="297"/>
      <c r="N145" s="297"/>
      <c r="O145" s="160"/>
    </row>
    <row r="146" spans="2:16" ht="25" x14ac:dyDescent="0.25">
      <c r="B146" s="798"/>
      <c r="C146" s="806"/>
      <c r="D146" s="270" t="s">
        <v>147</v>
      </c>
      <c r="E146" s="294">
        <f t="shared" si="74"/>
        <v>0</v>
      </c>
      <c r="F146" s="294">
        <f t="shared" si="74"/>
        <v>0</v>
      </c>
      <c r="G146" s="294"/>
      <c r="H146" s="294"/>
      <c r="I146" s="294"/>
      <c r="J146" s="294"/>
      <c r="K146" s="294"/>
      <c r="L146" s="297"/>
      <c r="M146" s="297"/>
      <c r="N146" s="297"/>
      <c r="O146" s="160"/>
    </row>
    <row r="147" spans="2:16" x14ac:dyDescent="0.25">
      <c r="B147" s="798"/>
      <c r="C147" s="395" t="s">
        <v>24</v>
      </c>
      <c r="D147" s="388" t="str">
        <f t="shared" ref="D147:D157" si="75">D104</f>
        <v>All</v>
      </c>
      <c r="E147" s="294">
        <f t="shared" si="74"/>
        <v>7.4284258264680547</v>
      </c>
      <c r="F147" s="294">
        <f t="shared" si="74"/>
        <v>3.6524276733586274</v>
      </c>
      <c r="G147" s="294"/>
      <c r="H147" s="294"/>
      <c r="I147" s="294"/>
      <c r="J147" s="294"/>
      <c r="K147" s="294"/>
      <c r="L147" s="297"/>
      <c r="M147" s="297"/>
      <c r="N147" s="297"/>
      <c r="O147" s="160"/>
    </row>
    <row r="148" spans="2:16" x14ac:dyDescent="0.25">
      <c r="B148" s="799"/>
      <c r="C148" s="170" t="s">
        <v>25</v>
      </c>
      <c r="D148" s="388" t="str">
        <f t="shared" si="75"/>
        <v>All</v>
      </c>
      <c r="E148" s="294">
        <f t="shared" si="74"/>
        <v>2.456382628644874</v>
      </c>
      <c r="F148" s="294">
        <f t="shared" si="74"/>
        <v>1.8231073760232492</v>
      </c>
      <c r="G148" s="294"/>
      <c r="H148" s="294"/>
      <c r="I148" s="294"/>
      <c r="J148" s="294"/>
      <c r="K148" s="294"/>
      <c r="L148" s="297"/>
      <c r="M148" s="297"/>
      <c r="N148" s="297"/>
      <c r="O148" s="160"/>
    </row>
    <row r="149" spans="2:16" x14ac:dyDescent="0.25">
      <c r="B149" s="393" t="str">
        <f t="shared" si="72"/>
        <v>50 G</v>
      </c>
      <c r="C149" s="395" t="str">
        <f t="shared" ref="C149:C157" si="76">C106</f>
        <v>all</v>
      </c>
      <c r="D149" s="388" t="str">
        <f t="shared" si="75"/>
        <v>All</v>
      </c>
      <c r="E149" s="294">
        <f t="shared" si="74"/>
        <v>0</v>
      </c>
      <c r="F149" s="294">
        <f t="shared" si="74"/>
        <v>0</v>
      </c>
      <c r="G149" s="294"/>
      <c r="H149" s="294"/>
      <c r="I149" s="294"/>
      <c r="J149" s="294"/>
      <c r="K149" s="294"/>
      <c r="L149" s="297"/>
      <c r="M149" s="297"/>
      <c r="N149" s="297"/>
      <c r="O149" s="160"/>
    </row>
    <row r="150" spans="2:16" x14ac:dyDescent="0.25">
      <c r="B150" s="802" t="str">
        <f t="shared" si="72"/>
        <v>100 G</v>
      </c>
      <c r="C150" s="391" t="str">
        <f t="shared" si="76"/>
        <v>100-300 m</v>
      </c>
      <c r="D150" s="388" t="str">
        <f t="shared" si="75"/>
        <v>All</v>
      </c>
      <c r="E150" s="294">
        <f t="shared" si="74"/>
        <v>25.154682810000001</v>
      </c>
      <c r="F150" s="294">
        <f t="shared" si="74"/>
        <v>10.718026350000004</v>
      </c>
      <c r="G150" s="294"/>
      <c r="H150" s="294"/>
      <c r="I150" s="294"/>
      <c r="J150" s="294"/>
      <c r="K150" s="294"/>
      <c r="L150" s="297"/>
      <c r="M150" s="297"/>
      <c r="N150" s="297"/>
      <c r="O150" s="160"/>
    </row>
    <row r="151" spans="2:16" x14ac:dyDescent="0.25">
      <c r="B151" s="803"/>
      <c r="C151" s="395" t="str">
        <f t="shared" si="76"/>
        <v>500 m</v>
      </c>
      <c r="D151" s="270" t="str">
        <f t="shared" si="75"/>
        <v>QSFP28</v>
      </c>
      <c r="E151" s="294">
        <f t="shared" ref="E151:L157" si="77">E130*E108/10^6</f>
        <v>0</v>
      </c>
      <c r="F151" s="294">
        <f t="shared" si="77"/>
        <v>0</v>
      </c>
      <c r="G151" s="294"/>
      <c r="H151" s="294"/>
      <c r="I151" s="294"/>
      <c r="J151" s="294"/>
      <c r="K151" s="294"/>
      <c r="L151" s="297"/>
      <c r="M151" s="297"/>
      <c r="N151" s="297"/>
      <c r="O151" s="160"/>
    </row>
    <row r="152" spans="2:16" x14ac:dyDescent="0.25">
      <c r="B152" s="803"/>
      <c r="C152" s="395" t="str">
        <f t="shared" si="76"/>
        <v>2 km</v>
      </c>
      <c r="D152" s="394" t="str">
        <f t="shared" si="75"/>
        <v>QSFP28</v>
      </c>
      <c r="E152" s="294">
        <f t="shared" si="77"/>
        <v>0</v>
      </c>
      <c r="F152" s="294">
        <f t="shared" si="77"/>
        <v>0</v>
      </c>
      <c r="G152" s="294"/>
      <c r="H152" s="294"/>
      <c r="I152" s="294"/>
      <c r="J152" s="294"/>
      <c r="K152" s="294"/>
      <c r="L152" s="297"/>
      <c r="M152" s="297"/>
      <c r="N152" s="297"/>
      <c r="O152" s="160"/>
    </row>
    <row r="153" spans="2:16" x14ac:dyDescent="0.25">
      <c r="B153" s="803"/>
      <c r="C153" s="395" t="str">
        <f t="shared" si="76"/>
        <v>10-20 km</v>
      </c>
      <c r="D153" s="389" t="str">
        <f t="shared" si="75"/>
        <v>All</v>
      </c>
      <c r="E153" s="294">
        <f t="shared" si="77"/>
        <v>413.27482195345021</v>
      </c>
      <c r="F153" s="294">
        <f t="shared" si="77"/>
        <v>314.76355117337857</v>
      </c>
      <c r="G153" s="294"/>
      <c r="H153" s="294"/>
      <c r="I153" s="294"/>
      <c r="J153" s="294"/>
      <c r="K153" s="294"/>
      <c r="L153" s="297"/>
      <c r="M153" s="297"/>
      <c r="N153" s="297"/>
      <c r="O153" s="160"/>
    </row>
    <row r="154" spans="2:16" x14ac:dyDescent="0.25">
      <c r="B154" s="804"/>
      <c r="C154" s="170" t="str">
        <f t="shared" si="76"/>
        <v>40 km</v>
      </c>
      <c r="D154" s="199" t="str">
        <f t="shared" si="75"/>
        <v>All</v>
      </c>
      <c r="E154" s="294">
        <f t="shared" si="77"/>
        <v>52.296691359229825</v>
      </c>
      <c r="F154" s="294">
        <f t="shared" si="77"/>
        <v>47.175440603914538</v>
      </c>
      <c r="G154" s="294"/>
      <c r="H154" s="294"/>
      <c r="I154" s="294"/>
      <c r="J154" s="294"/>
      <c r="K154" s="294"/>
      <c r="L154" s="297"/>
      <c r="M154" s="297"/>
      <c r="N154" s="297"/>
      <c r="O154" s="160"/>
    </row>
    <row r="155" spans="2:16" x14ac:dyDescent="0.25">
      <c r="B155" s="201" t="str">
        <f t="shared" si="72"/>
        <v>200 G</v>
      </c>
      <c r="C155" s="203" t="str">
        <f t="shared" si="76"/>
        <v>All</v>
      </c>
      <c r="D155" s="203" t="str">
        <f t="shared" si="75"/>
        <v>All</v>
      </c>
      <c r="E155" s="294">
        <f t="shared" si="77"/>
        <v>0</v>
      </c>
      <c r="F155" s="294">
        <f t="shared" si="77"/>
        <v>0</v>
      </c>
      <c r="G155" s="294"/>
      <c r="H155" s="294"/>
      <c r="I155" s="294"/>
      <c r="J155" s="294"/>
      <c r="K155" s="294"/>
      <c r="L155" s="297"/>
      <c r="M155" s="297"/>
      <c r="N155" s="297"/>
      <c r="O155" s="160"/>
    </row>
    <row r="156" spans="2:16" x14ac:dyDescent="0.25">
      <c r="B156" s="201" t="str">
        <f t="shared" si="72"/>
        <v>400 G</v>
      </c>
      <c r="C156" s="203" t="str">
        <f t="shared" si="76"/>
        <v>All</v>
      </c>
      <c r="D156" s="203" t="str">
        <f t="shared" si="75"/>
        <v>All</v>
      </c>
      <c r="E156" s="294">
        <f t="shared" si="77"/>
        <v>0</v>
      </c>
      <c r="F156" s="294">
        <f t="shared" si="77"/>
        <v>1.0136000000000001</v>
      </c>
      <c r="G156" s="294"/>
      <c r="H156" s="294"/>
      <c r="I156" s="294"/>
      <c r="J156" s="294"/>
      <c r="K156" s="294"/>
      <c r="L156" s="297"/>
      <c r="M156" s="297"/>
      <c r="N156" s="297"/>
      <c r="O156" s="160"/>
    </row>
    <row r="157" spans="2:16" s="160" customFormat="1" x14ac:dyDescent="0.25">
      <c r="B157" s="201" t="str">
        <f t="shared" si="72"/>
        <v>800 G</v>
      </c>
      <c r="C157" s="203" t="str">
        <f t="shared" si="76"/>
        <v>All</v>
      </c>
      <c r="D157" s="203" t="str">
        <f t="shared" si="75"/>
        <v>All</v>
      </c>
      <c r="E157" s="294">
        <f t="shared" si="77"/>
        <v>0</v>
      </c>
      <c r="F157" s="294">
        <f t="shared" si="77"/>
        <v>0</v>
      </c>
      <c r="G157" s="294"/>
      <c r="H157" s="294"/>
      <c r="I157" s="294"/>
      <c r="J157" s="294"/>
      <c r="K157" s="294"/>
      <c r="L157" s="297"/>
      <c r="M157" s="297"/>
      <c r="N157" s="297"/>
    </row>
    <row r="158" spans="2:16" x14ac:dyDescent="0.25">
      <c r="B158" s="206" t="s">
        <v>9</v>
      </c>
      <c r="C158" s="203" t="str">
        <f>C115</f>
        <v>All</v>
      </c>
      <c r="D158" s="203" t="str">
        <f>D115</f>
        <v>All</v>
      </c>
      <c r="E158" s="290">
        <f t="shared" ref="E158:J158" si="78">SUM(E140:E157)</f>
        <v>633.7500942821415</v>
      </c>
      <c r="F158" s="290">
        <f t="shared" si="78"/>
        <v>473.57958370210389</v>
      </c>
      <c r="G158" s="290"/>
      <c r="H158" s="290"/>
      <c r="I158" s="290"/>
      <c r="J158" s="290"/>
      <c r="K158" s="290"/>
      <c r="L158" s="290"/>
      <c r="M158" s="290"/>
      <c r="N158" s="258"/>
      <c r="O158" s="160"/>
    </row>
    <row r="159" spans="2:16" x14ac:dyDescent="0.25">
      <c r="B159" s="387"/>
      <c r="C159" s="160"/>
      <c r="D159" s="387"/>
      <c r="E159" s="8"/>
      <c r="F159" s="8">
        <f t="shared" ref="F159:N159" si="79">IF(E158=0,"",F158/E158-1)</f>
        <v>-0.25273449586065189</v>
      </c>
      <c r="G159" s="8"/>
      <c r="H159" s="8"/>
      <c r="I159" s="8"/>
      <c r="J159" s="8"/>
      <c r="K159" s="8"/>
      <c r="L159" s="8"/>
      <c r="M159" s="8"/>
      <c r="N159" s="8"/>
      <c r="O159" s="160"/>
    </row>
    <row r="160" spans="2:16" x14ac:dyDescent="0.25">
      <c r="B160" s="387"/>
      <c r="C160" s="160"/>
      <c r="D160" s="387"/>
      <c r="E160" s="397"/>
      <c r="F160" s="397"/>
      <c r="G160" s="397"/>
      <c r="H160" s="397"/>
      <c r="I160" s="397"/>
      <c r="J160" s="397"/>
      <c r="K160" s="397"/>
      <c r="L160" s="397"/>
      <c r="M160" s="564"/>
      <c r="N160" s="665"/>
      <c r="O160" s="160"/>
      <c r="P160" s="160"/>
    </row>
    <row r="161" spans="2:16" x14ac:dyDescent="0.25">
      <c r="B161" s="446"/>
      <c r="C161" s="446"/>
      <c r="D161" s="446"/>
      <c r="E161" s="445"/>
      <c r="F161" s="445"/>
      <c r="G161" s="445"/>
      <c r="H161" s="445"/>
      <c r="I161" s="445"/>
      <c r="J161" s="445"/>
      <c r="K161" s="445"/>
      <c r="L161" s="445"/>
      <c r="M161" s="445"/>
      <c r="N161" s="445"/>
      <c r="O161" s="160"/>
      <c r="P161" s="160"/>
    </row>
    <row r="162" spans="2:16" x14ac:dyDescent="0.25">
      <c r="O162" s="160"/>
      <c r="P162" s="160"/>
    </row>
    <row r="163" spans="2:16" ht="15.5" x14ac:dyDescent="0.35">
      <c r="B163" s="221" t="s">
        <v>0</v>
      </c>
      <c r="C163" s="273" t="s">
        <v>230</v>
      </c>
      <c r="D163" s="198"/>
      <c r="E163" s="371"/>
      <c r="F163" s="160"/>
      <c r="G163" s="160"/>
      <c r="L163" s="262"/>
      <c r="M163" s="684" t="str">
        <f>B163</f>
        <v>Units</v>
      </c>
      <c r="N163" s="684" t="str">
        <f>C163</f>
        <v>Global-Telecom</v>
      </c>
      <c r="O163" s="160"/>
      <c r="P163" s="160"/>
    </row>
    <row r="164" spans="2:16" x14ac:dyDescent="0.25">
      <c r="B164" s="225" t="s">
        <v>10</v>
      </c>
      <c r="C164" s="7" t="s">
        <v>11</v>
      </c>
      <c r="D164" s="226" t="s">
        <v>12</v>
      </c>
      <c r="E164" s="39">
        <v>2016</v>
      </c>
      <c r="F164" s="7">
        <v>2017</v>
      </c>
      <c r="G164" s="7">
        <v>2018</v>
      </c>
      <c r="H164" s="7">
        <v>2019</v>
      </c>
      <c r="I164" s="7">
        <v>2020</v>
      </c>
      <c r="J164" s="7">
        <v>2021</v>
      </c>
      <c r="K164" s="7">
        <v>2022</v>
      </c>
      <c r="L164" s="7">
        <v>2023</v>
      </c>
      <c r="M164" s="7">
        <v>2024</v>
      </c>
      <c r="N164" s="7">
        <v>2025</v>
      </c>
      <c r="O164" s="160"/>
      <c r="P164" s="160"/>
    </row>
    <row r="165" spans="2:16" x14ac:dyDescent="0.25">
      <c r="B165" s="388" t="str">
        <f t="shared" ref="B165:B182" si="80">B30</f>
        <v>1 G</v>
      </c>
      <c r="C165" s="395" t="s">
        <v>20</v>
      </c>
      <c r="D165" s="203" t="s">
        <v>20</v>
      </c>
      <c r="E165" s="696">
        <v>2326961.3649000004</v>
      </c>
      <c r="F165" s="696">
        <v>1883226.09</v>
      </c>
      <c r="G165" s="696"/>
      <c r="H165" s="696"/>
      <c r="I165" s="696"/>
      <c r="J165" s="696"/>
      <c r="K165" s="696"/>
      <c r="L165" s="696"/>
      <c r="M165" s="696"/>
      <c r="N165" s="696"/>
      <c r="O165" s="160"/>
      <c r="P165" s="160"/>
    </row>
    <row r="166" spans="2:16" x14ac:dyDescent="0.25">
      <c r="B166" s="388" t="str">
        <f t="shared" si="80"/>
        <v>10 G</v>
      </c>
      <c r="C166" s="395" t="s">
        <v>20</v>
      </c>
      <c r="D166" s="203" t="s">
        <v>20</v>
      </c>
      <c r="E166" s="696">
        <v>1736055.0386132007</v>
      </c>
      <c r="F166" s="696">
        <v>1662445.2984692547</v>
      </c>
      <c r="G166" s="696"/>
      <c r="H166" s="696"/>
      <c r="I166" s="696"/>
      <c r="J166" s="696"/>
      <c r="K166" s="696"/>
      <c r="L166" s="696"/>
      <c r="M166" s="696"/>
      <c r="N166" s="696"/>
      <c r="O166" s="160"/>
      <c r="P166" s="160"/>
    </row>
    <row r="167" spans="2:16" ht="13" x14ac:dyDescent="0.3">
      <c r="B167" s="388" t="str">
        <f t="shared" si="80"/>
        <v>25 G</v>
      </c>
      <c r="C167" s="395" t="s">
        <v>20</v>
      </c>
      <c r="D167" s="282" t="s">
        <v>154</v>
      </c>
      <c r="E167" s="696">
        <v>1364.3999999999999</v>
      </c>
      <c r="F167" s="696">
        <v>5238.5999999999995</v>
      </c>
      <c r="G167" s="696"/>
      <c r="H167" s="696"/>
      <c r="I167" s="696"/>
      <c r="J167" s="696"/>
      <c r="K167" s="696"/>
      <c r="L167" s="696"/>
      <c r="M167" s="696"/>
      <c r="N167" s="696"/>
      <c r="O167" s="160"/>
      <c r="P167" s="160"/>
    </row>
    <row r="168" spans="2:16" x14ac:dyDescent="0.25">
      <c r="B168" s="199" t="str">
        <f t="shared" si="80"/>
        <v>40 G</v>
      </c>
      <c r="C168" s="321" t="s">
        <v>161</v>
      </c>
      <c r="D168" s="199" t="s">
        <v>137</v>
      </c>
      <c r="E168" s="696">
        <v>45760.2</v>
      </c>
      <c r="F168" s="696">
        <v>63017.350000000006</v>
      </c>
      <c r="G168" s="696"/>
      <c r="H168" s="696"/>
      <c r="I168" s="696"/>
      <c r="J168" s="696"/>
      <c r="K168" s="696"/>
      <c r="L168" s="696"/>
      <c r="M168" s="696"/>
      <c r="N168" s="696"/>
      <c r="O168" s="160"/>
      <c r="P168" s="160"/>
    </row>
    <row r="169" spans="2:16" x14ac:dyDescent="0.25">
      <c r="B169" s="203" t="str">
        <f t="shared" si="80"/>
        <v>40 G PSM4</v>
      </c>
      <c r="C169" s="391" t="s">
        <v>22</v>
      </c>
      <c r="D169" s="203" t="s">
        <v>137</v>
      </c>
      <c r="E169" s="696">
        <v>0</v>
      </c>
      <c r="F169" s="696">
        <v>0</v>
      </c>
      <c r="G169" s="696"/>
      <c r="H169" s="696"/>
      <c r="I169" s="696"/>
      <c r="J169" s="696"/>
      <c r="K169" s="696"/>
      <c r="L169" s="696"/>
      <c r="M169" s="696"/>
      <c r="N169" s="696"/>
      <c r="O169" s="160"/>
      <c r="P169" s="160"/>
    </row>
    <row r="170" spans="2:16" x14ac:dyDescent="0.25">
      <c r="B170" s="797" t="str">
        <f t="shared" si="80"/>
        <v xml:space="preserve">40 G </v>
      </c>
      <c r="C170" s="800" t="s">
        <v>23</v>
      </c>
      <c r="D170" s="298" t="s">
        <v>146</v>
      </c>
      <c r="E170" s="696">
        <v>791</v>
      </c>
      <c r="F170" s="696">
        <v>402</v>
      </c>
      <c r="G170" s="696"/>
      <c r="H170" s="696"/>
      <c r="I170" s="696"/>
      <c r="J170" s="696"/>
      <c r="K170" s="696"/>
      <c r="L170" s="696"/>
      <c r="M170" s="696"/>
      <c r="N170" s="696"/>
      <c r="O170" s="160"/>
      <c r="P170" s="160"/>
    </row>
    <row r="171" spans="2:16" ht="25" x14ac:dyDescent="0.25">
      <c r="B171" s="798"/>
      <c r="C171" s="801"/>
      <c r="D171" s="299" t="s">
        <v>147</v>
      </c>
      <c r="E171" s="696">
        <v>0</v>
      </c>
      <c r="F171" s="696">
        <v>0</v>
      </c>
      <c r="G171" s="696"/>
      <c r="H171" s="696"/>
      <c r="I171" s="696"/>
      <c r="J171" s="696"/>
      <c r="K171" s="696"/>
      <c r="L171" s="696"/>
      <c r="M171" s="696"/>
      <c r="N171" s="696"/>
      <c r="O171" s="160"/>
      <c r="P171" s="160"/>
    </row>
    <row r="172" spans="2:16" x14ac:dyDescent="0.25">
      <c r="B172" s="798"/>
      <c r="C172" s="391" t="s">
        <v>24</v>
      </c>
      <c r="D172" s="202" t="s">
        <v>20</v>
      </c>
      <c r="E172" s="696">
        <v>6322.25</v>
      </c>
      <c r="F172" s="696">
        <v>2703.7</v>
      </c>
      <c r="G172" s="696"/>
      <c r="H172" s="696"/>
      <c r="I172" s="696"/>
      <c r="J172" s="696"/>
      <c r="K172" s="696"/>
      <c r="L172" s="696"/>
      <c r="M172" s="696"/>
      <c r="N172" s="696"/>
      <c r="O172" s="160"/>
      <c r="P172" s="160"/>
    </row>
    <row r="173" spans="2:16" x14ac:dyDescent="0.25">
      <c r="B173" s="799"/>
      <c r="C173" s="171" t="s">
        <v>25</v>
      </c>
      <c r="D173" s="202" t="s">
        <v>20</v>
      </c>
      <c r="E173" s="696">
        <v>1468.2</v>
      </c>
      <c r="F173" s="696">
        <v>1249.3599999999999</v>
      </c>
      <c r="G173" s="696"/>
      <c r="H173" s="696"/>
      <c r="I173" s="696"/>
      <c r="J173" s="696"/>
      <c r="K173" s="696"/>
      <c r="L173" s="696"/>
      <c r="M173" s="696"/>
      <c r="N173" s="696"/>
      <c r="O173" s="160"/>
      <c r="P173" s="160"/>
    </row>
    <row r="174" spans="2:16" x14ac:dyDescent="0.25">
      <c r="B174" s="393" t="str">
        <f t="shared" si="80"/>
        <v>50 G</v>
      </c>
      <c r="C174" s="391" t="s">
        <v>60</v>
      </c>
      <c r="D174" s="202" t="s">
        <v>20</v>
      </c>
      <c r="E174" s="696">
        <v>0</v>
      </c>
      <c r="F174" s="696">
        <v>0</v>
      </c>
      <c r="G174" s="696"/>
      <c r="H174" s="696"/>
      <c r="I174" s="696"/>
      <c r="J174" s="696"/>
      <c r="K174" s="696"/>
      <c r="L174" s="696"/>
      <c r="M174" s="696"/>
      <c r="N174" s="696"/>
      <c r="O174" s="160"/>
      <c r="P174" s="160"/>
    </row>
    <row r="175" spans="2:16" x14ac:dyDescent="0.25">
      <c r="B175" s="802" t="str">
        <f t="shared" si="80"/>
        <v>100 G</v>
      </c>
      <c r="C175" s="391" t="s">
        <v>161</v>
      </c>
      <c r="D175" s="202" t="s">
        <v>20</v>
      </c>
      <c r="E175" s="696">
        <v>19183</v>
      </c>
      <c r="F175" s="696">
        <v>9182</v>
      </c>
      <c r="G175" s="696"/>
      <c r="H175" s="696"/>
      <c r="I175" s="696"/>
      <c r="J175" s="696"/>
      <c r="K175" s="696"/>
      <c r="L175" s="696"/>
      <c r="M175" s="696"/>
      <c r="N175" s="696"/>
      <c r="O175" s="160"/>
      <c r="P175" s="160"/>
    </row>
    <row r="176" spans="2:16" x14ac:dyDescent="0.25">
      <c r="B176" s="803"/>
      <c r="C176" s="395" t="s">
        <v>22</v>
      </c>
      <c r="D176" s="203" t="s">
        <v>162</v>
      </c>
      <c r="E176" s="696">
        <v>0</v>
      </c>
      <c r="F176" s="696">
        <v>0</v>
      </c>
      <c r="G176" s="696"/>
      <c r="H176" s="696"/>
      <c r="I176" s="696"/>
      <c r="J176" s="696"/>
      <c r="K176" s="696"/>
      <c r="L176" s="696"/>
      <c r="M176" s="696"/>
      <c r="N176" s="696"/>
      <c r="O176" s="160"/>
      <c r="P176" s="160"/>
    </row>
    <row r="177" spans="2:32" x14ac:dyDescent="0.25">
      <c r="B177" s="803"/>
      <c r="C177" s="391" t="s">
        <v>23</v>
      </c>
      <c r="D177" s="394" t="s">
        <v>162</v>
      </c>
      <c r="E177" s="696">
        <v>0</v>
      </c>
      <c r="F177" s="696">
        <v>0</v>
      </c>
      <c r="G177" s="696"/>
      <c r="H177" s="696"/>
      <c r="I177" s="696"/>
      <c r="J177" s="696"/>
      <c r="K177" s="696"/>
      <c r="L177" s="696"/>
      <c r="M177" s="696"/>
      <c r="N177" s="696"/>
      <c r="O177" s="160"/>
      <c r="P177" s="160"/>
    </row>
    <row r="178" spans="2:32" x14ac:dyDescent="0.25">
      <c r="B178" s="803"/>
      <c r="C178" s="391" t="s">
        <v>163</v>
      </c>
      <c r="D178" s="202" t="s">
        <v>20</v>
      </c>
      <c r="E178" s="696">
        <v>220267.6</v>
      </c>
      <c r="F178" s="696">
        <v>254256.59999999998</v>
      </c>
      <c r="G178" s="696"/>
      <c r="H178" s="696"/>
      <c r="I178" s="696"/>
      <c r="J178" s="696"/>
      <c r="K178" s="696"/>
      <c r="L178" s="696"/>
      <c r="M178" s="696"/>
      <c r="N178" s="696"/>
      <c r="O178" s="160"/>
      <c r="P178" s="160"/>
    </row>
    <row r="179" spans="2:32" x14ac:dyDescent="0.25">
      <c r="B179" s="804"/>
      <c r="C179" s="171" t="s">
        <v>25</v>
      </c>
      <c r="D179" s="199" t="s">
        <v>20</v>
      </c>
      <c r="E179" s="696">
        <v>7456</v>
      </c>
      <c r="F179" s="696">
        <v>10272</v>
      </c>
      <c r="G179" s="696"/>
      <c r="H179" s="696"/>
      <c r="I179" s="696"/>
      <c r="J179" s="696"/>
      <c r="K179" s="696"/>
      <c r="L179" s="696"/>
      <c r="M179" s="696"/>
      <c r="N179" s="696"/>
      <c r="O179" s="160"/>
      <c r="P179" s="160"/>
    </row>
    <row r="180" spans="2:32" x14ac:dyDescent="0.25">
      <c r="B180" s="390" t="str">
        <f t="shared" si="80"/>
        <v>200 G</v>
      </c>
      <c r="C180" s="203" t="s">
        <v>20</v>
      </c>
      <c r="D180" s="203" t="s">
        <v>20</v>
      </c>
      <c r="E180" s="696">
        <v>0</v>
      </c>
      <c r="F180" s="696">
        <v>0</v>
      </c>
      <c r="G180" s="696"/>
      <c r="H180" s="696"/>
      <c r="I180" s="696"/>
      <c r="J180" s="696"/>
      <c r="K180" s="696"/>
      <c r="L180" s="696"/>
      <c r="M180" s="696"/>
      <c r="N180" s="696"/>
      <c r="O180" s="160"/>
      <c r="P180" s="160"/>
    </row>
    <row r="181" spans="2:32" x14ac:dyDescent="0.25">
      <c r="B181" s="203" t="str">
        <f t="shared" si="80"/>
        <v>400 G</v>
      </c>
      <c r="C181" s="203" t="s">
        <v>20</v>
      </c>
      <c r="D181" s="203" t="s">
        <v>20</v>
      </c>
      <c r="E181" s="696">
        <v>0</v>
      </c>
      <c r="F181" s="696">
        <v>82</v>
      </c>
      <c r="G181" s="696"/>
      <c r="H181" s="696"/>
      <c r="I181" s="696"/>
      <c r="J181" s="696"/>
      <c r="K181" s="696"/>
      <c r="L181" s="696"/>
      <c r="M181" s="696"/>
      <c r="N181" s="696"/>
      <c r="O181" s="160"/>
      <c r="P181" s="160"/>
    </row>
    <row r="182" spans="2:32" s="160" customFormat="1" x14ac:dyDescent="0.25">
      <c r="B182" s="203" t="str">
        <f t="shared" si="80"/>
        <v>800 G</v>
      </c>
      <c r="C182" s="203" t="s">
        <v>20</v>
      </c>
      <c r="D182" s="203" t="s">
        <v>20</v>
      </c>
      <c r="E182" s="696">
        <v>0</v>
      </c>
      <c r="F182" s="696">
        <v>0</v>
      </c>
      <c r="G182" s="696"/>
      <c r="H182" s="696"/>
      <c r="I182" s="696"/>
      <c r="J182" s="696"/>
      <c r="K182" s="696"/>
      <c r="L182" s="696"/>
      <c r="M182" s="696"/>
      <c r="N182" s="696"/>
    </row>
    <row r="183" spans="2:32" x14ac:dyDescent="0.25">
      <c r="B183" s="206" t="s">
        <v>9</v>
      </c>
      <c r="C183" s="203" t="s">
        <v>20</v>
      </c>
      <c r="D183" s="203" t="s">
        <v>20</v>
      </c>
      <c r="E183" s="345">
        <f t="shared" ref="E183:N183" si="81">SUM(E165:E182)</f>
        <v>4365629.053513201</v>
      </c>
      <c r="F183" s="345">
        <f t="shared" si="81"/>
        <v>3892074.9984692549</v>
      </c>
      <c r="G183" s="345"/>
      <c r="H183" s="345"/>
      <c r="I183" s="345"/>
      <c r="J183" s="345"/>
      <c r="K183" s="345"/>
      <c r="L183" s="345"/>
      <c r="M183" s="345"/>
      <c r="N183" s="345"/>
      <c r="O183" s="160"/>
      <c r="P183" s="160"/>
      <c r="Q183" s="160"/>
      <c r="R183" s="160"/>
      <c r="S183" s="160"/>
      <c r="T183" s="160"/>
      <c r="U183" s="160"/>
      <c r="V183" s="160"/>
      <c r="W183" s="160"/>
      <c r="X183" s="160"/>
      <c r="Y183" s="160"/>
      <c r="Z183" s="160"/>
      <c r="AA183" s="160"/>
      <c r="AB183" s="160"/>
      <c r="AC183" s="160"/>
      <c r="AD183" s="160"/>
      <c r="AE183" s="160"/>
      <c r="AF183" s="160"/>
    </row>
    <row r="184" spans="2:32" x14ac:dyDescent="0.25">
      <c r="B184" s="160"/>
      <c r="C184" s="160"/>
      <c r="D184" s="207"/>
      <c r="E184" s="8"/>
      <c r="F184" s="8">
        <f t="shared" ref="F184:N184" si="82">IF(E183=0,"",F183/E183-1)</f>
        <v>-0.10847326908429322</v>
      </c>
      <c r="G184" s="8"/>
      <c r="H184" s="8"/>
      <c r="I184" s="8"/>
      <c r="J184" s="8"/>
      <c r="K184" s="8"/>
      <c r="L184" s="8"/>
      <c r="M184" s="8"/>
      <c r="N184" s="8"/>
      <c r="O184" s="160"/>
      <c r="P184" s="160"/>
      <c r="Q184" s="160"/>
      <c r="R184" s="160"/>
      <c r="S184" s="160"/>
      <c r="T184" s="160"/>
      <c r="U184" s="160"/>
      <c r="V184" s="160"/>
      <c r="W184" s="160"/>
      <c r="X184" s="160"/>
      <c r="Y184" s="160"/>
      <c r="Z184" s="160"/>
      <c r="AA184" s="160"/>
      <c r="AB184" s="160"/>
      <c r="AC184" s="160"/>
      <c r="AD184" s="160"/>
      <c r="AE184" s="160"/>
      <c r="AF184" s="160"/>
    </row>
    <row r="185" spans="2:32" ht="13" x14ac:dyDescent="0.3">
      <c r="B185" s="220" t="s">
        <v>53</v>
      </c>
      <c r="C185" s="273" t="str">
        <f>$C$163</f>
        <v>Global-Telecom</v>
      </c>
      <c r="D185" s="198"/>
      <c r="E185" s="198"/>
      <c r="F185" s="198"/>
      <c r="G185" s="198"/>
      <c r="H185" s="198"/>
      <c r="I185" s="198"/>
      <c r="J185" s="198"/>
      <c r="K185" s="198"/>
      <c r="L185" s="198"/>
      <c r="M185" s="198"/>
      <c r="N185" s="198"/>
      <c r="O185" s="198"/>
      <c r="P185" s="198"/>
    </row>
    <row r="186" spans="2:32" x14ac:dyDescent="0.25">
      <c r="B186" s="227" t="s">
        <v>10</v>
      </c>
      <c r="C186" s="129" t="s">
        <v>11</v>
      </c>
      <c r="D186" s="228" t="s">
        <v>12</v>
      </c>
      <c r="E186" s="136">
        <v>2016</v>
      </c>
      <c r="F186" s="129">
        <v>2017</v>
      </c>
      <c r="G186" s="129">
        <v>2018</v>
      </c>
      <c r="H186" s="129">
        <v>2019</v>
      </c>
      <c r="I186" s="129">
        <v>2020</v>
      </c>
      <c r="J186" s="129">
        <v>2021</v>
      </c>
      <c r="K186" s="129">
        <v>2022</v>
      </c>
      <c r="L186" s="129">
        <v>2023</v>
      </c>
      <c r="M186" s="129">
        <v>2024</v>
      </c>
      <c r="N186" s="129">
        <v>2025</v>
      </c>
      <c r="O186" s="160"/>
    </row>
    <row r="187" spans="2:32" x14ac:dyDescent="0.25">
      <c r="B187" s="388" t="str">
        <f t="shared" ref="B187:B204" si="83">B30</f>
        <v>1 G</v>
      </c>
      <c r="C187" s="395" t="str">
        <f>C165</f>
        <v>All</v>
      </c>
      <c r="D187" s="395" t="str">
        <f>D165</f>
        <v>All</v>
      </c>
      <c r="E187" s="294">
        <f t="shared" ref="E187:L187" si="84">IF(E165=0,,E208*10^6/E165)</f>
        <v>13.444345309797832</v>
      </c>
      <c r="F187" s="294">
        <f t="shared" si="84"/>
        <v>11.752073385560035</v>
      </c>
      <c r="G187" s="294"/>
      <c r="H187" s="294"/>
      <c r="I187" s="294"/>
      <c r="J187" s="294"/>
      <c r="K187" s="294"/>
      <c r="L187" s="297"/>
      <c r="M187" s="297"/>
      <c r="N187" s="297"/>
      <c r="O187" s="160"/>
    </row>
    <row r="188" spans="2:32" x14ac:dyDescent="0.25">
      <c r="B188" s="388" t="str">
        <f t="shared" si="83"/>
        <v>10 G</v>
      </c>
      <c r="C188" s="395" t="str">
        <f>C166</f>
        <v>All</v>
      </c>
      <c r="D188" s="395" t="str">
        <f>D166</f>
        <v>All</v>
      </c>
      <c r="E188" s="294">
        <f t="shared" ref="E188:L188" si="85">IF(E166=0,,E209*10^6/E166)</f>
        <v>84.790693409687535</v>
      </c>
      <c r="F188" s="294">
        <f>IF(F166=0,,F209*10^6/F166)</f>
        <v>61.820946986524518</v>
      </c>
      <c r="G188" s="294"/>
      <c r="H188" s="294"/>
      <c r="I188" s="294"/>
      <c r="J188" s="294"/>
      <c r="K188" s="294"/>
      <c r="L188" s="297"/>
      <c r="M188" s="297"/>
      <c r="N188" s="297"/>
      <c r="O188" s="160"/>
    </row>
    <row r="189" spans="2:32" ht="13" x14ac:dyDescent="0.3">
      <c r="B189" s="388" t="str">
        <f t="shared" si="83"/>
        <v>25 G</v>
      </c>
      <c r="C189" s="395" t="str">
        <f>C168</f>
        <v>100-300 m</v>
      </c>
      <c r="D189" s="282" t="s">
        <v>154</v>
      </c>
      <c r="E189" s="294">
        <f t="shared" ref="E189:L189" si="86">IF(E167=0,,E210*10^6/E167)</f>
        <v>456.24032541776603</v>
      </c>
      <c r="F189" s="294">
        <f t="shared" si="86"/>
        <v>324.10355668962507</v>
      </c>
      <c r="G189" s="294"/>
      <c r="H189" s="294"/>
      <c r="I189" s="294"/>
      <c r="J189" s="294"/>
      <c r="K189" s="294"/>
      <c r="L189" s="297"/>
      <c r="M189" s="297"/>
      <c r="N189" s="297"/>
      <c r="O189" s="160"/>
    </row>
    <row r="190" spans="2:32" x14ac:dyDescent="0.25">
      <c r="B190" s="199" t="str">
        <f t="shared" si="83"/>
        <v>40 G</v>
      </c>
      <c r="C190" s="391" t="s">
        <v>21</v>
      </c>
      <c r="D190" s="199" t="s">
        <v>55</v>
      </c>
      <c r="E190" s="294">
        <f t="shared" ref="E190:L190" si="87">IF(E168=0,,E211*10^6/E168)</f>
        <v>99.624177253256008</v>
      </c>
      <c r="F190" s="294">
        <f t="shared" si="87"/>
        <v>80.609108343448838</v>
      </c>
      <c r="G190" s="294"/>
      <c r="H190" s="294"/>
      <c r="I190" s="294"/>
      <c r="J190" s="294"/>
      <c r="K190" s="294"/>
      <c r="L190" s="297"/>
      <c r="M190" s="297"/>
      <c r="N190" s="297"/>
      <c r="O190" s="160"/>
    </row>
    <row r="191" spans="2:32" x14ac:dyDescent="0.25">
      <c r="B191" s="203" t="str">
        <f t="shared" si="83"/>
        <v>40 G PSM4</v>
      </c>
      <c r="C191" s="395" t="s">
        <v>22</v>
      </c>
      <c r="D191" s="203" t="s">
        <v>137</v>
      </c>
      <c r="E191" s="294">
        <f t="shared" ref="E191:L191" si="88">IF(E169=0,,E212*10^6/E169)</f>
        <v>0</v>
      </c>
      <c r="F191" s="294">
        <f t="shared" si="88"/>
        <v>0</v>
      </c>
      <c r="G191" s="294"/>
      <c r="H191" s="294"/>
      <c r="I191" s="294"/>
      <c r="J191" s="294"/>
      <c r="K191" s="294"/>
      <c r="L191" s="297"/>
      <c r="M191" s="297"/>
      <c r="N191" s="297"/>
      <c r="O191" s="160"/>
    </row>
    <row r="192" spans="2:32" x14ac:dyDescent="0.25">
      <c r="B192" s="797" t="str">
        <f t="shared" si="83"/>
        <v xml:space="preserve">40 G </v>
      </c>
      <c r="C192" s="805" t="s">
        <v>23</v>
      </c>
      <c r="D192" s="392" t="s">
        <v>146</v>
      </c>
      <c r="E192" s="294">
        <f t="shared" ref="E192:L192" si="89">IF(E170=0,,E213*10^6/E170)</f>
        <v>4569.894941368153</v>
      </c>
      <c r="F192" s="294">
        <f t="shared" si="89"/>
        <v>5251.681208639473</v>
      </c>
      <c r="G192" s="294"/>
      <c r="H192" s="294"/>
      <c r="I192" s="294"/>
      <c r="J192" s="294"/>
      <c r="K192" s="294"/>
      <c r="L192" s="297"/>
      <c r="M192" s="297"/>
      <c r="N192" s="297"/>
      <c r="O192" s="160"/>
    </row>
    <row r="193" spans="2:15" ht="25" x14ac:dyDescent="0.25">
      <c r="B193" s="798"/>
      <c r="C193" s="806"/>
      <c r="D193" s="394" t="s">
        <v>147</v>
      </c>
      <c r="E193" s="294">
        <f t="shared" ref="E193:L193" si="90">IF(E171=0,,E214*10^6/E171)</f>
        <v>0</v>
      </c>
      <c r="F193" s="294">
        <f t="shared" si="90"/>
        <v>0</v>
      </c>
      <c r="G193" s="294"/>
      <c r="H193" s="294"/>
      <c r="I193" s="294"/>
      <c r="J193" s="294"/>
      <c r="K193" s="294"/>
      <c r="L193" s="297"/>
      <c r="M193" s="297"/>
      <c r="N193" s="297"/>
      <c r="O193" s="160"/>
    </row>
    <row r="194" spans="2:15" x14ac:dyDescent="0.25">
      <c r="B194" s="798"/>
      <c r="C194" s="395" t="s">
        <v>24</v>
      </c>
      <c r="D194" s="202" t="s">
        <v>20</v>
      </c>
      <c r="E194" s="294">
        <f t="shared" ref="E194:L194" si="91">IF(E172=0,,E215*10^6/E172)</f>
        <v>1174.9655306999969</v>
      </c>
      <c r="F194" s="294">
        <f t="shared" si="91"/>
        <v>1350.8997571323105</v>
      </c>
      <c r="G194" s="294"/>
      <c r="H194" s="294"/>
      <c r="I194" s="294"/>
      <c r="J194" s="294"/>
      <c r="K194" s="294"/>
      <c r="L194" s="297"/>
      <c r="M194" s="297"/>
      <c r="N194" s="297"/>
      <c r="O194" s="160"/>
    </row>
    <row r="195" spans="2:15" x14ac:dyDescent="0.25">
      <c r="B195" s="799"/>
      <c r="C195" s="170" t="s">
        <v>25</v>
      </c>
      <c r="D195" s="203" t="str">
        <f t="shared" ref="D195:D202" si="92">D173</f>
        <v>All</v>
      </c>
      <c r="E195" s="294">
        <f t="shared" ref="E195:L195" si="93">IF(E173=0,,E216*10^6/E173)</f>
        <v>1673.0572324239706</v>
      </c>
      <c r="F195" s="294">
        <f t="shared" si="93"/>
        <v>1459.2330281290015</v>
      </c>
      <c r="G195" s="294"/>
      <c r="H195" s="294"/>
      <c r="I195" s="294"/>
      <c r="J195" s="294"/>
      <c r="K195" s="294"/>
      <c r="L195" s="297"/>
      <c r="M195" s="297"/>
      <c r="N195" s="297"/>
      <c r="O195" s="160"/>
    </row>
    <row r="196" spans="2:15" x14ac:dyDescent="0.25">
      <c r="B196" s="393" t="str">
        <f t="shared" si="83"/>
        <v>50 G</v>
      </c>
      <c r="C196" s="395" t="str">
        <f>C174</f>
        <v>all</v>
      </c>
      <c r="D196" s="203" t="str">
        <f t="shared" si="92"/>
        <v>All</v>
      </c>
      <c r="E196" s="294">
        <f t="shared" ref="E196:L196" si="94">IF(E174=0,,E217*10^6/E174)</f>
        <v>0</v>
      </c>
      <c r="F196" s="294">
        <f t="shared" si="94"/>
        <v>0</v>
      </c>
      <c r="G196" s="294"/>
      <c r="H196" s="294"/>
      <c r="I196" s="294"/>
      <c r="J196" s="294"/>
      <c r="K196" s="294"/>
      <c r="L196" s="297"/>
      <c r="M196" s="297"/>
      <c r="N196" s="297"/>
      <c r="O196" s="160"/>
    </row>
    <row r="197" spans="2:15" x14ac:dyDescent="0.25">
      <c r="B197" s="802" t="str">
        <f t="shared" si="83"/>
        <v>100 G</v>
      </c>
      <c r="C197" s="391" t="str">
        <f>C175</f>
        <v>100-300 m</v>
      </c>
      <c r="D197" s="203" t="str">
        <f t="shared" si="92"/>
        <v>All</v>
      </c>
      <c r="E197" s="294">
        <f t="shared" ref="E197:L197" si="95">IF(E175=0,,E218*10^6/E175)</f>
        <v>1373.089819110671</v>
      </c>
      <c r="F197" s="294">
        <f t="shared" si="95"/>
        <v>1228.7228272707475</v>
      </c>
      <c r="G197" s="294"/>
      <c r="H197" s="294"/>
      <c r="I197" s="294"/>
      <c r="J197" s="294"/>
      <c r="K197" s="294"/>
      <c r="L197" s="297"/>
      <c r="M197" s="297"/>
      <c r="N197" s="297"/>
      <c r="O197" s="160"/>
    </row>
    <row r="198" spans="2:15" x14ac:dyDescent="0.25">
      <c r="B198" s="803"/>
      <c r="C198" s="391" t="s">
        <v>22</v>
      </c>
      <c r="D198" s="203" t="str">
        <f t="shared" si="92"/>
        <v>QSFP28</v>
      </c>
      <c r="E198" s="294">
        <f t="shared" ref="E198:L198" si="96">IF(E176=0,,E219*10^6/E176)</f>
        <v>0</v>
      </c>
      <c r="F198" s="294">
        <f t="shared" si="96"/>
        <v>0</v>
      </c>
      <c r="G198" s="294"/>
      <c r="H198" s="294"/>
      <c r="I198" s="294"/>
      <c r="J198" s="294"/>
      <c r="K198" s="294"/>
      <c r="L198" s="297"/>
      <c r="M198" s="297"/>
      <c r="N198" s="297"/>
      <c r="O198" s="160"/>
    </row>
    <row r="199" spans="2:15" x14ac:dyDescent="0.25">
      <c r="B199" s="803"/>
      <c r="C199" s="395" t="str">
        <f>C177</f>
        <v>2 km</v>
      </c>
      <c r="D199" s="394" t="str">
        <f t="shared" si="92"/>
        <v>QSFP28</v>
      </c>
      <c r="E199" s="294">
        <f t="shared" ref="E199:L199" si="97">IF(E177=0,,E220*10^6/E177)</f>
        <v>0</v>
      </c>
      <c r="F199" s="294">
        <f t="shared" si="97"/>
        <v>0</v>
      </c>
      <c r="G199" s="294"/>
      <c r="H199" s="294"/>
      <c r="I199" s="294"/>
      <c r="J199" s="294"/>
      <c r="K199" s="294"/>
      <c r="L199" s="297"/>
      <c r="M199" s="297"/>
      <c r="N199" s="297"/>
      <c r="O199" s="160"/>
    </row>
    <row r="200" spans="2:15" x14ac:dyDescent="0.25">
      <c r="B200" s="803"/>
      <c r="C200" s="395" t="str">
        <f>C178</f>
        <v>10-20 km</v>
      </c>
      <c r="D200" s="389" t="str">
        <f t="shared" si="92"/>
        <v>All</v>
      </c>
      <c r="E200" s="294">
        <f t="shared" ref="E200:L200" si="98">IF(E178=0,,E221*10^6/E178)</f>
        <v>3127.0662136529249</v>
      </c>
      <c r="F200" s="294">
        <f t="shared" si="98"/>
        <v>1904.5783558413559</v>
      </c>
      <c r="G200" s="294"/>
      <c r="H200" s="294"/>
      <c r="I200" s="294"/>
      <c r="J200" s="294"/>
      <c r="K200" s="294"/>
      <c r="L200" s="297"/>
      <c r="M200" s="297"/>
      <c r="N200" s="297"/>
      <c r="O200" s="160"/>
    </row>
    <row r="201" spans="2:15" x14ac:dyDescent="0.25">
      <c r="B201" s="804"/>
      <c r="C201" s="170" t="str">
        <f>C179</f>
        <v>40 km</v>
      </c>
      <c r="D201" s="199" t="str">
        <f t="shared" si="92"/>
        <v>All</v>
      </c>
      <c r="E201" s="294">
        <f t="shared" ref="E201:L201" si="99">IF(E179=0,,E222*10^6/E179)</f>
        <v>8992.3605424008583</v>
      </c>
      <c r="F201" s="294">
        <f t="shared" si="99"/>
        <v>6042.927196558162</v>
      </c>
      <c r="G201" s="294"/>
      <c r="H201" s="294"/>
      <c r="I201" s="294"/>
      <c r="J201" s="294"/>
      <c r="K201" s="294"/>
      <c r="L201" s="297"/>
      <c r="M201" s="297"/>
      <c r="N201" s="297"/>
      <c r="O201" s="160"/>
    </row>
    <row r="202" spans="2:15" x14ac:dyDescent="0.25">
      <c r="B202" s="201" t="str">
        <f t="shared" si="83"/>
        <v>200 G</v>
      </c>
      <c r="C202" s="203" t="str">
        <f>C180</f>
        <v>All</v>
      </c>
      <c r="D202" s="203" t="str">
        <f t="shared" si="92"/>
        <v>All</v>
      </c>
      <c r="E202" s="294">
        <f t="shared" ref="E202:L202" si="100">IF(E180=0,,E223*10^6/E180)</f>
        <v>0</v>
      </c>
      <c r="F202" s="294">
        <f t="shared" si="100"/>
        <v>0</v>
      </c>
      <c r="G202" s="294"/>
      <c r="H202" s="294"/>
      <c r="I202" s="294"/>
      <c r="J202" s="294"/>
      <c r="K202" s="294"/>
      <c r="L202" s="297"/>
      <c r="M202" s="297"/>
      <c r="N202" s="297"/>
      <c r="O202" s="160"/>
    </row>
    <row r="203" spans="2:15" x14ac:dyDescent="0.25">
      <c r="B203" s="201" t="str">
        <f t="shared" si="83"/>
        <v>400 G</v>
      </c>
      <c r="C203" s="203" t="s">
        <v>20</v>
      </c>
      <c r="D203" s="203" t="s">
        <v>20</v>
      </c>
      <c r="E203" s="295">
        <f t="shared" ref="E203:L204" si="101">IF(E181=0,,E224*10^6/E181)</f>
        <v>0</v>
      </c>
      <c r="F203" s="295">
        <f t="shared" si="101"/>
        <v>15451.219512195123</v>
      </c>
      <c r="G203" s="295"/>
      <c r="H203" s="295"/>
      <c r="I203" s="295"/>
      <c r="J203" s="295"/>
      <c r="K203" s="295"/>
      <c r="L203" s="296"/>
      <c r="M203" s="296"/>
      <c r="N203" s="296"/>
      <c r="O203" s="160"/>
    </row>
    <row r="204" spans="2:15" s="160" customFormat="1" x14ac:dyDescent="0.25">
      <c r="B204" s="201" t="str">
        <f t="shared" si="83"/>
        <v>800 G</v>
      </c>
      <c r="C204" s="203" t="s">
        <v>20</v>
      </c>
      <c r="D204" s="203" t="s">
        <v>20</v>
      </c>
      <c r="E204" s="295">
        <f t="shared" si="101"/>
        <v>0</v>
      </c>
      <c r="F204" s="295">
        <f t="shared" si="101"/>
        <v>0</v>
      </c>
      <c r="G204" s="295"/>
      <c r="H204" s="295"/>
      <c r="I204" s="295"/>
      <c r="J204" s="295"/>
      <c r="K204" s="295"/>
      <c r="L204" s="296"/>
      <c r="M204" s="296"/>
      <c r="N204" s="296"/>
    </row>
    <row r="205" spans="2:15" x14ac:dyDescent="0.25">
      <c r="B205" s="387"/>
      <c r="C205" s="160"/>
      <c r="D205" s="207"/>
      <c r="E205" s="2"/>
      <c r="F205" s="2"/>
      <c r="G205" s="2"/>
      <c r="H205" s="2"/>
      <c r="I205" s="2"/>
      <c r="J205" s="2"/>
      <c r="K205" s="2"/>
      <c r="L205" s="2"/>
      <c r="M205" s="2"/>
      <c r="N205" s="2"/>
      <c r="O205" s="160"/>
    </row>
    <row r="206" spans="2:15" ht="15.5" x14ac:dyDescent="0.35">
      <c r="B206" s="220" t="s">
        <v>1</v>
      </c>
      <c r="C206" s="273" t="str">
        <f>C163</f>
        <v>Global-Telecom</v>
      </c>
      <c r="D206" s="198"/>
      <c r="E206" s="371">
        <f>E163</f>
        <v>0</v>
      </c>
      <c r="F206" s="160"/>
      <c r="G206" s="160"/>
      <c r="L206" s="262"/>
      <c r="M206" s="684" t="str">
        <f>B206</f>
        <v>Sales ($M)</v>
      </c>
      <c r="N206" s="684" t="str">
        <f>C206</f>
        <v>Global-Telecom</v>
      </c>
      <c r="O206" s="160"/>
    </row>
    <row r="207" spans="2:15" x14ac:dyDescent="0.25">
      <c r="B207" s="225" t="s">
        <v>10</v>
      </c>
      <c r="C207" s="7" t="s">
        <v>11</v>
      </c>
      <c r="D207" s="226" t="s">
        <v>12</v>
      </c>
      <c r="E207" s="129">
        <v>2016</v>
      </c>
      <c r="F207" s="129">
        <v>2017</v>
      </c>
      <c r="G207" s="129">
        <v>2018</v>
      </c>
      <c r="H207" s="129">
        <v>2019</v>
      </c>
      <c r="I207" s="129">
        <v>2020</v>
      </c>
      <c r="J207" s="129">
        <v>2021</v>
      </c>
      <c r="K207" s="129">
        <v>2022</v>
      </c>
      <c r="L207" s="129">
        <v>2023</v>
      </c>
      <c r="M207" s="129">
        <v>2024</v>
      </c>
      <c r="N207" s="129">
        <v>2025</v>
      </c>
      <c r="O207" s="160"/>
    </row>
    <row r="208" spans="2:15" x14ac:dyDescent="0.25">
      <c r="B208" s="388" t="str">
        <f t="shared" ref="B208:B225" si="102">B30</f>
        <v>1 G</v>
      </c>
      <c r="C208" s="395" t="str">
        <f>C165</f>
        <v>All</v>
      </c>
      <c r="D208" s="395" t="str">
        <f>D165</f>
        <v>All</v>
      </c>
      <c r="E208" s="697">
        <v>31.284472112274081</v>
      </c>
      <c r="F208" s="697">
        <v>22.131811211281288</v>
      </c>
      <c r="G208" s="697"/>
      <c r="H208" s="697"/>
      <c r="I208" s="697"/>
      <c r="J208" s="697"/>
      <c r="K208" s="697"/>
      <c r="L208" s="697"/>
      <c r="M208" s="697"/>
      <c r="N208" s="698"/>
      <c r="O208" s="160"/>
    </row>
    <row r="209" spans="2:15" x14ac:dyDescent="0.25">
      <c r="B209" s="388" t="str">
        <f t="shared" si="102"/>
        <v>10 G</v>
      </c>
      <c r="C209" s="167" t="str">
        <f>C166</f>
        <v>All</v>
      </c>
      <c r="D209" s="167" t="str">
        <f>D166</f>
        <v>All</v>
      </c>
      <c r="E209" s="698">
        <v>147.20131052139516</v>
      </c>
      <c r="F209" s="698">
        <v>102.77394266466473</v>
      </c>
      <c r="G209" s="698"/>
      <c r="H209" s="698"/>
      <c r="I209" s="698"/>
      <c r="J209" s="698"/>
      <c r="K209" s="698"/>
      <c r="L209" s="698"/>
      <c r="M209" s="698"/>
      <c r="N209" s="698"/>
      <c r="O209" s="160"/>
    </row>
    <row r="210" spans="2:15" ht="13" x14ac:dyDescent="0.3">
      <c r="B210" s="203" t="str">
        <f t="shared" si="102"/>
        <v>25 G</v>
      </c>
      <c r="C210" s="395" t="s">
        <v>20</v>
      </c>
      <c r="D210" s="282" t="s">
        <v>154</v>
      </c>
      <c r="E210" s="698">
        <v>0.62249429999999994</v>
      </c>
      <c r="F210" s="698">
        <v>1.6978488920742698</v>
      </c>
      <c r="G210" s="698"/>
      <c r="H210" s="698"/>
      <c r="I210" s="698"/>
      <c r="J210" s="698"/>
      <c r="K210" s="698"/>
      <c r="L210" s="698"/>
      <c r="M210" s="698"/>
      <c r="N210" s="698"/>
      <c r="O210" s="160"/>
    </row>
    <row r="211" spans="2:15" x14ac:dyDescent="0.25">
      <c r="B211" s="199" t="str">
        <f t="shared" si="102"/>
        <v>40 G</v>
      </c>
      <c r="C211" s="391" t="str">
        <f>C189</f>
        <v>100-300 m</v>
      </c>
      <c r="D211" s="199" t="s">
        <v>137</v>
      </c>
      <c r="E211" s="699">
        <v>4.5588222759444452</v>
      </c>
      <c r="F211" s="699">
        <v>5.079772393667036</v>
      </c>
      <c r="G211" s="699"/>
      <c r="H211" s="699"/>
      <c r="I211" s="699"/>
      <c r="J211" s="699"/>
      <c r="K211" s="699"/>
      <c r="L211" s="699"/>
      <c r="M211" s="699"/>
      <c r="N211" s="700"/>
      <c r="O211" s="160"/>
    </row>
    <row r="212" spans="2:15" x14ac:dyDescent="0.25">
      <c r="B212" s="203" t="str">
        <f t="shared" si="102"/>
        <v>40 G PSM4</v>
      </c>
      <c r="C212" s="395" t="s">
        <v>22</v>
      </c>
      <c r="D212" s="203" t="s">
        <v>137</v>
      </c>
      <c r="E212" s="698">
        <v>0</v>
      </c>
      <c r="F212" s="698">
        <v>0</v>
      </c>
      <c r="G212" s="698"/>
      <c r="H212" s="698"/>
      <c r="I212" s="698"/>
      <c r="J212" s="698"/>
      <c r="K212" s="698"/>
      <c r="L212" s="698"/>
      <c r="M212" s="698"/>
      <c r="N212" s="698"/>
      <c r="O212" s="160"/>
    </row>
    <row r="213" spans="2:15" x14ac:dyDescent="0.25">
      <c r="B213" s="797" t="str">
        <f t="shared" si="102"/>
        <v xml:space="preserve">40 G </v>
      </c>
      <c r="C213" s="805" t="s">
        <v>23</v>
      </c>
      <c r="D213" s="298" t="s">
        <v>146</v>
      </c>
      <c r="E213" s="698">
        <v>3.6147868986222091</v>
      </c>
      <c r="F213" s="698">
        <v>2.1111758458730683</v>
      </c>
      <c r="G213" s="698"/>
      <c r="H213" s="698"/>
      <c r="I213" s="698"/>
      <c r="J213" s="698"/>
      <c r="K213" s="698"/>
      <c r="L213" s="698"/>
      <c r="M213" s="698"/>
      <c r="N213" s="698"/>
      <c r="O213" s="160"/>
    </row>
    <row r="214" spans="2:15" ht="25" x14ac:dyDescent="0.25">
      <c r="B214" s="798"/>
      <c r="C214" s="806"/>
      <c r="D214" s="270" t="s">
        <v>147</v>
      </c>
      <c r="E214" s="698">
        <v>0</v>
      </c>
      <c r="F214" s="698">
        <v>0</v>
      </c>
      <c r="G214" s="698"/>
      <c r="H214" s="698"/>
      <c r="I214" s="698"/>
      <c r="J214" s="698"/>
      <c r="K214" s="698"/>
      <c r="L214" s="698"/>
      <c r="M214" s="698"/>
      <c r="N214" s="698"/>
      <c r="O214" s="160"/>
    </row>
    <row r="215" spans="2:15" x14ac:dyDescent="0.25">
      <c r="B215" s="798"/>
      <c r="C215" s="395" t="s">
        <v>24</v>
      </c>
      <c r="D215" s="388" t="str">
        <f t="shared" ref="D215:D225" si="103">D172</f>
        <v>All</v>
      </c>
      <c r="E215" s="698">
        <v>7.4284258264680547</v>
      </c>
      <c r="F215" s="698">
        <v>3.6524276733586274</v>
      </c>
      <c r="G215" s="698"/>
      <c r="H215" s="698"/>
      <c r="I215" s="698"/>
      <c r="J215" s="698"/>
      <c r="K215" s="698"/>
      <c r="L215" s="698"/>
      <c r="M215" s="698"/>
      <c r="N215" s="698"/>
      <c r="O215" s="160"/>
    </row>
    <row r="216" spans="2:15" x14ac:dyDescent="0.25">
      <c r="B216" s="799"/>
      <c r="C216" s="170" t="s">
        <v>25</v>
      </c>
      <c r="D216" s="388" t="str">
        <f t="shared" si="103"/>
        <v>All</v>
      </c>
      <c r="E216" s="698">
        <v>2.456382628644874</v>
      </c>
      <c r="F216" s="698">
        <v>1.8231073760232492</v>
      </c>
      <c r="G216" s="698"/>
      <c r="H216" s="698"/>
      <c r="I216" s="698"/>
      <c r="J216" s="698"/>
      <c r="K216" s="698"/>
      <c r="L216" s="698"/>
      <c r="M216" s="698"/>
      <c r="N216" s="698"/>
      <c r="O216" s="160"/>
    </row>
    <row r="217" spans="2:15" x14ac:dyDescent="0.25">
      <c r="B217" s="393" t="str">
        <f t="shared" si="102"/>
        <v>50 G</v>
      </c>
      <c r="C217" s="395" t="str">
        <f t="shared" ref="C217:C225" si="104">C174</f>
        <v>all</v>
      </c>
      <c r="D217" s="388" t="str">
        <f t="shared" si="103"/>
        <v>All</v>
      </c>
      <c r="E217" s="698">
        <v>0</v>
      </c>
      <c r="F217" s="698">
        <v>0</v>
      </c>
      <c r="G217" s="698"/>
      <c r="H217" s="698"/>
      <c r="I217" s="698"/>
      <c r="J217" s="698"/>
      <c r="K217" s="698"/>
      <c r="L217" s="698"/>
      <c r="M217" s="698"/>
      <c r="N217" s="698"/>
      <c r="O217" s="160"/>
    </row>
    <row r="218" spans="2:15" x14ac:dyDescent="0.25">
      <c r="B218" s="802" t="str">
        <f t="shared" si="102"/>
        <v>100 G</v>
      </c>
      <c r="C218" s="391" t="str">
        <f t="shared" si="104"/>
        <v>100-300 m</v>
      </c>
      <c r="D218" s="388" t="str">
        <f t="shared" si="103"/>
        <v>All</v>
      </c>
      <c r="E218" s="698">
        <v>26.339981999999999</v>
      </c>
      <c r="F218" s="698">
        <v>11.282133000000004</v>
      </c>
      <c r="G218" s="698"/>
      <c r="H218" s="698"/>
      <c r="I218" s="698"/>
      <c r="J218" s="698"/>
      <c r="K218" s="698"/>
      <c r="L218" s="698"/>
      <c r="M218" s="698"/>
      <c r="N218" s="698"/>
      <c r="O218" s="160"/>
    </row>
    <row r="219" spans="2:15" x14ac:dyDescent="0.25">
      <c r="B219" s="803"/>
      <c r="C219" s="395" t="str">
        <f t="shared" si="104"/>
        <v>500 m</v>
      </c>
      <c r="D219" s="270" t="str">
        <f t="shared" si="103"/>
        <v>QSFP28</v>
      </c>
      <c r="E219" s="698">
        <v>0</v>
      </c>
      <c r="F219" s="698">
        <v>0</v>
      </c>
      <c r="G219" s="698"/>
      <c r="H219" s="698"/>
      <c r="I219" s="698"/>
      <c r="J219" s="698"/>
      <c r="K219" s="698"/>
      <c r="L219" s="698"/>
      <c r="M219" s="698"/>
      <c r="N219" s="698"/>
      <c r="O219" s="160"/>
    </row>
    <row r="220" spans="2:15" x14ac:dyDescent="0.25">
      <c r="B220" s="803"/>
      <c r="C220" s="395" t="str">
        <f t="shared" si="104"/>
        <v>2 km</v>
      </c>
      <c r="D220" s="394" t="str">
        <f t="shared" si="103"/>
        <v>QSFP28</v>
      </c>
      <c r="E220" s="698">
        <v>0</v>
      </c>
      <c r="F220" s="698">
        <v>0</v>
      </c>
      <c r="G220" s="698"/>
      <c r="H220" s="698"/>
      <c r="I220" s="698"/>
      <c r="J220" s="698"/>
      <c r="K220" s="698"/>
      <c r="L220" s="698"/>
      <c r="M220" s="698"/>
      <c r="N220" s="698"/>
      <c r="O220" s="160"/>
    </row>
    <row r="221" spans="2:15" x14ac:dyDescent="0.25">
      <c r="B221" s="803"/>
      <c r="C221" s="395" t="str">
        <f t="shared" si="104"/>
        <v>10-20 km</v>
      </c>
      <c r="D221" s="389" t="str">
        <f t="shared" si="103"/>
        <v>All</v>
      </c>
      <c r="E221" s="698">
        <v>688.79136992241706</v>
      </c>
      <c r="F221" s="698">
        <v>484.25161718981326</v>
      </c>
      <c r="G221" s="698"/>
      <c r="H221" s="698"/>
      <c r="I221" s="698"/>
      <c r="J221" s="698"/>
      <c r="K221" s="698"/>
      <c r="L221" s="698"/>
      <c r="M221" s="698"/>
      <c r="N221" s="698"/>
      <c r="O221" s="160"/>
    </row>
    <row r="222" spans="2:15" x14ac:dyDescent="0.25">
      <c r="B222" s="804"/>
      <c r="C222" s="170" t="str">
        <f t="shared" si="104"/>
        <v>40 km</v>
      </c>
      <c r="D222" s="199" t="str">
        <f t="shared" si="103"/>
        <v>All</v>
      </c>
      <c r="E222" s="698">
        <v>67.047040204140799</v>
      </c>
      <c r="F222" s="698">
        <v>62.072948163045446</v>
      </c>
      <c r="G222" s="698"/>
      <c r="H222" s="698"/>
      <c r="I222" s="698"/>
      <c r="J222" s="698"/>
      <c r="K222" s="698"/>
      <c r="L222" s="698"/>
      <c r="M222" s="698"/>
      <c r="N222" s="698"/>
      <c r="O222" s="160"/>
    </row>
    <row r="223" spans="2:15" x14ac:dyDescent="0.25">
      <c r="B223" s="201" t="str">
        <f t="shared" si="102"/>
        <v>200 G</v>
      </c>
      <c r="C223" s="203" t="str">
        <f t="shared" si="104"/>
        <v>All</v>
      </c>
      <c r="D223" s="203" t="str">
        <f t="shared" si="103"/>
        <v>All</v>
      </c>
      <c r="E223" s="698">
        <v>0</v>
      </c>
      <c r="F223" s="698">
        <v>0</v>
      </c>
      <c r="G223" s="698"/>
      <c r="H223" s="698"/>
      <c r="I223" s="698"/>
      <c r="J223" s="698"/>
      <c r="K223" s="698"/>
      <c r="L223" s="698"/>
      <c r="M223" s="698"/>
      <c r="N223" s="698"/>
      <c r="O223" s="160"/>
    </row>
    <row r="224" spans="2:15" x14ac:dyDescent="0.25">
      <c r="B224" s="201" t="str">
        <f t="shared" si="102"/>
        <v>400 G</v>
      </c>
      <c r="C224" s="203" t="str">
        <f t="shared" si="104"/>
        <v>All</v>
      </c>
      <c r="D224" s="203" t="str">
        <f t="shared" si="103"/>
        <v>All</v>
      </c>
      <c r="E224" s="698">
        <v>0</v>
      </c>
      <c r="F224" s="698">
        <v>1.2669999999999999</v>
      </c>
      <c r="G224" s="698"/>
      <c r="H224" s="698"/>
      <c r="I224" s="698"/>
      <c r="J224" s="698"/>
      <c r="K224" s="698"/>
      <c r="L224" s="698"/>
      <c r="M224" s="698"/>
      <c r="N224" s="698"/>
      <c r="O224" s="160"/>
    </row>
    <row r="225" spans="2:16" s="160" customFormat="1" x14ac:dyDescent="0.25">
      <c r="B225" s="201" t="str">
        <f t="shared" si="102"/>
        <v>800 G</v>
      </c>
      <c r="C225" s="203" t="str">
        <f t="shared" si="104"/>
        <v>All</v>
      </c>
      <c r="D225" s="203" t="str">
        <f t="shared" si="103"/>
        <v>All</v>
      </c>
      <c r="E225" s="698">
        <v>0</v>
      </c>
      <c r="F225" s="698">
        <v>0</v>
      </c>
      <c r="G225" s="698"/>
      <c r="H225" s="698"/>
      <c r="I225" s="698"/>
      <c r="J225" s="698"/>
      <c r="K225" s="698"/>
      <c r="L225" s="698"/>
      <c r="M225" s="698"/>
      <c r="N225" s="698"/>
    </row>
    <row r="226" spans="2:16" x14ac:dyDescent="0.25">
      <c r="B226" s="206" t="s">
        <v>9</v>
      </c>
      <c r="C226" s="203" t="str">
        <f>C183</f>
        <v>All</v>
      </c>
      <c r="D226" s="203" t="str">
        <f>D183</f>
        <v>All</v>
      </c>
      <c r="E226" s="416">
        <f>SUM(E208:E225)</f>
        <v>979.34508668990657</v>
      </c>
      <c r="F226" s="416">
        <f t="shared" ref="F226:N226" si="105">SUM(F208:F225)</f>
        <v>698.14378440980101</v>
      </c>
      <c r="G226" s="416"/>
      <c r="H226" s="416"/>
      <c r="I226" s="416"/>
      <c r="J226" s="416"/>
      <c r="K226" s="416"/>
      <c r="L226" s="416"/>
      <c r="M226" s="416"/>
      <c r="N226" s="416"/>
      <c r="O226" s="160"/>
    </row>
    <row r="227" spans="2:16" x14ac:dyDescent="0.25">
      <c r="B227" s="387"/>
      <c r="C227" s="160"/>
      <c r="D227" s="387"/>
      <c r="E227" s="8"/>
      <c r="F227" s="8">
        <f t="shared" ref="F227:N227" si="106">IF(E226=0,"",F226/E226-1)</f>
        <v>-0.28713198861347156</v>
      </c>
      <c r="G227" s="8"/>
      <c r="H227" s="8"/>
      <c r="I227" s="8"/>
      <c r="J227" s="8"/>
      <c r="K227" s="8"/>
      <c r="L227" s="8"/>
      <c r="M227" s="8"/>
      <c r="N227" s="8"/>
    </row>
    <row r="228" spans="2:16" x14ac:dyDescent="0.25">
      <c r="B228" s="387"/>
      <c r="C228" s="160"/>
      <c r="D228" s="387"/>
      <c r="E228" s="771"/>
      <c r="F228" s="771"/>
      <c r="G228" s="771"/>
      <c r="H228" s="771"/>
      <c r="I228" s="771"/>
      <c r="J228" s="771"/>
      <c r="K228" s="771"/>
      <c r="L228" s="771"/>
      <c r="M228" s="771"/>
      <c r="N228" s="771"/>
      <c r="O228" s="771"/>
      <c r="P228" s="771"/>
    </row>
  </sheetData>
  <mergeCells count="30">
    <mergeCell ref="B13:B16"/>
    <mergeCell ref="C13:C14"/>
    <mergeCell ref="B18:B22"/>
    <mergeCell ref="B102:B105"/>
    <mergeCell ref="C102:C103"/>
    <mergeCell ref="B57:B60"/>
    <mergeCell ref="B35:B38"/>
    <mergeCell ref="C35:C36"/>
    <mergeCell ref="B40:B44"/>
    <mergeCell ref="B83:B87"/>
    <mergeCell ref="B78:B81"/>
    <mergeCell ref="C78:C79"/>
    <mergeCell ref="C57:C58"/>
    <mergeCell ref="B62:B66"/>
    <mergeCell ref="B107:B111"/>
    <mergeCell ref="B124:B127"/>
    <mergeCell ref="C124:C125"/>
    <mergeCell ref="B129:B133"/>
    <mergeCell ref="B145:B148"/>
    <mergeCell ref="C145:C146"/>
    <mergeCell ref="B197:B201"/>
    <mergeCell ref="B213:B216"/>
    <mergeCell ref="C213:C214"/>
    <mergeCell ref="B218:B222"/>
    <mergeCell ref="B150:B154"/>
    <mergeCell ref="B170:B173"/>
    <mergeCell ref="C170:C171"/>
    <mergeCell ref="B175:B179"/>
    <mergeCell ref="B192:B195"/>
    <mergeCell ref="C192:C193"/>
  </mergeCells>
  <printOptions headings="1"/>
  <pageMargins left="0.7" right="0.7" top="0.75" bottom="0.75" header="0.3" footer="0.3"/>
  <pageSetup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Methodology</vt:lpstr>
      <vt:lpstr>Definitions</vt:lpstr>
      <vt:lpstr>Summary</vt:lpstr>
      <vt:lpstr>CWDM and DWDM</vt:lpstr>
      <vt:lpstr>WDM ports</vt:lpstr>
      <vt:lpstr>Ethernet-Total</vt:lpstr>
      <vt:lpstr>Ethernet-Cloud</vt:lpstr>
      <vt:lpstr>Ethernet-Telecom</vt:lpstr>
      <vt:lpstr>Ethernet-Enterprise</vt:lpstr>
      <vt:lpstr>Wireless</vt:lpstr>
      <vt:lpstr>FTTx</vt:lpstr>
      <vt:lpstr>AOC-EOM</vt:lpstr>
      <vt:lpstr>ICPs</vt:lpstr>
      <vt:lpstr>CSPs</vt:lpstr>
      <vt:lpstr>NEMs</vt:lpstr>
      <vt:lpstr>OC vendors</vt:lpstr>
      <vt:lpstr>Report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John Lively</cp:lastModifiedBy>
  <cp:lastPrinted>2014-01-06T21:38:47Z</cp:lastPrinted>
  <dcterms:created xsi:type="dcterms:W3CDTF">2009-02-04T20:40:14Z</dcterms:created>
  <dcterms:modified xsi:type="dcterms:W3CDTF">2021-01-25T17:03:37Z</dcterms:modified>
</cp:coreProperties>
</file>